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rmIII-kgy\"/>
    </mc:Choice>
  </mc:AlternateContent>
  <xr:revisionPtr revIDLastSave="0" documentId="13_ncr:1_{10861068-B454-4930-975B-3B97BE6467AB}" xr6:coauthVersionLast="45" xr6:coauthVersionMax="45" xr10:uidLastSave="{00000000-0000-0000-0000-000000000000}"/>
  <bookViews>
    <workbookView xWindow="-120" yWindow="-120" windowWidth="29040" windowHeight="15840" tabRatio="696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" sheetId="89" r:id="rId4"/>
    <sheet name="5 normatíva" sheetId="91" r:id="rId5"/>
    <sheet name="6 intézményi kiadás" sheetId="90" r:id="rId6"/>
    <sheet name="7 létszám" sheetId="88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4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8A nevesített utcák" sheetId="86" r:id="rId19"/>
    <sheet name="19 ei felh. terv bevétel" sheetId="63" r:id="rId20"/>
    <sheet name="19 ei. felh.terv kiadás" sheetId="64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7" hidden="1">'18 felhalm.kiadás'!$A$4:$F$5</definedName>
    <definedName name="aaaaaaaaaaaaaaaaaaaaaaa">#REF!</definedName>
    <definedName name="áfaössz16">#REF!</definedName>
    <definedName name="bk" localSheetId="6">#REF!</definedName>
    <definedName name="bk">#REF!</definedName>
    <definedName name="css" localSheetId="0">#REF!</definedName>
    <definedName name="css" localSheetId="19">#REF!</definedName>
    <definedName name="css" localSheetId="20">#REF!</definedName>
    <definedName name="css" localSheetId="4">#REF!</definedName>
    <definedName name="css" localSheetId="6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 localSheetId="6">[2]Családsegítés!$C$27:$C$86</definedName>
    <definedName name="css_k">[1]Családsegítés!$C$27:$C$86</definedName>
    <definedName name="css_k_" localSheetId="0">#REF!</definedName>
    <definedName name="css_k_" localSheetId="19">#REF!</definedName>
    <definedName name="css_k_" localSheetId="20">#REF!</definedName>
    <definedName name="css_k_" localSheetId="4">#REF!</definedName>
    <definedName name="css_k_" localSheetId="6">#REF!</definedName>
    <definedName name="css_k_">#REF!</definedName>
    <definedName name="d">#REF!</definedName>
    <definedName name="eredetiköltségvetés2017" localSheetId="4">#REF!</definedName>
    <definedName name="eredetiköltségvetés2017">#REF!</definedName>
    <definedName name="feljéc">#REF!</definedName>
    <definedName name="fff">#REF!</definedName>
    <definedName name="ffff" localSheetId="0">#REF!</definedName>
    <definedName name="ffff">#REF!</definedName>
    <definedName name="gyj" localSheetId="0">#REF!</definedName>
    <definedName name="gyj" localSheetId="19">#REF!</definedName>
    <definedName name="gyj" localSheetId="20">#REF!</definedName>
    <definedName name="gyj" localSheetId="4">#REF!</definedName>
    <definedName name="gyj" localSheetId="6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 localSheetId="6">[2]Gyermekjóléti!$C$27:$C$86</definedName>
    <definedName name="gyj_k">[1]Gyermekjóléti!$C$27:$C$86</definedName>
    <definedName name="gyj_k_" localSheetId="0">#REF!</definedName>
    <definedName name="gyj_k_" localSheetId="19">#REF!</definedName>
    <definedName name="gyj_k_" localSheetId="20">#REF!</definedName>
    <definedName name="gyj_k_" localSheetId="4">#REF!</definedName>
    <definedName name="gyj_k_" localSheetId="6">#REF!</definedName>
    <definedName name="gyj_k_">#REF!</definedName>
    <definedName name="h">#REF!</definedName>
    <definedName name="kjz" localSheetId="0">#REF!</definedName>
    <definedName name="kjz" localSheetId="19">#REF!</definedName>
    <definedName name="kjz" localSheetId="20">#REF!</definedName>
    <definedName name="kjz" localSheetId="4">#REF!</definedName>
    <definedName name="kjz" localSheetId="6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 localSheetId="6">[2]körjegyzőség!$C$9:$C$28</definedName>
    <definedName name="kjz_k">[1]körjegyzőség!$C$9:$C$28</definedName>
    <definedName name="kjz_k_" localSheetId="0">#REF!</definedName>
    <definedName name="kjz_k_" localSheetId="19">#REF!</definedName>
    <definedName name="kjz_k_" localSheetId="20">#REF!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0">#REF!</definedName>
    <definedName name="nev_c" localSheetId="19">#REF!</definedName>
    <definedName name="nev_c" localSheetId="20">#REF!</definedName>
    <definedName name="nev_c" localSheetId="4">#REF!</definedName>
    <definedName name="nev_c" localSheetId="6">#REF!</definedName>
    <definedName name="nev_c">#REF!</definedName>
    <definedName name="nev_g" localSheetId="0">#REF!</definedName>
    <definedName name="nev_g" localSheetId="19">#REF!</definedName>
    <definedName name="nev_g" localSheetId="20">#REF!</definedName>
    <definedName name="nev_g" localSheetId="4">#REF!</definedName>
    <definedName name="nev_g" localSheetId="6">#REF!</definedName>
    <definedName name="nev_g">#REF!</definedName>
    <definedName name="nev_k" localSheetId="0">#REF!</definedName>
    <definedName name="nev_k" localSheetId="19">#REF!</definedName>
    <definedName name="nev_k" localSheetId="20">#REF!</definedName>
    <definedName name="nev_k" localSheetId="4">#REF!</definedName>
    <definedName name="nev_k" localSheetId="6">#REF!</definedName>
    <definedName name="nev_k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16">'17 felhalm.bevétel '!$2:$4</definedName>
    <definedName name="_xlnm.Print_Titles" localSheetId="17">'18 felhalm.kiadás'!$3:$5</definedName>
    <definedName name="_xlnm.Print_Titles" localSheetId="2">'3 működési bevételek'!$4:$6</definedName>
    <definedName name="_xlnm.Print_Titles" localSheetId="6">'7 létszám'!$1:$7</definedName>
    <definedName name="_xlnm.Print_Titles" localSheetId="8">'9 kultúra'!$4:$6</definedName>
    <definedName name="_xlnm.Print_Area" localSheetId="0">'1 kiemelt ei. '!$A$1:$N$20</definedName>
    <definedName name="_xlnm.Print_Area" localSheetId="9">'10 szociális'!$B$1:$E$56</definedName>
    <definedName name="_xlnm.Print_Area" localSheetId="10">'11 egészségügy'!$B$1:$E$44</definedName>
    <definedName name="_xlnm.Print_Area" localSheetId="11">'12 gyermek és ifj.véd.'!$B$1:$E$31</definedName>
    <definedName name="_xlnm.Print_Area" localSheetId="12">'13 egyéb'!$B$1:$E$128</definedName>
    <definedName name="_xlnm.Print_Area" localSheetId="13">'14 sport'!$B$1:$E$59</definedName>
    <definedName name="_xlnm.Print_Area" localSheetId="14">'15 város.ü.'!$B$1:$E$32</definedName>
    <definedName name="_xlnm.Print_Area" localSheetId="15">'16 út-híd'!$B$1:$E$35</definedName>
    <definedName name="_xlnm.Print_Area" localSheetId="16">'17 felhalm.bevétel '!$B$1:$F$63</definedName>
    <definedName name="_xlnm.Print_Area" localSheetId="17">'18 felhalm.kiadás'!$A$1:$E$182</definedName>
    <definedName name="_xlnm.Print_Area" localSheetId="18">'18A nevesített utcák'!$A$1:$B$66</definedName>
    <definedName name="_xlnm.Print_Area" localSheetId="19">'19 ei felh. terv bevétel'!$A$1:$N$11</definedName>
    <definedName name="_xlnm.Print_Area" localSheetId="20">'19 ei. felh.terv kiadás'!$A$1:$N$27</definedName>
    <definedName name="_xlnm.Print_Area" localSheetId="1">'2 mérleg'!$A$1:$K$62</definedName>
    <definedName name="_xlnm.Print_Area" localSheetId="2">'3 működési bevételek'!$B$1:$I$130</definedName>
    <definedName name="_xlnm.Print_Area" localSheetId="3">'4 intézményi bevétel'!$A$1:$AV$51</definedName>
    <definedName name="_xlnm.Print_Area" localSheetId="4">'5 normatíva'!$A$1:$D$54</definedName>
    <definedName name="_xlnm.Print_Area" localSheetId="5">'6 intézményi kiadás'!$A$1:$AJ$51</definedName>
    <definedName name="_xlnm.Print_Area" localSheetId="6">'7 létszám'!$A$1:$Q$50</definedName>
    <definedName name="_xlnm.Print_Area" localSheetId="7">'8 oktatás'!$B$1:$E$51</definedName>
    <definedName name="_xlnm.Print_Area" localSheetId="8">'9 kultúra'!$B$1:$E$137</definedName>
    <definedName name="polg">#REF!</definedName>
    <definedName name="polg.hiv.">#REF!</definedName>
    <definedName name="polg.hiv.2">#REF!</definedName>
    <definedName name="rmI" localSheetId="4">#REF!</definedName>
    <definedName name="rmI">#REF!</definedName>
    <definedName name="x" localSheetId="0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szociális'!$B$1:$B$37</definedName>
    <definedName name="Z_186732C5_520C_4E06_B066_B4F3F0A3E322_.wvu.PrintArea" localSheetId="10" hidden="1">'11 egészségügy'!$B$1:$B$25</definedName>
    <definedName name="Z_186732C5_520C_4E06_B066_B4F3F0A3E322_.wvu.PrintArea" localSheetId="11" hidden="1">'12 gyermek és ifj.véd.'!$B$1:$B$16</definedName>
    <definedName name="Z_186732C5_520C_4E06_B066_B4F3F0A3E322_.wvu.PrintArea" localSheetId="12" hidden="1">'13 egyéb'!$B$1:$B$110</definedName>
    <definedName name="Z_186732C5_520C_4E06_B066_B4F3F0A3E322_.wvu.PrintArea" localSheetId="13" hidden="1">'14 sport'!$B$1:$B$56</definedName>
    <definedName name="Z_186732C5_520C_4E06_B066_B4F3F0A3E322_.wvu.PrintArea" localSheetId="14" hidden="1">'15 város.ü.'!$B$1:$B$26</definedName>
    <definedName name="Z_186732C5_520C_4E06_B066_B4F3F0A3E322_.wvu.PrintArea" localSheetId="15" hidden="1">'16 út-híd'!$B$1:$B$32</definedName>
    <definedName name="Z_186732C5_520C_4E06_B066_B4F3F0A3E322_.wvu.PrintArea" localSheetId="16" hidden="1">'17 felhalm.bevétel '!$B$1:$C$64</definedName>
    <definedName name="Z_186732C5_520C_4E06_B066_B4F3F0A3E322_.wvu.PrintArea" localSheetId="17" hidden="1">'18 felhalm.kiadás'!$A$1:$B$182</definedName>
    <definedName name="Z_186732C5_520C_4E06_B066_B4F3F0A3E322_.wvu.PrintArea" localSheetId="1" hidden="1">'2 mérleg'!$A$2:$H$62</definedName>
    <definedName name="Z_186732C5_520C_4E06_B066_B4F3F0A3E322_.wvu.PrintArea" localSheetId="2" hidden="1">'3 működési bevételek'!$B$1:$F$129</definedName>
    <definedName name="Z_186732C5_520C_4E06_B066_B4F3F0A3E322_.wvu.PrintArea" localSheetId="7" hidden="1">'8 oktatás'!$B$1:$B$34</definedName>
    <definedName name="Z_186732C5_520C_4E06_B066_B4F3F0A3E322_.wvu.PrintArea" localSheetId="8" hidden="1">'9 kultúra'!$B$1:$B$100</definedName>
    <definedName name="Z_6D4B996F_8915_4E78_98C2_E7EAE9C4580C_.wvu.PrintArea" localSheetId="9" hidden="1">'10 szociális'!$B$1:$B$37</definedName>
    <definedName name="Z_6D4B996F_8915_4E78_98C2_E7EAE9C4580C_.wvu.PrintArea" localSheetId="10" hidden="1">'11 egészségügy'!$B$1:$B$25</definedName>
    <definedName name="Z_6D4B996F_8915_4E78_98C2_E7EAE9C4580C_.wvu.PrintArea" localSheetId="11" hidden="1">'12 gyermek és ifj.véd.'!$B$1:$B$16</definedName>
    <definedName name="Z_6D4B996F_8915_4E78_98C2_E7EAE9C4580C_.wvu.PrintArea" localSheetId="12" hidden="1">'13 egyéb'!$B$1:$B$110</definedName>
    <definedName name="Z_6D4B996F_8915_4E78_98C2_E7EAE9C4580C_.wvu.PrintArea" localSheetId="13" hidden="1">'14 sport'!$B$1:$B$56</definedName>
    <definedName name="Z_6D4B996F_8915_4E78_98C2_E7EAE9C4580C_.wvu.PrintArea" localSheetId="14" hidden="1">'15 város.ü.'!$B$1:$B$26</definedName>
    <definedName name="Z_6D4B996F_8915_4E78_98C2_E7EAE9C4580C_.wvu.PrintArea" localSheetId="15" hidden="1">'16 út-híd'!$B$1:$B$32</definedName>
    <definedName name="Z_6D4B996F_8915_4E78_98C2_E7EAE9C4580C_.wvu.PrintArea" localSheetId="16" hidden="1">'17 felhalm.bevétel '!$B$1:$C$64</definedName>
    <definedName name="Z_6D4B996F_8915_4E78_98C2_E7EAE9C4580C_.wvu.PrintArea" localSheetId="17" hidden="1">'18 felhalm.kiadás'!$A$1:$B$182</definedName>
    <definedName name="Z_6D4B996F_8915_4E78_98C2_E7EAE9C4580C_.wvu.PrintArea" localSheetId="1" hidden="1">'2 mérleg'!$A$2:$H$62</definedName>
    <definedName name="Z_6D4B996F_8915_4E78_98C2_E7EAE9C4580C_.wvu.PrintArea" localSheetId="2" hidden="1">'3 működési bevételek'!$B$1:$F$129</definedName>
    <definedName name="Z_6D4B996F_8915_4E78_98C2_E7EAE9C4580C_.wvu.PrintArea" localSheetId="7" hidden="1">'8 oktatás'!$B$1:$B$34</definedName>
    <definedName name="Z_6D4B996F_8915_4E78_98C2_E7EAE9C4580C_.wvu.PrintArea" localSheetId="8" hidden="1">'9 kultúra'!$B$1:$B$100</definedName>
    <definedName name="Z_F05CDCE5_D631_41F9_80C7_3F3E8464BF12_.wvu.PrintArea" localSheetId="6" hidden="1">'7 létszám'!$A$1:$O$50</definedName>
    <definedName name="Z_F05CDCE5_D631_41F9_80C7_3F3E8464BF12_.wvu.PrintTitles" localSheetId="6" hidden="1">'7 létszám'!$1:$7</definedName>
  </definedNames>
  <calcPr calcId="18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91" l="1"/>
  <c r="D53" i="91" s="1"/>
  <c r="C50" i="91"/>
  <c r="B50" i="91"/>
  <c r="D49" i="91"/>
  <c r="D48" i="91"/>
  <c r="D46" i="91"/>
  <c r="B43" i="91"/>
  <c r="D42" i="91"/>
  <c r="D41" i="91"/>
  <c r="C40" i="91"/>
  <c r="C43" i="91" s="1"/>
  <c r="B38" i="91"/>
  <c r="D37" i="91"/>
  <c r="C36" i="91"/>
  <c r="D36" i="91" s="1"/>
  <c r="B34" i="91"/>
  <c r="D33" i="91"/>
  <c r="C32" i="91"/>
  <c r="D31" i="91"/>
  <c r="D30" i="91"/>
  <c r="D29" i="91"/>
  <c r="C27" i="91"/>
  <c r="D27" i="91" s="1"/>
  <c r="D26" i="91"/>
  <c r="D25" i="91"/>
  <c r="C23" i="91"/>
  <c r="D23" i="91" s="1"/>
  <c r="B21" i="91"/>
  <c r="D20" i="91"/>
  <c r="D19" i="91"/>
  <c r="D18" i="91"/>
  <c r="D17" i="91"/>
  <c r="C16" i="91"/>
  <c r="D16" i="91" s="1"/>
  <c r="B13" i="91"/>
  <c r="C12" i="91"/>
  <c r="D12" i="91" s="1"/>
  <c r="D11" i="91"/>
  <c r="C13" i="91" l="1"/>
  <c r="D38" i="91"/>
  <c r="D50" i="91"/>
  <c r="D21" i="91"/>
  <c r="B51" i="91"/>
  <c r="B54" i="91" s="1"/>
  <c r="D13" i="91"/>
  <c r="C21" i="91"/>
  <c r="C34" i="91"/>
  <c r="D32" i="91"/>
  <c r="D34" i="91" s="1"/>
  <c r="D40" i="91"/>
  <c r="D43" i="91" s="1"/>
  <c r="C38" i="91"/>
  <c r="B52" i="91" l="1"/>
  <c r="D51" i="91"/>
  <c r="D52" i="91" s="1"/>
  <c r="C51" i="91"/>
  <c r="D54" i="91" l="1"/>
  <c r="C54" i="91"/>
  <c r="C52" i="91"/>
  <c r="AC49" i="90" l="1"/>
  <c r="Z49" i="90"/>
  <c r="P49" i="90"/>
  <c r="M49" i="90"/>
  <c r="AF48" i="90"/>
  <c r="AB48" i="90"/>
  <c r="AD48" i="90" s="1"/>
  <c r="Y48" i="90"/>
  <c r="AA48" i="90" s="1"/>
  <c r="V48" i="90"/>
  <c r="S48" i="90"/>
  <c r="O48" i="90"/>
  <c r="Q48" i="90" s="1"/>
  <c r="L48" i="90"/>
  <c r="N48" i="90" s="1"/>
  <c r="H48" i="90"/>
  <c r="J48" i="90" s="1"/>
  <c r="E48" i="90"/>
  <c r="G48" i="90" s="1"/>
  <c r="B48" i="90"/>
  <c r="AB47" i="90"/>
  <c r="AD47" i="90" s="1"/>
  <c r="Y47" i="90"/>
  <c r="AA47" i="90" s="1"/>
  <c r="W47" i="90"/>
  <c r="W49" i="90" s="1"/>
  <c r="V47" i="90"/>
  <c r="O47" i="90"/>
  <c r="Q47" i="90" s="1"/>
  <c r="L47" i="90"/>
  <c r="I47" i="90"/>
  <c r="H47" i="90"/>
  <c r="J47" i="90" s="1"/>
  <c r="G47" i="90"/>
  <c r="F47" i="90"/>
  <c r="F49" i="90" s="1"/>
  <c r="E47" i="90"/>
  <c r="C47" i="90"/>
  <c r="B47" i="90"/>
  <c r="AF46" i="90"/>
  <c r="AB46" i="90"/>
  <c r="AD46" i="90" s="1"/>
  <c r="Y46" i="90"/>
  <c r="AA46" i="90" s="1"/>
  <c r="V46" i="90"/>
  <c r="O46" i="90"/>
  <c r="Q46" i="90" s="1"/>
  <c r="L46" i="90"/>
  <c r="N46" i="90" s="1"/>
  <c r="I46" i="90"/>
  <c r="H46" i="90"/>
  <c r="E46" i="90"/>
  <c r="B46" i="90"/>
  <c r="D46" i="90" s="1"/>
  <c r="AB44" i="90"/>
  <c r="AD44" i="90" s="1"/>
  <c r="Y44" i="90"/>
  <c r="AA44" i="90" s="1"/>
  <c r="W44" i="90"/>
  <c r="AF44" i="90" s="1"/>
  <c r="V44" i="90"/>
  <c r="O44" i="90"/>
  <c r="Q44" i="90" s="1"/>
  <c r="L44" i="90"/>
  <c r="N44" i="90" s="1"/>
  <c r="I44" i="90"/>
  <c r="H44" i="90"/>
  <c r="F44" i="90"/>
  <c r="E44" i="90"/>
  <c r="C44" i="90"/>
  <c r="B44" i="90"/>
  <c r="AF42" i="90"/>
  <c r="AB42" i="90"/>
  <c r="AD42" i="90" s="1"/>
  <c r="Y42" i="90"/>
  <c r="AA42" i="90" s="1"/>
  <c r="V42" i="90"/>
  <c r="X42" i="90" s="1"/>
  <c r="O42" i="90"/>
  <c r="Q42" i="90" s="1"/>
  <c r="L42" i="90"/>
  <c r="N42" i="90" s="1"/>
  <c r="H42" i="90"/>
  <c r="J42" i="90" s="1"/>
  <c r="F42" i="90"/>
  <c r="E42" i="90"/>
  <c r="G42" i="90" s="1"/>
  <c r="C42" i="90"/>
  <c r="B42" i="90"/>
  <c r="AB40" i="90"/>
  <c r="AD40" i="90" s="1"/>
  <c r="Z40" i="90"/>
  <c r="Y40" i="90"/>
  <c r="AA40" i="90" s="1"/>
  <c r="W40" i="90"/>
  <c r="AF40" i="90" s="1"/>
  <c r="V40" i="90"/>
  <c r="X40" i="90" s="1"/>
  <c r="AG40" i="90" s="1"/>
  <c r="O40" i="90"/>
  <c r="Q40" i="90" s="1"/>
  <c r="L40" i="90"/>
  <c r="N40" i="90" s="1"/>
  <c r="I40" i="90"/>
  <c r="S40" i="90" s="1"/>
  <c r="AI40" i="90" s="1"/>
  <c r="H40" i="90"/>
  <c r="G40" i="90"/>
  <c r="E40" i="90"/>
  <c r="B40" i="90"/>
  <c r="D40" i="90" s="1"/>
  <c r="AC38" i="90"/>
  <c r="Z38" i="90"/>
  <c r="Z50" i="90" s="1"/>
  <c r="P38" i="90"/>
  <c r="P50" i="90" s="1"/>
  <c r="M38" i="90"/>
  <c r="AB37" i="90"/>
  <c r="AD37" i="90" s="1"/>
  <c r="Y37" i="90"/>
  <c r="W37" i="90"/>
  <c r="AF37" i="90" s="1"/>
  <c r="V37" i="90"/>
  <c r="O37" i="90"/>
  <c r="Q37" i="90" s="1"/>
  <c r="L37" i="90"/>
  <c r="N37" i="90" s="1"/>
  <c r="I37" i="90"/>
  <c r="S37" i="90" s="1"/>
  <c r="H37" i="90"/>
  <c r="E37" i="90"/>
  <c r="G37" i="90" s="1"/>
  <c r="B37" i="90"/>
  <c r="D37" i="90" s="1"/>
  <c r="AF36" i="90"/>
  <c r="AB36" i="90"/>
  <c r="AD36" i="90" s="1"/>
  <c r="Y36" i="90"/>
  <c r="AA36" i="90" s="1"/>
  <c r="V36" i="90"/>
  <c r="O36" i="90"/>
  <c r="Q36" i="90" s="1"/>
  <c r="L36" i="90"/>
  <c r="N36" i="90" s="1"/>
  <c r="I36" i="90"/>
  <c r="S36" i="90" s="1"/>
  <c r="AI36" i="90" s="1"/>
  <c r="H36" i="90"/>
  <c r="E36" i="90"/>
  <c r="G36" i="90" s="1"/>
  <c r="B36" i="90"/>
  <c r="D36" i="90" s="1"/>
  <c r="AF35" i="90"/>
  <c r="AB35" i="90"/>
  <c r="AD35" i="90" s="1"/>
  <c r="Y35" i="90"/>
  <c r="X35" i="90"/>
  <c r="V35" i="90"/>
  <c r="S35" i="90"/>
  <c r="O35" i="90"/>
  <c r="Q35" i="90" s="1"/>
  <c r="N35" i="90"/>
  <c r="L35" i="90"/>
  <c r="H35" i="90"/>
  <c r="J35" i="90" s="1"/>
  <c r="E35" i="90"/>
  <c r="G35" i="90" s="1"/>
  <c r="B35" i="90"/>
  <c r="AF34" i="90"/>
  <c r="AB34" i="90"/>
  <c r="AD34" i="90" s="1"/>
  <c r="Y34" i="90"/>
  <c r="AA34" i="90" s="1"/>
  <c r="V34" i="90"/>
  <c r="O34" i="90"/>
  <c r="Q34" i="90" s="1"/>
  <c r="L34" i="90"/>
  <c r="N34" i="90" s="1"/>
  <c r="H34" i="90"/>
  <c r="J34" i="90" s="1"/>
  <c r="F34" i="90"/>
  <c r="F38" i="90" s="1"/>
  <c r="E34" i="90"/>
  <c r="G34" i="90" s="1"/>
  <c r="C34" i="90"/>
  <c r="B34" i="90"/>
  <c r="AF33" i="90"/>
  <c r="AB33" i="90"/>
  <c r="AD33" i="90" s="1"/>
  <c r="Y33" i="90"/>
  <c r="AA33" i="90" s="1"/>
  <c r="V33" i="90"/>
  <c r="O33" i="90"/>
  <c r="L33" i="90"/>
  <c r="I33" i="90"/>
  <c r="S33" i="90" s="1"/>
  <c r="H33" i="90"/>
  <c r="E33" i="90"/>
  <c r="B33" i="90"/>
  <c r="D33" i="90" s="1"/>
  <c r="AB29" i="90"/>
  <c r="AD29" i="90" s="1"/>
  <c r="AA29" i="90"/>
  <c r="Y29" i="90"/>
  <c r="W29" i="90"/>
  <c r="AF29" i="90" s="1"/>
  <c r="V29" i="90"/>
  <c r="Q29" i="90"/>
  <c r="O29" i="90"/>
  <c r="L29" i="90"/>
  <c r="N29" i="90" s="1"/>
  <c r="I29" i="90"/>
  <c r="H29" i="90"/>
  <c r="J29" i="90" s="1"/>
  <c r="F29" i="90"/>
  <c r="E29" i="90"/>
  <c r="G29" i="90" s="1"/>
  <c r="C29" i="90"/>
  <c r="B29" i="90"/>
  <c r="AC28" i="90"/>
  <c r="AC30" i="90" s="1"/>
  <c r="P28" i="90"/>
  <c r="P30" i="90" s="1"/>
  <c r="M28" i="90"/>
  <c r="M30" i="90" s="1"/>
  <c r="AB27" i="90"/>
  <c r="AD27" i="90" s="1"/>
  <c r="Y27" i="90"/>
  <c r="AA27" i="90" s="1"/>
  <c r="W27" i="90"/>
  <c r="AF27" i="90" s="1"/>
  <c r="V27" i="90"/>
  <c r="O27" i="90"/>
  <c r="Q27" i="90" s="1"/>
  <c r="L27" i="90"/>
  <c r="N27" i="90" s="1"/>
  <c r="I27" i="90"/>
  <c r="H27" i="90"/>
  <c r="G27" i="90"/>
  <c r="F27" i="90"/>
  <c r="E27" i="90"/>
  <c r="C27" i="90"/>
  <c r="B27" i="90"/>
  <c r="AB26" i="90"/>
  <c r="AD26" i="90" s="1"/>
  <c r="Y26" i="90"/>
  <c r="AA26" i="90" s="1"/>
  <c r="W26" i="90"/>
  <c r="AF26" i="90" s="1"/>
  <c r="V26" i="90"/>
  <c r="O26" i="90"/>
  <c r="Q26" i="90" s="1"/>
  <c r="L26" i="90"/>
  <c r="N26" i="90" s="1"/>
  <c r="I26" i="90"/>
  <c r="H26" i="90"/>
  <c r="F26" i="90"/>
  <c r="E26" i="90"/>
  <c r="C26" i="90"/>
  <c r="B26" i="90"/>
  <c r="AB25" i="90"/>
  <c r="AD25" i="90" s="1"/>
  <c r="Y25" i="90"/>
  <c r="AA25" i="90" s="1"/>
  <c r="W25" i="90"/>
  <c r="AF25" i="90" s="1"/>
  <c r="V25" i="90"/>
  <c r="O25" i="90"/>
  <c r="Q25" i="90" s="1"/>
  <c r="L25" i="90"/>
  <c r="N25" i="90" s="1"/>
  <c r="I25" i="90"/>
  <c r="S25" i="90" s="1"/>
  <c r="H25" i="90"/>
  <c r="E25" i="90"/>
  <c r="B25" i="90"/>
  <c r="D25" i="90" s="1"/>
  <c r="AB24" i="90"/>
  <c r="AD24" i="90" s="1"/>
  <c r="Y24" i="90"/>
  <c r="AA24" i="90" s="1"/>
  <c r="W24" i="90"/>
  <c r="AF24" i="90" s="1"/>
  <c r="V24" i="90"/>
  <c r="AE24" i="90" s="1"/>
  <c r="O24" i="90"/>
  <c r="Q24" i="90" s="1"/>
  <c r="L24" i="90"/>
  <c r="N24" i="90" s="1"/>
  <c r="I24" i="90"/>
  <c r="S24" i="90" s="1"/>
  <c r="AI24" i="90" s="1"/>
  <c r="H24" i="90"/>
  <c r="E24" i="90"/>
  <c r="G24" i="90" s="1"/>
  <c r="B24" i="90"/>
  <c r="D24" i="90" s="1"/>
  <c r="AB23" i="90"/>
  <c r="AD23" i="90" s="1"/>
  <c r="Y23" i="90"/>
  <c r="AA23" i="90" s="1"/>
  <c r="W23" i="90"/>
  <c r="AF23" i="90" s="1"/>
  <c r="V23" i="90"/>
  <c r="O23" i="90"/>
  <c r="Q23" i="90" s="1"/>
  <c r="L23" i="90"/>
  <c r="N23" i="90" s="1"/>
  <c r="I23" i="90"/>
  <c r="H23" i="90"/>
  <c r="F23" i="90"/>
  <c r="E23" i="90"/>
  <c r="G23" i="90" s="1"/>
  <c r="C23" i="90"/>
  <c r="B23" i="90"/>
  <c r="AF22" i="90"/>
  <c r="AB22" i="90"/>
  <c r="AD22" i="90" s="1"/>
  <c r="Y22" i="90"/>
  <c r="AA22" i="90" s="1"/>
  <c r="V22" i="90"/>
  <c r="O22" i="90"/>
  <c r="Q22" i="90" s="1"/>
  <c r="L22" i="90"/>
  <c r="N22" i="90" s="1"/>
  <c r="I22" i="90"/>
  <c r="H22" i="90"/>
  <c r="J22" i="90" s="1"/>
  <c r="F22" i="90"/>
  <c r="E22" i="90"/>
  <c r="G22" i="90" s="1"/>
  <c r="C22" i="90"/>
  <c r="B22" i="90"/>
  <c r="AB21" i="90"/>
  <c r="AD21" i="90" s="1"/>
  <c r="Z21" i="90"/>
  <c r="Y21" i="90"/>
  <c r="AA21" i="90" s="1"/>
  <c r="W21" i="90"/>
  <c r="V21" i="90"/>
  <c r="O21" i="90"/>
  <c r="Q21" i="90" s="1"/>
  <c r="L21" i="90"/>
  <c r="N21" i="90" s="1"/>
  <c r="I21" i="90"/>
  <c r="H21" i="90"/>
  <c r="F21" i="90"/>
  <c r="E21" i="90"/>
  <c r="G21" i="90" s="1"/>
  <c r="C21" i="90"/>
  <c r="B21" i="90"/>
  <c r="AB20" i="90"/>
  <c r="AD20" i="90" s="1"/>
  <c r="Y20" i="90"/>
  <c r="AA20" i="90" s="1"/>
  <c r="W20" i="90"/>
  <c r="AF20" i="90" s="1"/>
  <c r="V20" i="90"/>
  <c r="S20" i="90"/>
  <c r="O20" i="90"/>
  <c r="Q20" i="90" s="1"/>
  <c r="L20" i="90"/>
  <c r="N20" i="90" s="1"/>
  <c r="H20" i="90"/>
  <c r="J20" i="90" s="1"/>
  <c r="E20" i="90"/>
  <c r="G20" i="90" s="1"/>
  <c r="B20" i="90"/>
  <c r="D20" i="90" s="1"/>
  <c r="AB19" i="90"/>
  <c r="AD19" i="90" s="1"/>
  <c r="Y19" i="90"/>
  <c r="W19" i="90"/>
  <c r="AF19" i="90" s="1"/>
  <c r="V19" i="90"/>
  <c r="O19" i="90"/>
  <c r="Q19" i="90" s="1"/>
  <c r="L19" i="90"/>
  <c r="N19" i="90" s="1"/>
  <c r="H19" i="90"/>
  <c r="J19" i="90" s="1"/>
  <c r="F19" i="90"/>
  <c r="E19" i="90"/>
  <c r="G19" i="90" s="1"/>
  <c r="C19" i="90"/>
  <c r="S19" i="90" s="1"/>
  <c r="B19" i="90"/>
  <c r="AB18" i="90"/>
  <c r="AD18" i="90" s="1"/>
  <c r="Z18" i="90"/>
  <c r="Y18" i="90"/>
  <c r="W18" i="90"/>
  <c r="AF18" i="90" s="1"/>
  <c r="V18" i="90"/>
  <c r="O18" i="90"/>
  <c r="Q18" i="90" s="1"/>
  <c r="L18" i="90"/>
  <c r="N18" i="90" s="1"/>
  <c r="I18" i="90"/>
  <c r="H18" i="90"/>
  <c r="E18" i="90"/>
  <c r="G18" i="90" s="1"/>
  <c r="C18" i="90"/>
  <c r="B18" i="90"/>
  <c r="D18" i="90" s="1"/>
  <c r="AB17" i="90"/>
  <c r="AD17" i="90" s="1"/>
  <c r="Y17" i="90"/>
  <c r="AA17" i="90" s="1"/>
  <c r="W17" i="90"/>
  <c r="V17" i="90"/>
  <c r="O17" i="90"/>
  <c r="Q17" i="90" s="1"/>
  <c r="L17" i="90"/>
  <c r="N17" i="90" s="1"/>
  <c r="I17" i="90"/>
  <c r="H17" i="90"/>
  <c r="E17" i="90"/>
  <c r="G17" i="90" s="1"/>
  <c r="C17" i="90"/>
  <c r="B17" i="90"/>
  <c r="AF16" i="90"/>
  <c r="AB16" i="90"/>
  <c r="AD16" i="90" s="1"/>
  <c r="Y16" i="90"/>
  <c r="AA16" i="90" s="1"/>
  <c r="V16" i="90"/>
  <c r="O16" i="90"/>
  <c r="Q16" i="90" s="1"/>
  <c r="L16" i="90"/>
  <c r="N16" i="90" s="1"/>
  <c r="H16" i="90"/>
  <c r="J16" i="90" s="1"/>
  <c r="E16" i="90"/>
  <c r="G16" i="90" s="1"/>
  <c r="C16" i="90"/>
  <c r="B16" i="90"/>
  <c r="AB15" i="90"/>
  <c r="AD15" i="90" s="1"/>
  <c r="Y15" i="90"/>
  <c r="AA15" i="90" s="1"/>
  <c r="W15" i="90"/>
  <c r="AF15" i="90" s="1"/>
  <c r="V15" i="90"/>
  <c r="O15" i="90"/>
  <c r="Q15" i="90" s="1"/>
  <c r="L15" i="90"/>
  <c r="N15" i="90" s="1"/>
  <c r="I15" i="90"/>
  <c r="S15" i="90" s="1"/>
  <c r="H15" i="90"/>
  <c r="E15" i="90"/>
  <c r="G15" i="90" s="1"/>
  <c r="B15" i="90"/>
  <c r="D15" i="90" s="1"/>
  <c r="AB14" i="90"/>
  <c r="AD14" i="90" s="1"/>
  <c r="Y14" i="90"/>
  <c r="W14" i="90"/>
  <c r="AF14" i="90" s="1"/>
  <c r="V14" i="90"/>
  <c r="O14" i="90"/>
  <c r="Q14" i="90" s="1"/>
  <c r="L14" i="90"/>
  <c r="N14" i="90" s="1"/>
  <c r="H14" i="90"/>
  <c r="J14" i="90" s="1"/>
  <c r="E14" i="90"/>
  <c r="G14" i="90" s="1"/>
  <c r="C14" i="90"/>
  <c r="S14" i="90" s="1"/>
  <c r="B14" i="90"/>
  <c r="AB13" i="90"/>
  <c r="AD13" i="90" s="1"/>
  <c r="Y13" i="90"/>
  <c r="AA13" i="90" s="1"/>
  <c r="W13" i="90"/>
  <c r="V13" i="90"/>
  <c r="O13" i="90"/>
  <c r="Q13" i="90" s="1"/>
  <c r="L13" i="90"/>
  <c r="N13" i="90" s="1"/>
  <c r="I13" i="90"/>
  <c r="H13" i="90"/>
  <c r="G13" i="90"/>
  <c r="F13" i="90"/>
  <c r="E13" i="90"/>
  <c r="C13" i="90"/>
  <c r="B13" i="90"/>
  <c r="AB12" i="90"/>
  <c r="AD12" i="90" s="1"/>
  <c r="Y12" i="90"/>
  <c r="AA12" i="90" s="1"/>
  <c r="W12" i="90"/>
  <c r="AF12" i="90" s="1"/>
  <c r="V12" i="90"/>
  <c r="X12" i="90" s="1"/>
  <c r="O12" i="90"/>
  <c r="Q12" i="90" s="1"/>
  <c r="L12" i="90"/>
  <c r="N12" i="90" s="1"/>
  <c r="I12" i="90"/>
  <c r="H12" i="90"/>
  <c r="F12" i="90"/>
  <c r="S12" i="90" s="1"/>
  <c r="AI12" i="90" s="1"/>
  <c r="E12" i="90"/>
  <c r="B12" i="90"/>
  <c r="D12" i="90" s="1"/>
  <c r="AB11" i="90"/>
  <c r="AD11" i="90" s="1"/>
  <c r="Y11" i="90"/>
  <c r="AA11" i="90" s="1"/>
  <c r="W11" i="90"/>
  <c r="AF11" i="90" s="1"/>
  <c r="V11" i="90"/>
  <c r="O11" i="90"/>
  <c r="Q11" i="90" s="1"/>
  <c r="L11" i="90"/>
  <c r="H11" i="90"/>
  <c r="J11" i="90" s="1"/>
  <c r="F11" i="90"/>
  <c r="E11" i="90"/>
  <c r="C11" i="90"/>
  <c r="B11" i="90"/>
  <c r="D11" i="90" s="1"/>
  <c r="AB10" i="90"/>
  <c r="AD10" i="90" s="1"/>
  <c r="Y10" i="90"/>
  <c r="W10" i="90"/>
  <c r="AF10" i="90" s="1"/>
  <c r="V10" i="90"/>
  <c r="O10" i="90"/>
  <c r="L10" i="90"/>
  <c r="N10" i="90" s="1"/>
  <c r="H10" i="90"/>
  <c r="E10" i="90"/>
  <c r="G10" i="90" s="1"/>
  <c r="C10" i="90"/>
  <c r="B10" i="90"/>
  <c r="AI49" i="89"/>
  <c r="Y49" i="89"/>
  <c r="V49" i="89"/>
  <c r="S49" i="89"/>
  <c r="L49" i="89"/>
  <c r="I49" i="89"/>
  <c r="F49" i="89"/>
  <c r="C49" i="89"/>
  <c r="AN48" i="89"/>
  <c r="AP48" i="89" s="1"/>
  <c r="AL48" i="89"/>
  <c r="AR48" i="89" s="1"/>
  <c r="AK48" i="89"/>
  <c r="AH48" i="89"/>
  <c r="AJ48" i="89" s="1"/>
  <c r="AB48" i="89"/>
  <c r="X48" i="89"/>
  <c r="Z48" i="89" s="1"/>
  <c r="U48" i="89"/>
  <c r="W48" i="89" s="1"/>
  <c r="R48" i="89"/>
  <c r="AA48" i="89" s="1"/>
  <c r="O48" i="89"/>
  <c r="K48" i="89"/>
  <c r="M48" i="89" s="1"/>
  <c r="H48" i="89"/>
  <c r="J48" i="89" s="1"/>
  <c r="E48" i="89"/>
  <c r="G48" i="89" s="1"/>
  <c r="B48" i="89"/>
  <c r="D48" i="89" s="1"/>
  <c r="AO47" i="89"/>
  <c r="AO49" i="89" s="1"/>
  <c r="AN47" i="89"/>
  <c r="AP47" i="89" s="1"/>
  <c r="AL47" i="89"/>
  <c r="AR47" i="89" s="1"/>
  <c r="AK47" i="89"/>
  <c r="AH47" i="89"/>
  <c r="AB47" i="89"/>
  <c r="X47" i="89"/>
  <c r="Z47" i="89" s="1"/>
  <c r="U47" i="89"/>
  <c r="W47" i="89" s="1"/>
  <c r="R47" i="89"/>
  <c r="O47" i="89"/>
  <c r="K47" i="89"/>
  <c r="M47" i="89" s="1"/>
  <c r="H47" i="89"/>
  <c r="J47" i="89" s="1"/>
  <c r="E47" i="89"/>
  <c r="G47" i="89" s="1"/>
  <c r="B47" i="89"/>
  <c r="D47" i="89" s="1"/>
  <c r="AN46" i="89"/>
  <c r="AL46" i="89"/>
  <c r="AK46" i="89"/>
  <c r="AH46" i="89"/>
  <c r="AJ46" i="89" s="1"/>
  <c r="AB46" i="89"/>
  <c r="X46" i="89"/>
  <c r="U46" i="89"/>
  <c r="R46" i="89"/>
  <c r="O46" i="89"/>
  <c r="K46" i="89"/>
  <c r="H46" i="89"/>
  <c r="J46" i="89" s="1"/>
  <c r="E46" i="89"/>
  <c r="G46" i="89" s="1"/>
  <c r="B46" i="89"/>
  <c r="AR44" i="89"/>
  <c r="AN44" i="89"/>
  <c r="AP44" i="89" s="1"/>
  <c r="AK44" i="89"/>
  <c r="AH44" i="89"/>
  <c r="AJ44" i="89" s="1"/>
  <c r="AE44" i="89"/>
  <c r="AB44" i="89"/>
  <c r="X44" i="89"/>
  <c r="Z44" i="89" s="1"/>
  <c r="U44" i="89"/>
  <c r="W44" i="89" s="1"/>
  <c r="R44" i="89"/>
  <c r="O44" i="89"/>
  <c r="K44" i="89"/>
  <c r="M44" i="89" s="1"/>
  <c r="H44" i="89"/>
  <c r="J44" i="89" s="1"/>
  <c r="E44" i="89"/>
  <c r="G44" i="89" s="1"/>
  <c r="B44" i="89"/>
  <c r="D44" i="89" s="1"/>
  <c r="AN42" i="89"/>
  <c r="AP42" i="89" s="1"/>
  <c r="AL42" i="89"/>
  <c r="AR42" i="89" s="1"/>
  <c r="AK42" i="89"/>
  <c r="AH42" i="89"/>
  <c r="AJ42" i="89" s="1"/>
  <c r="AE42" i="89"/>
  <c r="AB42" i="89"/>
  <c r="X42" i="89"/>
  <c r="U42" i="89"/>
  <c r="W42" i="89" s="1"/>
  <c r="R42" i="89"/>
  <c r="T42" i="89" s="1"/>
  <c r="AC42" i="89" s="1"/>
  <c r="O42" i="89"/>
  <c r="K42" i="89"/>
  <c r="M42" i="89" s="1"/>
  <c r="H42" i="89"/>
  <c r="J42" i="89" s="1"/>
  <c r="E42" i="89"/>
  <c r="G42" i="89" s="1"/>
  <c r="B42" i="89"/>
  <c r="D42" i="89" s="1"/>
  <c r="AO40" i="89"/>
  <c r="AN40" i="89"/>
  <c r="AP40" i="89" s="1"/>
  <c r="AL40" i="89"/>
  <c r="AK40" i="89"/>
  <c r="AH40" i="89"/>
  <c r="AJ40" i="89" s="1"/>
  <c r="AB40" i="89"/>
  <c r="X40" i="89"/>
  <c r="Z40" i="89" s="1"/>
  <c r="U40" i="89"/>
  <c r="W40" i="89" s="1"/>
  <c r="R40" i="89"/>
  <c r="O40" i="89"/>
  <c r="K40" i="89"/>
  <c r="M40" i="89" s="1"/>
  <c r="H40" i="89"/>
  <c r="J40" i="89" s="1"/>
  <c r="E40" i="89"/>
  <c r="G40" i="89" s="1"/>
  <c r="B40" i="89"/>
  <c r="AI38" i="89"/>
  <c r="AI50" i="89" s="1"/>
  <c r="Y38" i="89"/>
  <c r="Y50" i="89" s="1"/>
  <c r="V38" i="89"/>
  <c r="S38" i="89"/>
  <c r="S50" i="89" s="1"/>
  <c r="L38" i="89"/>
  <c r="I38" i="89"/>
  <c r="I50" i="89" s="1"/>
  <c r="F38" i="89"/>
  <c r="C38" i="89"/>
  <c r="C50" i="89" s="1"/>
  <c r="AO37" i="89"/>
  <c r="AO38" i="89" s="1"/>
  <c r="AO50" i="89" s="1"/>
  <c r="AN37" i="89"/>
  <c r="AP37" i="89" s="1"/>
  <c r="AL37" i="89"/>
  <c r="AK37" i="89"/>
  <c r="AH37" i="89"/>
  <c r="AJ37" i="89" s="1"/>
  <c r="AB37" i="89"/>
  <c r="X37" i="89"/>
  <c r="Z37" i="89" s="1"/>
  <c r="U37" i="89"/>
  <c r="W37" i="89" s="1"/>
  <c r="R37" i="89"/>
  <c r="O37" i="89"/>
  <c r="K37" i="89"/>
  <c r="M37" i="89" s="1"/>
  <c r="H37" i="89"/>
  <c r="J37" i="89" s="1"/>
  <c r="E37" i="89"/>
  <c r="G37" i="89" s="1"/>
  <c r="B37" i="89"/>
  <c r="D37" i="89" s="1"/>
  <c r="AN36" i="89"/>
  <c r="AP36" i="89" s="1"/>
  <c r="AL36" i="89"/>
  <c r="AR36" i="89" s="1"/>
  <c r="AK36" i="89"/>
  <c r="AH36" i="89"/>
  <c r="AJ36" i="89" s="1"/>
  <c r="AB36" i="89"/>
  <c r="X36" i="89"/>
  <c r="Z36" i="89" s="1"/>
  <c r="U36" i="89"/>
  <c r="W36" i="89" s="1"/>
  <c r="R36" i="89"/>
  <c r="T36" i="89" s="1"/>
  <c r="O36" i="89"/>
  <c r="K36" i="89"/>
  <c r="M36" i="89" s="1"/>
  <c r="H36" i="89"/>
  <c r="J36" i="89" s="1"/>
  <c r="E36" i="89"/>
  <c r="G36" i="89" s="1"/>
  <c r="B36" i="89"/>
  <c r="D36" i="89" s="1"/>
  <c r="AR35" i="89"/>
  <c r="AN35" i="89"/>
  <c r="AP35" i="89" s="1"/>
  <c r="AK35" i="89"/>
  <c r="AH35" i="89"/>
  <c r="AJ35" i="89" s="1"/>
  <c r="AB35" i="89"/>
  <c r="X35" i="89"/>
  <c r="Z35" i="89" s="1"/>
  <c r="U35" i="89"/>
  <c r="R35" i="89"/>
  <c r="T35" i="89" s="1"/>
  <c r="O35" i="89"/>
  <c r="AE35" i="89" s="1"/>
  <c r="K35" i="89"/>
  <c r="M35" i="89" s="1"/>
  <c r="H35" i="89"/>
  <c r="J35" i="89" s="1"/>
  <c r="E35" i="89"/>
  <c r="G35" i="89" s="1"/>
  <c r="B35" i="89"/>
  <c r="D35" i="89" s="1"/>
  <c r="AN34" i="89"/>
  <c r="AP34" i="89" s="1"/>
  <c r="AL34" i="89"/>
  <c r="AR34" i="89" s="1"/>
  <c r="AK34" i="89"/>
  <c r="AM34" i="89" s="1"/>
  <c r="AS34" i="89" s="1"/>
  <c r="AH34" i="89"/>
  <c r="AJ34" i="89" s="1"/>
  <c r="AB34" i="89"/>
  <c r="X34" i="89"/>
  <c r="Z34" i="89" s="1"/>
  <c r="U34" i="89"/>
  <c r="W34" i="89" s="1"/>
  <c r="R34" i="89"/>
  <c r="O34" i="89"/>
  <c r="K34" i="89"/>
  <c r="M34" i="89" s="1"/>
  <c r="H34" i="89"/>
  <c r="J34" i="89" s="1"/>
  <c r="E34" i="89"/>
  <c r="G34" i="89" s="1"/>
  <c r="B34" i="89"/>
  <c r="D34" i="89" s="1"/>
  <c r="AN33" i="89"/>
  <c r="AP33" i="89" s="1"/>
  <c r="AL33" i="89"/>
  <c r="AK33" i="89"/>
  <c r="AM33" i="89" s="1"/>
  <c r="AH33" i="89"/>
  <c r="AB33" i="89"/>
  <c r="X33" i="89"/>
  <c r="Z33" i="89" s="1"/>
  <c r="U33" i="89"/>
  <c r="R33" i="89"/>
  <c r="O33" i="89"/>
  <c r="O38" i="89" s="1"/>
  <c r="K33" i="89"/>
  <c r="H33" i="89"/>
  <c r="J33" i="89" s="1"/>
  <c r="E33" i="89"/>
  <c r="G33" i="89" s="1"/>
  <c r="B33" i="89"/>
  <c r="D33" i="89" s="1"/>
  <c r="AO29" i="89"/>
  <c r="AN29" i="89"/>
  <c r="AL29" i="89"/>
  <c r="AK29" i="89"/>
  <c r="AH29" i="89"/>
  <c r="AJ29" i="89" s="1"/>
  <c r="AB29" i="89"/>
  <c r="X29" i="89"/>
  <c r="Z29" i="89" s="1"/>
  <c r="U29" i="89"/>
  <c r="W29" i="89" s="1"/>
  <c r="R29" i="89"/>
  <c r="T29" i="89" s="1"/>
  <c r="O29" i="89"/>
  <c r="K29" i="89"/>
  <c r="M29" i="89" s="1"/>
  <c r="J29" i="89"/>
  <c r="H29" i="89"/>
  <c r="E29" i="89"/>
  <c r="G29" i="89" s="1"/>
  <c r="B29" i="89"/>
  <c r="D29" i="89" s="1"/>
  <c r="AI28" i="89"/>
  <c r="AI30" i="89" s="1"/>
  <c r="AI51" i="89" s="1"/>
  <c r="Y28" i="89"/>
  <c r="Y30" i="89" s="1"/>
  <c r="Y51" i="89" s="1"/>
  <c r="V28" i="89"/>
  <c r="V30" i="89" s="1"/>
  <c r="S28" i="89"/>
  <c r="S30" i="89" s="1"/>
  <c r="L28" i="89"/>
  <c r="L30" i="89" s="1"/>
  <c r="I28" i="89"/>
  <c r="I30" i="89" s="1"/>
  <c r="I51" i="89" s="1"/>
  <c r="F28" i="89"/>
  <c r="F30" i="89" s="1"/>
  <c r="C28" i="89"/>
  <c r="C30" i="89" s="1"/>
  <c r="AO27" i="89"/>
  <c r="AN27" i="89"/>
  <c r="AP27" i="89" s="1"/>
  <c r="AL27" i="89"/>
  <c r="AR27" i="89" s="1"/>
  <c r="AU27" i="89" s="1"/>
  <c r="AK27" i="89"/>
  <c r="AH27" i="89"/>
  <c r="AJ27" i="89" s="1"/>
  <c r="AB27" i="89"/>
  <c r="X27" i="89"/>
  <c r="Z27" i="89" s="1"/>
  <c r="U27" i="89"/>
  <c r="W27" i="89" s="1"/>
  <c r="R27" i="89"/>
  <c r="O27" i="89"/>
  <c r="K27" i="89"/>
  <c r="M27" i="89" s="1"/>
  <c r="H27" i="89"/>
  <c r="J27" i="89" s="1"/>
  <c r="G27" i="89"/>
  <c r="E27" i="89"/>
  <c r="B27" i="89"/>
  <c r="D27" i="89" s="1"/>
  <c r="AO26" i="89"/>
  <c r="AN26" i="89"/>
  <c r="AQ26" i="89" s="1"/>
  <c r="AL26" i="89"/>
  <c r="AR26" i="89" s="1"/>
  <c r="AK26" i="89"/>
  <c r="AH26" i="89"/>
  <c r="AJ26" i="89" s="1"/>
  <c r="AB26" i="89"/>
  <c r="X26" i="89"/>
  <c r="Z26" i="89" s="1"/>
  <c r="U26" i="89"/>
  <c r="W26" i="89" s="1"/>
  <c r="R26" i="89"/>
  <c r="O26" i="89"/>
  <c r="K26" i="89"/>
  <c r="M26" i="89" s="1"/>
  <c r="H26" i="89"/>
  <c r="J26" i="89" s="1"/>
  <c r="E26" i="89"/>
  <c r="G26" i="89" s="1"/>
  <c r="B26" i="89"/>
  <c r="D26" i="89" s="1"/>
  <c r="AO25" i="89"/>
  <c r="AN25" i="89"/>
  <c r="AL25" i="89"/>
  <c r="AK25" i="89"/>
  <c r="AH25" i="89"/>
  <c r="AJ25" i="89" s="1"/>
  <c r="AB25" i="89"/>
  <c r="X25" i="89"/>
  <c r="Z25" i="89" s="1"/>
  <c r="U25" i="89"/>
  <c r="W25" i="89" s="1"/>
  <c r="R25" i="89"/>
  <c r="T25" i="89" s="1"/>
  <c r="O25" i="89"/>
  <c r="K25" i="89"/>
  <c r="M25" i="89" s="1"/>
  <c r="H25" i="89"/>
  <c r="J25" i="89" s="1"/>
  <c r="E25" i="89"/>
  <c r="G25" i="89" s="1"/>
  <c r="B25" i="89"/>
  <c r="D25" i="89" s="1"/>
  <c r="AO24" i="89"/>
  <c r="AN24" i="89"/>
  <c r="AL24" i="89"/>
  <c r="AR24" i="89" s="1"/>
  <c r="AK24" i="89"/>
  <c r="AH24" i="89"/>
  <c r="AJ24" i="89" s="1"/>
  <c r="AB24" i="89"/>
  <c r="X24" i="89"/>
  <c r="Z24" i="89" s="1"/>
  <c r="U24" i="89"/>
  <c r="R24" i="89"/>
  <c r="T24" i="89" s="1"/>
  <c r="O24" i="89"/>
  <c r="K24" i="89"/>
  <c r="M24" i="89" s="1"/>
  <c r="H24" i="89"/>
  <c r="J24" i="89" s="1"/>
  <c r="E24" i="89"/>
  <c r="G24" i="89" s="1"/>
  <c r="B24" i="89"/>
  <c r="AO23" i="89"/>
  <c r="AN23" i="89"/>
  <c r="AL23" i="89"/>
  <c r="AK23" i="89"/>
  <c r="AM23" i="89" s="1"/>
  <c r="AH23" i="89"/>
  <c r="AJ23" i="89" s="1"/>
  <c r="AB23" i="89"/>
  <c r="X23" i="89"/>
  <c r="Z23" i="89" s="1"/>
  <c r="U23" i="89"/>
  <c r="W23" i="89" s="1"/>
  <c r="R23" i="89"/>
  <c r="O23" i="89"/>
  <c r="AE23" i="89" s="1"/>
  <c r="K23" i="89"/>
  <c r="M23" i="89" s="1"/>
  <c r="J23" i="89"/>
  <c r="H23" i="89"/>
  <c r="E23" i="89"/>
  <c r="G23" i="89" s="1"/>
  <c r="D23" i="89"/>
  <c r="B23" i="89"/>
  <c r="AR22" i="89"/>
  <c r="AN22" i="89"/>
  <c r="AP22" i="89" s="1"/>
  <c r="AK22" i="89"/>
  <c r="AM22" i="89" s="1"/>
  <c r="AH22" i="89"/>
  <c r="AJ22" i="89" s="1"/>
  <c r="AB22" i="89"/>
  <c r="X22" i="89"/>
  <c r="Z22" i="89" s="1"/>
  <c r="U22" i="89"/>
  <c r="R22" i="89"/>
  <c r="T22" i="89" s="1"/>
  <c r="O22" i="89"/>
  <c r="AE22" i="89" s="1"/>
  <c r="K22" i="89"/>
  <c r="M22" i="89" s="1"/>
  <c r="H22" i="89"/>
  <c r="J22" i="89" s="1"/>
  <c r="E22" i="89"/>
  <c r="G22" i="89" s="1"/>
  <c r="B22" i="89"/>
  <c r="D22" i="89" s="1"/>
  <c r="AO21" i="89"/>
  <c r="AN21" i="89"/>
  <c r="AL21" i="89"/>
  <c r="AK21" i="89"/>
  <c r="AH21" i="89"/>
  <c r="AJ21" i="89" s="1"/>
  <c r="AE21" i="89"/>
  <c r="AB21" i="89"/>
  <c r="X21" i="89"/>
  <c r="Z21" i="89" s="1"/>
  <c r="U21" i="89"/>
  <c r="W21" i="89" s="1"/>
  <c r="R21" i="89"/>
  <c r="O21" i="89"/>
  <c r="K21" i="89"/>
  <c r="M21" i="89" s="1"/>
  <c r="H21" i="89"/>
  <c r="J21" i="89" s="1"/>
  <c r="E21" i="89"/>
  <c r="G21" i="89" s="1"/>
  <c r="D21" i="89"/>
  <c r="B21" i="89"/>
  <c r="AO20" i="89"/>
  <c r="AN20" i="89"/>
  <c r="AL20" i="89"/>
  <c r="AR20" i="89" s="1"/>
  <c r="AK20" i="89"/>
  <c r="AM20" i="89" s="1"/>
  <c r="AH20" i="89"/>
  <c r="AJ20" i="89" s="1"/>
  <c r="AB20" i="89"/>
  <c r="X20" i="89"/>
  <c r="Z20" i="89" s="1"/>
  <c r="U20" i="89"/>
  <c r="W20" i="89" s="1"/>
  <c r="R20" i="89"/>
  <c r="O20" i="89"/>
  <c r="K20" i="89"/>
  <c r="M20" i="89" s="1"/>
  <c r="H20" i="89"/>
  <c r="J20" i="89" s="1"/>
  <c r="E20" i="89"/>
  <c r="G20" i="89" s="1"/>
  <c r="B20" i="89"/>
  <c r="D20" i="89" s="1"/>
  <c r="AO19" i="89"/>
  <c r="AN19" i="89"/>
  <c r="AL19" i="89"/>
  <c r="AK19" i="89"/>
  <c r="AH19" i="89"/>
  <c r="AJ19" i="89" s="1"/>
  <c r="AB19" i="89"/>
  <c r="X19" i="89"/>
  <c r="Z19" i="89" s="1"/>
  <c r="U19" i="89"/>
  <c r="W19" i="89" s="1"/>
  <c r="R19" i="89"/>
  <c r="T19" i="89" s="1"/>
  <c r="O19" i="89"/>
  <c r="K19" i="89"/>
  <c r="M19" i="89" s="1"/>
  <c r="J19" i="89"/>
  <c r="H19" i="89"/>
  <c r="E19" i="89"/>
  <c r="G19" i="89" s="1"/>
  <c r="B19" i="89"/>
  <c r="AO18" i="89"/>
  <c r="AN18" i="89"/>
  <c r="AP18" i="89" s="1"/>
  <c r="AL18" i="89"/>
  <c r="AK18" i="89"/>
  <c r="AH18" i="89"/>
  <c r="AJ18" i="89" s="1"/>
  <c r="AB18" i="89"/>
  <c r="AE18" i="89" s="1"/>
  <c r="X18" i="89"/>
  <c r="Z18" i="89" s="1"/>
  <c r="U18" i="89"/>
  <c r="T18" i="89"/>
  <c r="R18" i="89"/>
  <c r="O18" i="89"/>
  <c r="K18" i="89"/>
  <c r="M18" i="89" s="1"/>
  <c r="J18" i="89"/>
  <c r="H18" i="89"/>
  <c r="E18" i="89"/>
  <c r="G18" i="89" s="1"/>
  <c r="B18" i="89"/>
  <c r="AO17" i="89"/>
  <c r="AR17" i="89" s="1"/>
  <c r="AN17" i="89"/>
  <c r="AL17" i="89"/>
  <c r="AK17" i="89"/>
  <c r="AJ17" i="89"/>
  <c r="AH17" i="89"/>
  <c r="AB17" i="89"/>
  <c r="X17" i="89"/>
  <c r="Z17" i="89" s="1"/>
  <c r="U17" i="89"/>
  <c r="W17" i="89" s="1"/>
  <c r="R17" i="89"/>
  <c r="O17" i="89"/>
  <c r="AE17" i="89" s="1"/>
  <c r="K17" i="89"/>
  <c r="M17" i="89" s="1"/>
  <c r="H17" i="89"/>
  <c r="J17" i="89" s="1"/>
  <c r="E17" i="89"/>
  <c r="G17" i="89" s="1"/>
  <c r="B17" i="89"/>
  <c r="AR16" i="89"/>
  <c r="AN16" i="89"/>
  <c r="AP16" i="89" s="1"/>
  <c r="AK16" i="89"/>
  <c r="AM16" i="89" s="1"/>
  <c r="AH16" i="89"/>
  <c r="AJ16" i="89" s="1"/>
  <c r="AB16" i="89"/>
  <c r="X16" i="89"/>
  <c r="Z16" i="89" s="1"/>
  <c r="U16" i="89"/>
  <c r="W16" i="89" s="1"/>
  <c r="T16" i="89"/>
  <c r="R16" i="89"/>
  <c r="O16" i="89"/>
  <c r="AE16" i="89" s="1"/>
  <c r="K16" i="89"/>
  <c r="M16" i="89" s="1"/>
  <c r="H16" i="89"/>
  <c r="J16" i="89" s="1"/>
  <c r="E16" i="89"/>
  <c r="G16" i="89" s="1"/>
  <c r="B16" i="89"/>
  <c r="D16" i="89" s="1"/>
  <c r="AO15" i="89"/>
  <c r="AN15" i="89"/>
  <c r="AL15" i="89"/>
  <c r="AK15" i="89"/>
  <c r="AM15" i="89" s="1"/>
  <c r="AH15" i="89"/>
  <c r="AJ15" i="89" s="1"/>
  <c r="AE15" i="89"/>
  <c r="AB15" i="89"/>
  <c r="X15" i="89"/>
  <c r="Z15" i="89" s="1"/>
  <c r="U15" i="89"/>
  <c r="W15" i="89" s="1"/>
  <c r="R15" i="89"/>
  <c r="O15" i="89"/>
  <c r="K15" i="89"/>
  <c r="M15" i="89" s="1"/>
  <c r="H15" i="89"/>
  <c r="J15" i="89" s="1"/>
  <c r="E15" i="89"/>
  <c r="G15" i="89" s="1"/>
  <c r="B15" i="89"/>
  <c r="D15" i="89" s="1"/>
  <c r="AO14" i="89"/>
  <c r="AN14" i="89"/>
  <c r="AL14" i="89"/>
  <c r="AR14" i="89" s="1"/>
  <c r="AK14" i="89"/>
  <c r="AM14" i="89" s="1"/>
  <c r="AH14" i="89"/>
  <c r="AJ14" i="89" s="1"/>
  <c r="AB14" i="89"/>
  <c r="X14" i="89"/>
  <c r="Z14" i="89" s="1"/>
  <c r="U14" i="89"/>
  <c r="W14" i="89" s="1"/>
  <c r="R14" i="89"/>
  <c r="O14" i="89"/>
  <c r="AE14" i="89" s="1"/>
  <c r="K14" i="89"/>
  <c r="M14" i="89" s="1"/>
  <c r="H14" i="89"/>
  <c r="J14" i="89" s="1"/>
  <c r="E14" i="89"/>
  <c r="G14" i="89" s="1"/>
  <c r="B14" i="89"/>
  <c r="AO13" i="89"/>
  <c r="AN13" i="89"/>
  <c r="AL13" i="89"/>
  <c r="AK13" i="89"/>
  <c r="AH13" i="89"/>
  <c r="AJ13" i="89" s="1"/>
  <c r="AB13" i="89"/>
  <c r="Z13" i="89"/>
  <c r="X13" i="89"/>
  <c r="U13" i="89"/>
  <c r="W13" i="89" s="1"/>
  <c r="R13" i="89"/>
  <c r="T13" i="89" s="1"/>
  <c r="O13" i="89"/>
  <c r="K13" i="89"/>
  <c r="M13" i="89" s="1"/>
  <c r="H13" i="89"/>
  <c r="J13" i="89" s="1"/>
  <c r="E13" i="89"/>
  <c r="G13" i="89" s="1"/>
  <c r="B13" i="89"/>
  <c r="D13" i="89" s="1"/>
  <c r="AR12" i="89"/>
  <c r="AO12" i="89"/>
  <c r="AN12" i="89"/>
  <c r="AM12" i="89"/>
  <c r="AL12" i="89"/>
  <c r="AK12" i="89"/>
  <c r="AH12" i="89"/>
  <c r="AJ12" i="89" s="1"/>
  <c r="AB12" i="89"/>
  <c r="X12" i="89"/>
  <c r="Z12" i="89" s="1"/>
  <c r="U12" i="89"/>
  <c r="W12" i="89" s="1"/>
  <c r="R12" i="89"/>
  <c r="O12" i="89"/>
  <c r="AE12" i="89" s="1"/>
  <c r="K12" i="89"/>
  <c r="M12" i="89" s="1"/>
  <c r="H12" i="89"/>
  <c r="J12" i="89" s="1"/>
  <c r="E12" i="89"/>
  <c r="G12" i="89" s="1"/>
  <c r="B12" i="89"/>
  <c r="D12" i="89" s="1"/>
  <c r="AO11" i="89"/>
  <c r="AN11" i="89"/>
  <c r="AL11" i="89"/>
  <c r="AK11" i="89"/>
  <c r="AH11" i="89"/>
  <c r="AJ11" i="89" s="1"/>
  <c r="AB11" i="89"/>
  <c r="X11" i="89"/>
  <c r="Z11" i="89" s="1"/>
  <c r="U11" i="89"/>
  <c r="W11" i="89" s="1"/>
  <c r="R11" i="89"/>
  <c r="O11" i="89"/>
  <c r="AE11" i="89" s="1"/>
  <c r="K11" i="89"/>
  <c r="M11" i="89" s="1"/>
  <c r="H11" i="89"/>
  <c r="J11" i="89" s="1"/>
  <c r="E11" i="89"/>
  <c r="G11" i="89" s="1"/>
  <c r="B11" i="89"/>
  <c r="D11" i="89" s="1"/>
  <c r="AO10" i="89"/>
  <c r="AN10" i="89"/>
  <c r="AL10" i="89"/>
  <c r="AK10" i="89"/>
  <c r="AH10" i="89"/>
  <c r="AB10" i="89"/>
  <c r="X10" i="89"/>
  <c r="Z10" i="89" s="1"/>
  <c r="U10" i="89"/>
  <c r="R10" i="89"/>
  <c r="O10" i="89"/>
  <c r="K10" i="89"/>
  <c r="M10" i="89" s="1"/>
  <c r="H10" i="89"/>
  <c r="J10" i="89" s="1"/>
  <c r="E10" i="89"/>
  <c r="B10" i="89"/>
  <c r="D10" i="89" s="1"/>
  <c r="O48" i="88"/>
  <c r="M48" i="88"/>
  <c r="L48" i="88"/>
  <c r="I48" i="88"/>
  <c r="G48" i="88"/>
  <c r="F48" i="88"/>
  <c r="E48" i="88"/>
  <c r="D48" i="88"/>
  <c r="Q47" i="88"/>
  <c r="K47" i="88"/>
  <c r="J47" i="88"/>
  <c r="N47" i="88" s="1"/>
  <c r="C47" i="88"/>
  <c r="B47" i="88"/>
  <c r="H47" i="88" s="1"/>
  <c r="P47" i="88" s="1"/>
  <c r="Q46" i="88"/>
  <c r="K46" i="88"/>
  <c r="J46" i="88"/>
  <c r="N46" i="88" s="1"/>
  <c r="H46" i="88"/>
  <c r="P46" i="88" s="1"/>
  <c r="C46" i="88"/>
  <c r="B46" i="88"/>
  <c r="Q45" i="88"/>
  <c r="K45" i="88"/>
  <c r="J45" i="88"/>
  <c r="N45" i="88" s="1"/>
  <c r="C45" i="88"/>
  <c r="B45" i="88"/>
  <c r="Q43" i="88"/>
  <c r="M43" i="88"/>
  <c r="L43" i="88"/>
  <c r="K43" i="88"/>
  <c r="J43" i="88"/>
  <c r="C43" i="88"/>
  <c r="B43" i="88"/>
  <c r="H43" i="88" s="1"/>
  <c r="Q41" i="88"/>
  <c r="K41" i="88"/>
  <c r="J41" i="88"/>
  <c r="N41" i="88" s="1"/>
  <c r="C41" i="88"/>
  <c r="B41" i="88"/>
  <c r="H41" i="88" s="1"/>
  <c r="Q39" i="88"/>
  <c r="K39" i="88"/>
  <c r="J39" i="88"/>
  <c r="N39" i="88" s="1"/>
  <c r="C39" i="88"/>
  <c r="B39" i="88"/>
  <c r="H39" i="88" s="1"/>
  <c r="O37" i="88"/>
  <c r="O49" i="88" s="1"/>
  <c r="M37" i="88"/>
  <c r="L37" i="88"/>
  <c r="I37" i="88"/>
  <c r="I49" i="88" s="1"/>
  <c r="G37" i="88"/>
  <c r="G49" i="88" s="1"/>
  <c r="F37" i="88"/>
  <c r="E37" i="88"/>
  <c r="E49" i="88" s="1"/>
  <c r="D37" i="88"/>
  <c r="Q36" i="88"/>
  <c r="K36" i="88"/>
  <c r="J36" i="88"/>
  <c r="N36" i="88" s="1"/>
  <c r="C36" i="88"/>
  <c r="B36" i="88"/>
  <c r="H36" i="88" s="1"/>
  <c r="Q35" i="88"/>
  <c r="K35" i="88"/>
  <c r="J35" i="88"/>
  <c r="N35" i="88" s="1"/>
  <c r="C35" i="88"/>
  <c r="B35" i="88"/>
  <c r="H35" i="88" s="1"/>
  <c r="Q34" i="88"/>
  <c r="K34" i="88"/>
  <c r="J34" i="88"/>
  <c r="N34" i="88" s="1"/>
  <c r="C34" i="88"/>
  <c r="B34" i="88"/>
  <c r="H34" i="88" s="1"/>
  <c r="Q33" i="88"/>
  <c r="K33" i="88"/>
  <c r="J33" i="88"/>
  <c r="N33" i="88" s="1"/>
  <c r="C33" i="88"/>
  <c r="B33" i="88"/>
  <c r="H33" i="88" s="1"/>
  <c r="Q32" i="88"/>
  <c r="K32" i="88"/>
  <c r="J32" i="88"/>
  <c r="N32" i="88" s="1"/>
  <c r="C32" i="88"/>
  <c r="B32" i="88"/>
  <c r="H32" i="88" s="1"/>
  <c r="Q28" i="88"/>
  <c r="K28" i="88"/>
  <c r="J28" i="88"/>
  <c r="N28" i="88" s="1"/>
  <c r="C28" i="88"/>
  <c r="B28" i="88"/>
  <c r="H28" i="88" s="1"/>
  <c r="O27" i="88"/>
  <c r="O29" i="88" s="1"/>
  <c r="O50" i="88" s="1"/>
  <c r="M27" i="88"/>
  <c r="M29" i="88" s="1"/>
  <c r="L27" i="88"/>
  <c r="L29" i="88" s="1"/>
  <c r="I27" i="88"/>
  <c r="I29" i="88" s="1"/>
  <c r="I50" i="88" s="1"/>
  <c r="G27" i="88"/>
  <c r="G29" i="88" s="1"/>
  <c r="G50" i="88" s="1"/>
  <c r="F27" i="88"/>
  <c r="F29" i="88" s="1"/>
  <c r="E27" i="88"/>
  <c r="E29" i="88" s="1"/>
  <c r="E50" i="88" s="1"/>
  <c r="D27" i="88"/>
  <c r="D29" i="88" s="1"/>
  <c r="Q26" i="88"/>
  <c r="K26" i="88"/>
  <c r="J26" i="88"/>
  <c r="N26" i="88" s="1"/>
  <c r="C26" i="88"/>
  <c r="B26" i="88"/>
  <c r="H26" i="88" s="1"/>
  <c r="Q25" i="88"/>
  <c r="K25" i="88"/>
  <c r="J25" i="88"/>
  <c r="N25" i="88" s="1"/>
  <c r="C25" i="88"/>
  <c r="B25" i="88"/>
  <c r="H25" i="88" s="1"/>
  <c r="Q24" i="88"/>
  <c r="K24" i="88"/>
  <c r="J24" i="88"/>
  <c r="N24" i="88" s="1"/>
  <c r="C24" i="88"/>
  <c r="B24" i="88"/>
  <c r="H24" i="88" s="1"/>
  <c r="Q23" i="88"/>
  <c r="K23" i="88"/>
  <c r="J23" i="88"/>
  <c r="N23" i="88" s="1"/>
  <c r="C23" i="88"/>
  <c r="B23" i="88"/>
  <c r="H23" i="88" s="1"/>
  <c r="Q22" i="88"/>
  <c r="K22" i="88"/>
  <c r="J22" i="88"/>
  <c r="N22" i="88" s="1"/>
  <c r="C22" i="88"/>
  <c r="B22" i="88"/>
  <c r="H22" i="88" s="1"/>
  <c r="Q21" i="88"/>
  <c r="N21" i="88"/>
  <c r="K21" i="88"/>
  <c r="J21" i="88"/>
  <c r="C21" i="88"/>
  <c r="B21" i="88"/>
  <c r="H21" i="88" s="1"/>
  <c r="P21" i="88" s="1"/>
  <c r="Q20" i="88"/>
  <c r="K20" i="88"/>
  <c r="J20" i="88"/>
  <c r="N20" i="88" s="1"/>
  <c r="C20" i="88"/>
  <c r="B20" i="88"/>
  <c r="H20" i="88" s="1"/>
  <c r="Q19" i="88"/>
  <c r="N19" i="88"/>
  <c r="K19" i="88"/>
  <c r="J19" i="88"/>
  <c r="C19" i="88"/>
  <c r="B19" i="88"/>
  <c r="H19" i="88" s="1"/>
  <c r="P19" i="88" s="1"/>
  <c r="Q18" i="88"/>
  <c r="K18" i="88"/>
  <c r="J18" i="88"/>
  <c r="N18" i="88" s="1"/>
  <c r="C18" i="88"/>
  <c r="B18" i="88"/>
  <c r="H18" i="88" s="1"/>
  <c r="Q17" i="88"/>
  <c r="K17" i="88"/>
  <c r="J17" i="88"/>
  <c r="N17" i="88" s="1"/>
  <c r="C17" i="88"/>
  <c r="B17" i="88"/>
  <c r="H17" i="88" s="1"/>
  <c r="Q16" i="88"/>
  <c r="K16" i="88"/>
  <c r="J16" i="88"/>
  <c r="N16" i="88" s="1"/>
  <c r="C16" i="88"/>
  <c r="B16" i="88"/>
  <c r="H16" i="88" s="1"/>
  <c r="Q15" i="88"/>
  <c r="K15" i="88"/>
  <c r="J15" i="88"/>
  <c r="N15" i="88" s="1"/>
  <c r="C15" i="88"/>
  <c r="B15" i="88"/>
  <c r="H15" i="88" s="1"/>
  <c r="Q14" i="88"/>
  <c r="K14" i="88"/>
  <c r="J14" i="88"/>
  <c r="N14" i="88" s="1"/>
  <c r="C14" i="88"/>
  <c r="B14" i="88"/>
  <c r="H14" i="88" s="1"/>
  <c r="Q13" i="88"/>
  <c r="K13" i="88"/>
  <c r="J13" i="88"/>
  <c r="N13" i="88" s="1"/>
  <c r="C13" i="88"/>
  <c r="B13" i="88"/>
  <c r="H13" i="88" s="1"/>
  <c r="Q12" i="88"/>
  <c r="K12" i="88"/>
  <c r="J12" i="88"/>
  <c r="N12" i="88" s="1"/>
  <c r="C12" i="88"/>
  <c r="B12" i="88"/>
  <c r="H12" i="88" s="1"/>
  <c r="Q11" i="88"/>
  <c r="K11" i="88"/>
  <c r="J11" i="88"/>
  <c r="N11" i="88" s="1"/>
  <c r="C11" i="88"/>
  <c r="B11" i="88"/>
  <c r="H11" i="88" s="1"/>
  <c r="Q10" i="88"/>
  <c r="K10" i="88"/>
  <c r="J10" i="88"/>
  <c r="N10" i="88" s="1"/>
  <c r="C10" i="88"/>
  <c r="B10" i="88"/>
  <c r="H10" i="88" s="1"/>
  <c r="Q9" i="88"/>
  <c r="K9" i="88"/>
  <c r="J9" i="88"/>
  <c r="N9" i="88" s="1"/>
  <c r="C9" i="88"/>
  <c r="B9" i="88"/>
  <c r="H9" i="88" s="1"/>
  <c r="P25" i="89" l="1"/>
  <c r="P29" i="89"/>
  <c r="G44" i="90"/>
  <c r="H49" i="90"/>
  <c r="P16" i="88"/>
  <c r="AP11" i="89"/>
  <c r="AQ12" i="89"/>
  <c r="P16" i="89"/>
  <c r="AA20" i="89"/>
  <c r="AQ40" i="89"/>
  <c r="R12" i="90"/>
  <c r="AC13" i="89"/>
  <c r="N24" i="89"/>
  <c r="R49" i="89"/>
  <c r="P12" i="88"/>
  <c r="AQ11" i="89"/>
  <c r="AQ13" i="89"/>
  <c r="P22" i="89"/>
  <c r="AA24" i="89"/>
  <c r="AA34" i="89"/>
  <c r="G26" i="90"/>
  <c r="O38" i="90"/>
  <c r="N43" i="88"/>
  <c r="K48" i="88"/>
  <c r="K49" i="88" s="1"/>
  <c r="K37" i="88"/>
  <c r="Q27" i="88"/>
  <c r="Q29" i="88" s="1"/>
  <c r="Q50" i="88" s="1"/>
  <c r="P13" i="88"/>
  <c r="P17" i="88"/>
  <c r="P25" i="88"/>
  <c r="Q37" i="88"/>
  <c r="P35" i="88"/>
  <c r="B48" i="88"/>
  <c r="Q48" i="88"/>
  <c r="P23" i="88"/>
  <c r="C37" i="88"/>
  <c r="P33" i="88"/>
  <c r="P43" i="88"/>
  <c r="C48" i="88"/>
  <c r="C27" i="88"/>
  <c r="C29" i="88" s="1"/>
  <c r="J27" i="88"/>
  <c r="J29" i="88" s="1"/>
  <c r="P28" i="88"/>
  <c r="N37" i="88"/>
  <c r="J37" i="88"/>
  <c r="P39" i="88"/>
  <c r="P18" i="88"/>
  <c r="P20" i="88"/>
  <c r="P22" i="88"/>
  <c r="P24" i="88"/>
  <c r="P26" i="88"/>
  <c r="L50" i="88"/>
  <c r="P34" i="88"/>
  <c r="P36" i="88"/>
  <c r="F49" i="88"/>
  <c r="F50" i="88" s="1"/>
  <c r="H45" i="88"/>
  <c r="H48" i="88" s="1"/>
  <c r="D49" i="88"/>
  <c r="D50" i="88" s="1"/>
  <c r="K27" i="88"/>
  <c r="K29" i="88" s="1"/>
  <c r="Q49" i="88"/>
  <c r="M49" i="88"/>
  <c r="M50" i="88" s="1"/>
  <c r="P41" i="88"/>
  <c r="L49" i="88"/>
  <c r="J13" i="90"/>
  <c r="D14" i="90"/>
  <c r="D21" i="90"/>
  <c r="J21" i="90"/>
  <c r="T21" i="90" s="1"/>
  <c r="AJ21" i="90" s="1"/>
  <c r="S27" i="90"/>
  <c r="J27" i="90"/>
  <c r="J33" i="90"/>
  <c r="J37" i="90"/>
  <c r="T37" i="90" s="1"/>
  <c r="X37" i="90"/>
  <c r="M50" i="90"/>
  <c r="J40" i="90"/>
  <c r="D44" i="90"/>
  <c r="T44" i="90" s="1"/>
  <c r="J44" i="90"/>
  <c r="S18" i="90"/>
  <c r="AI14" i="90"/>
  <c r="R48" i="90"/>
  <c r="AH48" i="90" s="1"/>
  <c r="AG42" i="90"/>
  <c r="Y28" i="90"/>
  <c r="Y30" i="90" s="1"/>
  <c r="S17" i="90"/>
  <c r="X18" i="90"/>
  <c r="X19" i="90"/>
  <c r="X21" i="90"/>
  <c r="AG21" i="90" s="1"/>
  <c r="D23" i="90"/>
  <c r="J25" i="90"/>
  <c r="R26" i="90"/>
  <c r="J26" i="90"/>
  <c r="AE34" i="90"/>
  <c r="J36" i="90"/>
  <c r="J38" i="90" s="1"/>
  <c r="W38" i="90"/>
  <c r="T14" i="90"/>
  <c r="Y49" i="90"/>
  <c r="G12" i="90"/>
  <c r="AE12" i="90"/>
  <c r="AH12" i="90" s="1"/>
  <c r="D13" i="90"/>
  <c r="T13" i="90" s="1"/>
  <c r="AE15" i="90"/>
  <c r="R18" i="90"/>
  <c r="AF21" i="90"/>
  <c r="S23" i="90"/>
  <c r="AI23" i="90" s="1"/>
  <c r="Q33" i="90"/>
  <c r="X34" i="90"/>
  <c r="AG34" i="90" s="1"/>
  <c r="S47" i="90"/>
  <c r="P51" i="90"/>
  <c r="G11" i="90"/>
  <c r="J12" i="90"/>
  <c r="T12" i="90" s="1"/>
  <c r="X14" i="90"/>
  <c r="AA18" i="90"/>
  <c r="R19" i="90"/>
  <c r="AE20" i="90"/>
  <c r="S21" i="90"/>
  <c r="AE23" i="90"/>
  <c r="R29" i="90"/>
  <c r="AF38" i="90"/>
  <c r="AI35" i="90"/>
  <c r="R36" i="90"/>
  <c r="AE40" i="90"/>
  <c r="R44" i="90"/>
  <c r="Q49" i="90"/>
  <c r="O49" i="90"/>
  <c r="AC50" i="90"/>
  <c r="AC51" i="90" s="1"/>
  <c r="F28" i="90"/>
  <c r="F30" i="90" s="1"/>
  <c r="AG12" i="90"/>
  <c r="R14" i="90"/>
  <c r="J15" i="90"/>
  <c r="T15" i="90" s="1"/>
  <c r="J17" i="90"/>
  <c r="AI18" i="90"/>
  <c r="AI19" i="90"/>
  <c r="AE21" i="90"/>
  <c r="S22" i="90"/>
  <c r="AI22" i="90" s="1"/>
  <c r="J23" i="90"/>
  <c r="R27" i="90"/>
  <c r="M51" i="90"/>
  <c r="S29" i="90"/>
  <c r="R34" i="90"/>
  <c r="R35" i="90"/>
  <c r="AI37" i="90"/>
  <c r="I38" i="90"/>
  <c r="W50" i="90"/>
  <c r="R46" i="90"/>
  <c r="AO28" i="89"/>
  <c r="AO30" i="89" s="1"/>
  <c r="AP12" i="89"/>
  <c r="AS12" i="89" s="1"/>
  <c r="N14" i="89"/>
  <c r="AM17" i="89"/>
  <c r="N18" i="89"/>
  <c r="AA18" i="89"/>
  <c r="AD18" i="89" s="1"/>
  <c r="AP19" i="89"/>
  <c r="T20" i="89"/>
  <c r="AS22" i="89"/>
  <c r="AP25" i="89"/>
  <c r="AP29" i="89"/>
  <c r="F50" i="89"/>
  <c r="F51" i="89" s="1"/>
  <c r="V50" i="89"/>
  <c r="T46" i="89"/>
  <c r="AC46" i="89" s="1"/>
  <c r="AU47" i="89"/>
  <c r="AM47" i="89"/>
  <c r="AS47" i="89" s="1"/>
  <c r="AR13" i="89"/>
  <c r="AU16" i="89"/>
  <c r="N19" i="89"/>
  <c r="AU22" i="89"/>
  <c r="C51" i="89"/>
  <c r="S51" i="89"/>
  <c r="AA35" i="89"/>
  <c r="P36" i="89"/>
  <c r="N36" i="89"/>
  <c r="AU44" i="89"/>
  <c r="AA46" i="89"/>
  <c r="AQ20" i="89"/>
  <c r="AP13" i="89"/>
  <c r="AR15" i="89"/>
  <c r="AU15" i="89" s="1"/>
  <c r="AR18" i="89"/>
  <c r="AU18" i="89" s="1"/>
  <c r="D19" i="89"/>
  <c r="AA22" i="89"/>
  <c r="AR23" i="89"/>
  <c r="AU26" i="89"/>
  <c r="AM26" i="89"/>
  <c r="AM27" i="89"/>
  <c r="AS27" i="89" s="1"/>
  <c r="W35" i="89"/>
  <c r="AC35" i="89" s="1"/>
  <c r="AQ35" i="89"/>
  <c r="X49" i="89"/>
  <c r="AQ47" i="89"/>
  <c r="T48" i="89"/>
  <c r="AC48" i="89" s="1"/>
  <c r="AO51" i="89"/>
  <c r="AS16" i="89"/>
  <c r="B28" i="89"/>
  <c r="B30" i="89" s="1"/>
  <c r="U28" i="89"/>
  <c r="U30" i="89" s="1"/>
  <c r="AQ10" i="89"/>
  <c r="AR11" i="89"/>
  <c r="AA12" i="89"/>
  <c r="AU12" i="89"/>
  <c r="D14" i="89"/>
  <c r="P14" i="89" s="1"/>
  <c r="AQ14" i="89"/>
  <c r="N17" i="89"/>
  <c r="AD17" i="89" s="1"/>
  <c r="W18" i="89"/>
  <c r="AC19" i="89"/>
  <c r="AQ19" i="89"/>
  <c r="P20" i="89"/>
  <c r="AU20" i="89"/>
  <c r="W22" i="89"/>
  <c r="AC22" i="89" s="1"/>
  <c r="N23" i="89"/>
  <c r="AE24" i="89"/>
  <c r="W24" i="89"/>
  <c r="AC24" i="89" s="1"/>
  <c r="AP24" i="89"/>
  <c r="AA25" i="89"/>
  <c r="AA29" i="89"/>
  <c r="U38" i="89"/>
  <c r="P34" i="89"/>
  <c r="P35" i="89"/>
  <c r="AM35" i="89"/>
  <c r="AS35" i="89" s="1"/>
  <c r="AU36" i="89"/>
  <c r="L50" i="89"/>
  <c r="L51" i="89" s="1"/>
  <c r="B49" i="89"/>
  <c r="AN49" i="89"/>
  <c r="P19" i="89"/>
  <c r="M28" i="89"/>
  <c r="M30" i="89" s="1"/>
  <c r="Z28" i="89"/>
  <c r="Z30" i="89" s="1"/>
  <c r="AA11" i="89"/>
  <c r="AB28" i="89"/>
  <c r="AB30" i="89" s="1"/>
  <c r="P12" i="89"/>
  <c r="P13" i="89"/>
  <c r="AU13" i="89"/>
  <c r="AA15" i="89"/>
  <c r="D17" i="89"/>
  <c r="P17" i="89" s="1"/>
  <c r="AA17" i="89"/>
  <c r="AP17" i="89"/>
  <c r="AC20" i="89"/>
  <c r="AP20" i="89"/>
  <c r="N21" i="89"/>
  <c r="AR21" i="89"/>
  <c r="AU21" i="89" s="1"/>
  <c r="P23" i="89"/>
  <c r="AA23" i="89"/>
  <c r="AP23" i="89"/>
  <c r="AS23" i="89" s="1"/>
  <c r="P26" i="89"/>
  <c r="AV26" i="89" s="1"/>
  <c r="AE26" i="89"/>
  <c r="AP26" i="89"/>
  <c r="AE27" i="89"/>
  <c r="X38" i="89"/>
  <c r="X50" i="89" s="1"/>
  <c r="AR37" i="89"/>
  <c r="AU37" i="89" s="1"/>
  <c r="P44" i="89"/>
  <c r="Z46" i="89"/>
  <c r="AE47" i="89"/>
  <c r="AU48" i="89"/>
  <c r="AE48" i="89"/>
  <c r="P27" i="89"/>
  <c r="AP38" i="89"/>
  <c r="O28" i="89"/>
  <c r="AE28" i="89" s="1"/>
  <c r="AN28" i="89"/>
  <c r="AN30" i="89" s="1"/>
  <c r="AP14" i="89"/>
  <c r="AA21" i="89"/>
  <c r="AD21" i="89" s="1"/>
  <c r="AM21" i="89"/>
  <c r="N25" i="89"/>
  <c r="AD25" i="89" s="1"/>
  <c r="AS26" i="89"/>
  <c r="AA27" i="89"/>
  <c r="N29" i="89"/>
  <c r="AB38" i="89"/>
  <c r="AU34" i="89"/>
  <c r="AU42" i="89"/>
  <c r="AA44" i="89"/>
  <c r="AA47" i="89"/>
  <c r="AA49" i="89" s="1"/>
  <c r="AF13" i="89"/>
  <c r="O30" i="89"/>
  <c r="P15" i="89"/>
  <c r="AF19" i="89"/>
  <c r="AD24" i="89"/>
  <c r="D38" i="89"/>
  <c r="J28" i="89"/>
  <c r="J30" i="89" s="1"/>
  <c r="P11" i="89"/>
  <c r="AD23" i="89"/>
  <c r="AE38" i="89"/>
  <c r="P37" i="89"/>
  <c r="N13" i="89"/>
  <c r="AS14" i="89"/>
  <c r="AC25" i="89"/>
  <c r="AC29" i="89"/>
  <c r="AU35" i="89"/>
  <c r="AH49" i="89"/>
  <c r="AJ47" i="89"/>
  <c r="D22" i="90"/>
  <c r="T22" i="90" s="1"/>
  <c r="R22" i="90"/>
  <c r="B28" i="90"/>
  <c r="B30" i="90" s="1"/>
  <c r="E28" i="89"/>
  <c r="E30" i="89" s="1"/>
  <c r="W10" i="89"/>
  <c r="W28" i="89" s="1"/>
  <c r="W30" i="89" s="1"/>
  <c r="AL28" i="89"/>
  <c r="AL30" i="89" s="1"/>
  <c r="AP10" i="89"/>
  <c r="AM11" i="89"/>
  <c r="AS11" i="89" s="1"/>
  <c r="AU11" i="89"/>
  <c r="N12" i="89"/>
  <c r="T12" i="89"/>
  <c r="AC12" i="89" s="1"/>
  <c r="AF12" i="89" s="1"/>
  <c r="AA13" i="89"/>
  <c r="AE13" i="89"/>
  <c r="T15" i="89"/>
  <c r="AC15" i="89" s="1"/>
  <c r="AQ15" i="89"/>
  <c r="N16" i="89"/>
  <c r="AC16" i="89"/>
  <c r="AQ16" i="89"/>
  <c r="AU17" i="89"/>
  <c r="D18" i="89"/>
  <c r="P18" i="89" s="1"/>
  <c r="T21" i="89"/>
  <c r="AC21" i="89" s="1"/>
  <c r="AQ21" i="89"/>
  <c r="N22" i="89"/>
  <c r="AQ22" i="89"/>
  <c r="AU23" i="89"/>
  <c r="D24" i="89"/>
  <c r="P24" i="89" s="1"/>
  <c r="AQ25" i="89"/>
  <c r="AM25" i="89"/>
  <c r="AS25" i="89" s="1"/>
  <c r="T27" i="89"/>
  <c r="AC27" i="89" s="1"/>
  <c r="AF27" i="89" s="1"/>
  <c r="K28" i="89"/>
  <c r="K30" i="89" s="1"/>
  <c r="X28" i="89"/>
  <c r="X30" i="89" s="1"/>
  <c r="AK28" i="89"/>
  <c r="AK30" i="89" s="1"/>
  <c r="AQ29" i="89"/>
  <c r="AM29" i="89"/>
  <c r="AS29" i="89" s="1"/>
  <c r="G38" i="89"/>
  <c r="W33" i="89"/>
  <c r="AE33" i="89"/>
  <c r="AL38" i="89"/>
  <c r="AR33" i="89"/>
  <c r="T34" i="89"/>
  <c r="AC34" i="89" s="1"/>
  <c r="AV34" i="89" s="1"/>
  <c r="AM36" i="89"/>
  <c r="AS36" i="89" s="1"/>
  <c r="AQ36" i="89"/>
  <c r="AA37" i="89"/>
  <c r="T37" i="89"/>
  <c r="AC37" i="89" s="1"/>
  <c r="AM42" i="89"/>
  <c r="AS42" i="89" s="1"/>
  <c r="AQ42" i="89"/>
  <c r="J49" i="89"/>
  <c r="P48" i="89"/>
  <c r="G10" i="89"/>
  <c r="G28" i="89" s="1"/>
  <c r="G30" i="89" s="1"/>
  <c r="R28" i="89"/>
  <c r="R30" i="89" s="1"/>
  <c r="AH28" i="89"/>
  <c r="AH30" i="89" s="1"/>
  <c r="AM10" i="89"/>
  <c r="AU10" i="89"/>
  <c r="N11" i="89"/>
  <c r="T11" i="89"/>
  <c r="AC11" i="89" s="1"/>
  <c r="AA14" i="89"/>
  <c r="AD14" i="89" s="1"/>
  <c r="N15" i="89"/>
  <c r="AA16" i="89"/>
  <c r="T17" i="89"/>
  <c r="AC17" i="89" s="1"/>
  <c r="AF17" i="89" s="1"/>
  <c r="AQ17" i="89"/>
  <c r="AT17" i="89" s="1"/>
  <c r="AC18" i="89"/>
  <c r="AQ18" i="89"/>
  <c r="AM18" i="89"/>
  <c r="AS18" i="89" s="1"/>
  <c r="AE19" i="89"/>
  <c r="AR19" i="89"/>
  <c r="AU19" i="89" s="1"/>
  <c r="T23" i="89"/>
  <c r="AC23" i="89" s="1"/>
  <c r="AQ23" i="89"/>
  <c r="AT23" i="89" s="1"/>
  <c r="AQ24" i="89"/>
  <c r="AT24" i="89" s="1"/>
  <c r="AM24" i="89"/>
  <c r="AE25" i="89"/>
  <c r="AR25" i="89"/>
  <c r="AU25" i="89" s="1"/>
  <c r="AA26" i="89"/>
  <c r="T26" i="89"/>
  <c r="AC26" i="89" s="1"/>
  <c r="N27" i="89"/>
  <c r="AU29" i="89"/>
  <c r="AE29" i="89"/>
  <c r="AR29" i="89"/>
  <c r="Z38" i="89"/>
  <c r="AU33" i="89"/>
  <c r="N34" i="89"/>
  <c r="AQ34" i="89"/>
  <c r="N35" i="89"/>
  <c r="AE36" i="89"/>
  <c r="H38" i="89"/>
  <c r="AA40" i="89"/>
  <c r="T40" i="89"/>
  <c r="AC40" i="89" s="1"/>
  <c r="AR40" i="89"/>
  <c r="AU40" i="89" s="1"/>
  <c r="AM40" i="89"/>
  <c r="AS40" i="89" s="1"/>
  <c r="U49" i="89"/>
  <c r="W46" i="89"/>
  <c r="W49" i="89" s="1"/>
  <c r="AF17" i="90"/>
  <c r="AI17" i="90" s="1"/>
  <c r="X17" i="90"/>
  <c r="AG17" i="90" s="1"/>
  <c r="AB28" i="90"/>
  <c r="AB30" i="90" s="1"/>
  <c r="AA10" i="89"/>
  <c r="AE10" i="89"/>
  <c r="AE20" i="89"/>
  <c r="AS20" i="89"/>
  <c r="K38" i="89"/>
  <c r="M33" i="89"/>
  <c r="M38" i="89" s="1"/>
  <c r="AS33" i="89"/>
  <c r="AQ33" i="89"/>
  <c r="E38" i="89"/>
  <c r="D40" i="89"/>
  <c r="P40" i="89" s="1"/>
  <c r="N40" i="89"/>
  <c r="H49" i="89"/>
  <c r="H28" i="89"/>
  <c r="H30" i="89" s="1"/>
  <c r="N10" i="89"/>
  <c r="T10" i="89"/>
  <c r="AJ10" i="89"/>
  <c r="AJ28" i="89" s="1"/>
  <c r="AJ30" i="89" s="1"/>
  <c r="AR10" i="89"/>
  <c r="AM13" i="89"/>
  <c r="AS13" i="89" s="1"/>
  <c r="AV13" i="89" s="1"/>
  <c r="T14" i="89"/>
  <c r="AC14" i="89" s="1"/>
  <c r="AU14" i="89"/>
  <c r="AP15" i="89"/>
  <c r="AS15" i="89" s="1"/>
  <c r="AA19" i="89"/>
  <c r="AD19" i="89" s="1"/>
  <c r="AM19" i="89"/>
  <c r="AS19" i="89" s="1"/>
  <c r="N20" i="89"/>
  <c r="P21" i="89"/>
  <c r="AP21" i="89"/>
  <c r="AS21" i="89" s="1"/>
  <c r="AU24" i="89"/>
  <c r="AT25" i="89"/>
  <c r="AQ27" i="89"/>
  <c r="AT29" i="89"/>
  <c r="V51" i="89"/>
  <c r="J38" i="89"/>
  <c r="R38" i="89"/>
  <c r="R50" i="89" s="1"/>
  <c r="AA33" i="89"/>
  <c r="AH38" i="89"/>
  <c r="AH50" i="89" s="1"/>
  <c r="AC36" i="89"/>
  <c r="AA36" i="89"/>
  <c r="AT36" i="89" s="1"/>
  <c r="AM37" i="89"/>
  <c r="AS37" i="89" s="1"/>
  <c r="AK38" i="89"/>
  <c r="N42" i="89"/>
  <c r="O28" i="90"/>
  <c r="O30" i="90" s="1"/>
  <c r="Q10" i="90"/>
  <c r="Q28" i="90" s="1"/>
  <c r="Q30" i="90" s="1"/>
  <c r="AA14" i="90"/>
  <c r="AE14" i="90"/>
  <c r="AH14" i="90" s="1"/>
  <c r="G25" i="90"/>
  <c r="R25" i="90"/>
  <c r="N26" i="89"/>
  <c r="AE34" i="89"/>
  <c r="N37" i="89"/>
  <c r="AE40" i="89"/>
  <c r="P42" i="89"/>
  <c r="AA42" i="89"/>
  <c r="AQ44" i="89"/>
  <c r="AM44" i="89"/>
  <c r="AS44" i="89" s="1"/>
  <c r="O49" i="89"/>
  <c r="AE46" i="89"/>
  <c r="AR46" i="89"/>
  <c r="AR49" i="89" s="1"/>
  <c r="AL49" i="89"/>
  <c r="P47" i="89"/>
  <c r="Z49" i="89"/>
  <c r="H28" i="90"/>
  <c r="H30" i="90" s="1"/>
  <c r="J10" i="90"/>
  <c r="AE11" i="90"/>
  <c r="X11" i="90"/>
  <c r="AG11" i="90" s="1"/>
  <c r="AF13" i="90"/>
  <c r="X13" i="90"/>
  <c r="AG13" i="90" s="1"/>
  <c r="S16" i="90"/>
  <c r="AI16" i="90" s="1"/>
  <c r="D16" i="90"/>
  <c r="T16" i="90" s="1"/>
  <c r="AA19" i="90"/>
  <c r="AG19" i="90" s="1"/>
  <c r="AE19" i="90"/>
  <c r="T23" i="90"/>
  <c r="B38" i="89"/>
  <c r="B50" i="89" s="1"/>
  <c r="N33" i="89"/>
  <c r="T33" i="89"/>
  <c r="AJ33" i="89"/>
  <c r="AJ38" i="89" s="1"/>
  <c r="AN38" i="89"/>
  <c r="AE37" i="89"/>
  <c r="AQ37" i="89"/>
  <c r="S10" i="90"/>
  <c r="C28" i="90"/>
  <c r="C30" i="90" s="1"/>
  <c r="D10" i="90"/>
  <c r="N11" i="90"/>
  <c r="L28" i="90"/>
  <c r="L30" i="90" s="1"/>
  <c r="AE22" i="90"/>
  <c r="X22" i="90"/>
  <c r="AG22" i="90" s="1"/>
  <c r="AB49" i="89"/>
  <c r="AB50" i="89" s="1"/>
  <c r="AE10" i="90"/>
  <c r="R13" i="90"/>
  <c r="R17" i="90"/>
  <c r="T20" i="90"/>
  <c r="AE25" i="90"/>
  <c r="X25" i="90"/>
  <c r="AG25" i="90" s="1"/>
  <c r="AI29" i="90"/>
  <c r="C38" i="90"/>
  <c r="D34" i="90"/>
  <c r="T34" i="90" s="1"/>
  <c r="S34" i="90"/>
  <c r="AI34" i="90" s="1"/>
  <c r="AA35" i="90"/>
  <c r="AG35" i="90" s="1"/>
  <c r="AE35" i="90"/>
  <c r="AH35" i="90" s="1"/>
  <c r="S42" i="90"/>
  <c r="AI42" i="90" s="1"/>
  <c r="D42" i="90"/>
  <c r="T42" i="90" s="1"/>
  <c r="AJ42" i="90" s="1"/>
  <c r="N44" i="89"/>
  <c r="T44" i="89"/>
  <c r="AC44" i="89" s="1"/>
  <c r="AF44" i="89" s="1"/>
  <c r="D46" i="89"/>
  <c r="K49" i="89"/>
  <c r="M46" i="89"/>
  <c r="M49" i="89" s="1"/>
  <c r="AJ49" i="89"/>
  <c r="AP46" i="89"/>
  <c r="AP49" i="89" s="1"/>
  <c r="N48" i="89"/>
  <c r="E49" i="89"/>
  <c r="AA10" i="90"/>
  <c r="S13" i="90"/>
  <c r="AI13" i="90" s="1"/>
  <c r="AG14" i="90"/>
  <c r="R15" i="90"/>
  <c r="X15" i="90"/>
  <c r="AG15" i="90" s="1"/>
  <c r="AE18" i="90"/>
  <c r="R20" i="90"/>
  <c r="X20" i="90"/>
  <c r="AG20" i="90" s="1"/>
  <c r="V38" i="90"/>
  <c r="AE33" i="90"/>
  <c r="X33" i="90"/>
  <c r="O50" i="90"/>
  <c r="AB38" i="90"/>
  <c r="G49" i="89"/>
  <c r="N46" i="89"/>
  <c r="AK49" i="89"/>
  <c r="AM46" i="89"/>
  <c r="AQ46" i="89"/>
  <c r="N47" i="89"/>
  <c r="T47" i="89"/>
  <c r="AC47" i="89" s="1"/>
  <c r="AM48" i="89"/>
  <c r="AS48" i="89" s="1"/>
  <c r="AQ48" i="89"/>
  <c r="R10" i="90"/>
  <c r="V28" i="90"/>
  <c r="V30" i="90" s="1"/>
  <c r="X10" i="90"/>
  <c r="S11" i="90"/>
  <c r="AI11" i="90" s="1"/>
  <c r="R11" i="90"/>
  <c r="AH11" i="90" s="1"/>
  <c r="AE13" i="90"/>
  <c r="AI15" i="90"/>
  <c r="R16" i="90"/>
  <c r="AE16" i="90"/>
  <c r="X16" i="90"/>
  <c r="AG16" i="90" s="1"/>
  <c r="D17" i="90"/>
  <c r="AE17" i="90"/>
  <c r="J18" i="90"/>
  <c r="T18" i="90" s="1"/>
  <c r="D19" i="90"/>
  <c r="T19" i="90" s="1"/>
  <c r="AI20" i="90"/>
  <c r="R21" i="90"/>
  <c r="R23" i="90"/>
  <c r="AH23" i="90" s="1"/>
  <c r="X23" i="90"/>
  <c r="AG23" i="90" s="1"/>
  <c r="R24" i="90"/>
  <c r="AH24" i="90" s="1"/>
  <c r="X24" i="90"/>
  <c r="AG24" i="90" s="1"/>
  <c r="AI27" i="90"/>
  <c r="E38" i="90"/>
  <c r="R33" i="90"/>
  <c r="G33" i="90"/>
  <c r="G38" i="90" s="1"/>
  <c r="AA37" i="90"/>
  <c r="AG37" i="90" s="1"/>
  <c r="AE37" i="90"/>
  <c r="E28" i="90"/>
  <c r="E30" i="90" s="1"/>
  <c r="W28" i="90"/>
  <c r="W30" i="90" s="1"/>
  <c r="W51" i="90" s="1"/>
  <c r="I28" i="90"/>
  <c r="I30" i="90" s="1"/>
  <c r="Z28" i="90"/>
  <c r="Z30" i="90" s="1"/>
  <c r="Z51" i="90" s="1"/>
  <c r="D26" i="90"/>
  <c r="T26" i="90" s="1"/>
  <c r="AE26" i="90"/>
  <c r="AH26" i="90" s="1"/>
  <c r="X26" i="90"/>
  <c r="AG26" i="90" s="1"/>
  <c r="F50" i="90"/>
  <c r="AE36" i="90"/>
  <c r="AH36" i="90" s="1"/>
  <c r="X36" i="90"/>
  <c r="AG36" i="90" s="1"/>
  <c r="AE46" i="90"/>
  <c r="AH46" i="90" s="1"/>
  <c r="V49" i="90"/>
  <c r="X46" i="90"/>
  <c r="AE47" i="90"/>
  <c r="X47" i="90"/>
  <c r="AG47" i="90" s="1"/>
  <c r="AD28" i="90"/>
  <c r="AD30" i="90" s="1"/>
  <c r="J24" i="90"/>
  <c r="T24" i="90" s="1"/>
  <c r="AJ24" i="90" s="1"/>
  <c r="AI25" i="90"/>
  <c r="S26" i="90"/>
  <c r="AI26" i="90" s="1"/>
  <c r="D27" i="90"/>
  <c r="T27" i="90" s="1"/>
  <c r="AE27" i="90"/>
  <c r="AH27" i="90" s="1"/>
  <c r="X27" i="90"/>
  <c r="AG27" i="90" s="1"/>
  <c r="D29" i="90"/>
  <c r="T29" i="90" s="1"/>
  <c r="AJ29" i="90" s="1"/>
  <c r="AE29" i="90"/>
  <c r="X29" i="90"/>
  <c r="AG29" i="90" s="1"/>
  <c r="AI33" i="90"/>
  <c r="Q38" i="90"/>
  <c r="Q50" i="90" s="1"/>
  <c r="AD38" i="90"/>
  <c r="AH34" i="90"/>
  <c r="D47" i="90"/>
  <c r="T47" i="90" s="1"/>
  <c r="R47" i="90"/>
  <c r="AH47" i="90" s="1"/>
  <c r="B49" i="90"/>
  <c r="N47" i="90"/>
  <c r="N49" i="90" s="1"/>
  <c r="L49" i="90"/>
  <c r="L38" i="90"/>
  <c r="L50" i="90" s="1"/>
  <c r="B38" i="90"/>
  <c r="B50" i="90" s="1"/>
  <c r="AE42" i="90"/>
  <c r="AE44" i="90"/>
  <c r="X44" i="90"/>
  <c r="AG44" i="90" s="1"/>
  <c r="I49" i="90"/>
  <c r="S46" i="90"/>
  <c r="AF47" i="90"/>
  <c r="AE48" i="90"/>
  <c r="X48" i="90"/>
  <c r="AG48" i="90" s="1"/>
  <c r="H38" i="90"/>
  <c r="N33" i="90"/>
  <c r="N38" i="90" s="1"/>
  <c r="Y38" i="90"/>
  <c r="D35" i="90"/>
  <c r="T35" i="90" s="1"/>
  <c r="S44" i="90"/>
  <c r="AI44" i="90" s="1"/>
  <c r="J46" i="90"/>
  <c r="J49" i="90" s="1"/>
  <c r="AA49" i="90"/>
  <c r="D48" i="90"/>
  <c r="T48" i="90" s="1"/>
  <c r="C49" i="90"/>
  <c r="R37" i="90"/>
  <c r="T40" i="90"/>
  <c r="AJ40" i="90" s="1"/>
  <c r="R40" i="90"/>
  <c r="R42" i="90"/>
  <c r="E49" i="90"/>
  <c r="G46" i="90"/>
  <c r="AD49" i="90"/>
  <c r="AI48" i="90"/>
  <c r="AB49" i="90"/>
  <c r="P10" i="88"/>
  <c r="P14" i="88"/>
  <c r="H27" i="88"/>
  <c r="H29" i="88" s="1"/>
  <c r="P9" i="88"/>
  <c r="N27" i="88"/>
  <c r="N29" i="88" s="1"/>
  <c r="P11" i="88"/>
  <c r="P15" i="88"/>
  <c r="H37" i="88"/>
  <c r="P32" i="88"/>
  <c r="N48" i="88"/>
  <c r="B27" i="88"/>
  <c r="B29" i="88" s="1"/>
  <c r="B37" i="88"/>
  <c r="B49" i="88" s="1"/>
  <c r="J48" i="88"/>
  <c r="J49" i="88" s="1"/>
  <c r="D101" i="23"/>
  <c r="T25" i="90" l="1"/>
  <c r="AN50" i="89"/>
  <c r="AN51" i="89" s="1"/>
  <c r="B51" i="89"/>
  <c r="AT18" i="89"/>
  <c r="AD29" i="89"/>
  <c r="AH37" i="90"/>
  <c r="J50" i="88"/>
  <c r="T36" i="90"/>
  <c r="AJ36" i="90" s="1"/>
  <c r="H50" i="90"/>
  <c r="T17" i="90"/>
  <c r="AH18" i="90"/>
  <c r="AP50" i="89"/>
  <c r="AJ34" i="90"/>
  <c r="AF26" i="89"/>
  <c r="AF16" i="89"/>
  <c r="AF23" i="89"/>
  <c r="AF20" i="89"/>
  <c r="AV35" i="89"/>
  <c r="N49" i="88"/>
  <c r="N50" i="88" s="1"/>
  <c r="C49" i="88"/>
  <c r="C50" i="88" s="1"/>
  <c r="P37" i="88"/>
  <c r="P45" i="88"/>
  <c r="P48" i="88" s="1"/>
  <c r="P49" i="88" s="1"/>
  <c r="H49" i="88"/>
  <c r="B50" i="88"/>
  <c r="K50" i="88"/>
  <c r="D38" i="90"/>
  <c r="AJ47" i="90"/>
  <c r="AG18" i="90"/>
  <c r="AI38" i="90"/>
  <c r="AH40" i="90"/>
  <c r="Y50" i="90"/>
  <c r="Y51" i="90" s="1"/>
  <c r="AH21" i="90"/>
  <c r="AH15" i="90"/>
  <c r="AH17" i="90"/>
  <c r="T11" i="90"/>
  <c r="AJ11" i="90" s="1"/>
  <c r="AH29" i="90"/>
  <c r="AJ27" i="90"/>
  <c r="AJ26" i="90"/>
  <c r="AH19" i="90"/>
  <c r="AJ13" i="90"/>
  <c r="F51" i="90"/>
  <c r="AJ12" i="90"/>
  <c r="T33" i="90"/>
  <c r="T38" i="90" s="1"/>
  <c r="AI47" i="90"/>
  <c r="AH44" i="90"/>
  <c r="AH49" i="90"/>
  <c r="AE38" i="90"/>
  <c r="AH20" i="90"/>
  <c r="AJ44" i="90"/>
  <c r="AJ18" i="90"/>
  <c r="V50" i="90"/>
  <c r="V51" i="90" s="1"/>
  <c r="AJ22" i="90"/>
  <c r="I50" i="90"/>
  <c r="AJ20" i="90"/>
  <c r="AJ25" i="90"/>
  <c r="AI21" i="90"/>
  <c r="W38" i="89"/>
  <c r="W50" i="89" s="1"/>
  <c r="AS17" i="89"/>
  <c r="AV17" i="89" s="1"/>
  <c r="AB51" i="89"/>
  <c r="U50" i="89"/>
  <c r="U51" i="89" s="1"/>
  <c r="AV25" i="89"/>
  <c r="AQ49" i="89"/>
  <c r="T49" i="89"/>
  <c r="AF34" i="89"/>
  <c r="AF22" i="89"/>
  <c r="AV22" i="89"/>
  <c r="P33" i="89"/>
  <c r="AV27" i="89"/>
  <c r="AV44" i="89"/>
  <c r="AU46" i="89"/>
  <c r="AV36" i="89"/>
  <c r="AR38" i="89"/>
  <c r="X51" i="89"/>
  <c r="AQ28" i="89"/>
  <c r="AQ30" i="89" s="1"/>
  <c r="AV29" i="89"/>
  <c r="AV16" i="89"/>
  <c r="AT14" i="89"/>
  <c r="AF25" i="89"/>
  <c r="AJ50" i="89"/>
  <c r="AJ51" i="89" s="1"/>
  <c r="AE49" i="89"/>
  <c r="AV19" i="89"/>
  <c r="AM38" i="89"/>
  <c r="AV20" i="89"/>
  <c r="AS24" i="89"/>
  <c r="AV23" i="89"/>
  <c r="R51" i="89"/>
  <c r="AL50" i="89"/>
  <c r="AT21" i="89"/>
  <c r="AF29" i="89"/>
  <c r="N50" i="90"/>
  <c r="AJ19" i="90"/>
  <c r="N38" i="89"/>
  <c r="AD33" i="89"/>
  <c r="AT33" i="89"/>
  <c r="O51" i="90"/>
  <c r="AA38" i="89"/>
  <c r="AA50" i="89" s="1"/>
  <c r="T28" i="89"/>
  <c r="T30" i="89" s="1"/>
  <c r="AC10" i="89"/>
  <c r="AC28" i="89" s="1"/>
  <c r="AC30" i="89" s="1"/>
  <c r="E50" i="89"/>
  <c r="E51" i="89" s="1"/>
  <c r="AT11" i="89"/>
  <c r="AD11" i="89"/>
  <c r="AF24" i="89"/>
  <c r="AV24" i="89"/>
  <c r="AT16" i="89"/>
  <c r="AD16" i="89"/>
  <c r="AT13" i="89"/>
  <c r="AD13" i="89"/>
  <c r="AF49" i="90"/>
  <c r="AF50" i="90" s="1"/>
  <c r="AM49" i="89"/>
  <c r="AS46" i="89"/>
  <c r="AS49" i="89" s="1"/>
  <c r="AT42" i="89"/>
  <c r="AD42" i="89"/>
  <c r="N28" i="89"/>
  <c r="AD10" i="89"/>
  <c r="AT10" i="89"/>
  <c r="AA28" i="89"/>
  <c r="AA30" i="89" s="1"/>
  <c r="H50" i="89"/>
  <c r="H51" i="89" s="1"/>
  <c r="P38" i="89"/>
  <c r="AT15" i="89"/>
  <c r="AD15" i="89"/>
  <c r="AU28" i="89"/>
  <c r="AD36" i="89"/>
  <c r="AJ37" i="90"/>
  <c r="AF37" i="89"/>
  <c r="AV37" i="89"/>
  <c r="AF11" i="89"/>
  <c r="AV11" i="89"/>
  <c r="D49" i="90"/>
  <c r="D50" i="90" s="1"/>
  <c r="AJ35" i="90"/>
  <c r="R49" i="90"/>
  <c r="S38" i="90"/>
  <c r="N28" i="90"/>
  <c r="N30" i="90" s="1"/>
  <c r="AG46" i="90"/>
  <c r="X49" i="90"/>
  <c r="AA38" i="90"/>
  <c r="AA50" i="90" s="1"/>
  <c r="R38" i="90"/>
  <c r="R50" i="90" s="1"/>
  <c r="AH33" i="90"/>
  <c r="AH38" i="90" s="1"/>
  <c r="AH16" i="90"/>
  <c r="R28" i="90"/>
  <c r="R30" i="90" s="1"/>
  <c r="AH10" i="90"/>
  <c r="J50" i="90"/>
  <c r="AF28" i="90"/>
  <c r="AF30" i="90" s="1"/>
  <c r="D49" i="89"/>
  <c r="D50" i="89" s="1"/>
  <c r="P46" i="89"/>
  <c r="AJ15" i="90"/>
  <c r="J28" i="90"/>
  <c r="J30" i="90" s="1"/>
  <c r="AV42" i="89"/>
  <c r="AF42" i="89"/>
  <c r="AD26" i="89"/>
  <c r="AT26" i="89"/>
  <c r="AK50" i="89"/>
  <c r="AK51" i="89" s="1"/>
  <c r="J50" i="89"/>
  <c r="J51" i="89" s="1"/>
  <c r="AT20" i="89"/>
  <c r="AD20" i="89"/>
  <c r="AR28" i="89"/>
  <c r="AR30" i="89" s="1"/>
  <c r="AD40" i="89"/>
  <c r="AT40" i="89"/>
  <c r="AQ38" i="89"/>
  <c r="M50" i="89"/>
  <c r="M51" i="89" s="1"/>
  <c r="D28" i="89"/>
  <c r="D30" i="89" s="1"/>
  <c r="AT34" i="89"/>
  <c r="AD34" i="89"/>
  <c r="AT27" i="89"/>
  <c r="AD27" i="89"/>
  <c r="AM28" i="89"/>
  <c r="AM30" i="89" s="1"/>
  <c r="AS10" i="89"/>
  <c r="AT19" i="89"/>
  <c r="AT12" i="89"/>
  <c r="AD12" i="89"/>
  <c r="AL51" i="89"/>
  <c r="B51" i="90"/>
  <c r="AE50" i="89"/>
  <c r="AF36" i="89"/>
  <c r="P10" i="89"/>
  <c r="AF35" i="89"/>
  <c r="AE30" i="89"/>
  <c r="AE51" i="89" s="1"/>
  <c r="AE49" i="90"/>
  <c r="AT44" i="89"/>
  <c r="AD44" i="89"/>
  <c r="AJ16" i="90"/>
  <c r="AU49" i="89"/>
  <c r="AT37" i="89"/>
  <c r="AD37" i="89"/>
  <c r="AT35" i="89"/>
  <c r="AD35" i="89"/>
  <c r="Z50" i="89"/>
  <c r="Z51" i="89" s="1"/>
  <c r="AV48" i="89"/>
  <c r="AF48" i="89"/>
  <c r="AF18" i="89"/>
  <c r="AV18" i="89"/>
  <c r="AF14" i="89"/>
  <c r="AV14" i="89"/>
  <c r="T46" i="90"/>
  <c r="G49" i="90"/>
  <c r="G50" i="90" s="1"/>
  <c r="G28" i="90"/>
  <c r="G30" i="90" s="1"/>
  <c r="N49" i="89"/>
  <c r="AD49" i="89" s="1"/>
  <c r="AD46" i="89"/>
  <c r="AT46" i="89"/>
  <c r="AD48" i="89"/>
  <c r="AT48" i="89"/>
  <c r="AE28" i="90"/>
  <c r="AE30" i="90" s="1"/>
  <c r="D28" i="90"/>
  <c r="D30" i="90" s="1"/>
  <c r="T10" i="90"/>
  <c r="AF47" i="89"/>
  <c r="AV47" i="89"/>
  <c r="AF21" i="89"/>
  <c r="AV21" i="89"/>
  <c r="AP28" i="89"/>
  <c r="AP30" i="89" s="1"/>
  <c r="AP51" i="89" s="1"/>
  <c r="AH42" i="90"/>
  <c r="AJ48" i="90"/>
  <c r="AI46" i="90"/>
  <c r="AI49" i="90" s="1"/>
  <c r="AI50" i="90" s="1"/>
  <c r="S49" i="90"/>
  <c r="AD50" i="90"/>
  <c r="AD51" i="90" s="1"/>
  <c r="I51" i="90"/>
  <c r="E50" i="90"/>
  <c r="E51" i="90" s="1"/>
  <c r="AJ17" i="90"/>
  <c r="X28" i="90"/>
  <c r="X30" i="90" s="1"/>
  <c r="AG10" i="90"/>
  <c r="AT47" i="89"/>
  <c r="AD47" i="89"/>
  <c r="AC49" i="89"/>
  <c r="AB50" i="90"/>
  <c r="AB51" i="90" s="1"/>
  <c r="X38" i="90"/>
  <c r="X50" i="90" s="1"/>
  <c r="AG33" i="90"/>
  <c r="AA28" i="90"/>
  <c r="AA30" i="90" s="1"/>
  <c r="C50" i="90"/>
  <c r="C51" i="90" s="1"/>
  <c r="AH13" i="90"/>
  <c r="L51" i="90"/>
  <c r="AI10" i="90"/>
  <c r="AI28" i="90" s="1"/>
  <c r="AI30" i="90" s="1"/>
  <c r="S28" i="90"/>
  <c r="S30" i="90" s="1"/>
  <c r="AC33" i="89"/>
  <c r="AC38" i="89" s="1"/>
  <c r="T38" i="89"/>
  <c r="T50" i="89" s="1"/>
  <c r="AJ23" i="90"/>
  <c r="H51" i="90"/>
  <c r="AH25" i="90"/>
  <c r="Q51" i="90"/>
  <c r="AJ14" i="90"/>
  <c r="AV40" i="89"/>
  <c r="AF40" i="89"/>
  <c r="AS38" i="89"/>
  <c r="AS50" i="89" s="1"/>
  <c r="K50" i="89"/>
  <c r="K51" i="89" s="1"/>
  <c r="AU38" i="89"/>
  <c r="AH51" i="89"/>
  <c r="AR50" i="89"/>
  <c r="G50" i="89"/>
  <c r="G51" i="89" s="1"/>
  <c r="AT22" i="89"/>
  <c r="AD22" i="89"/>
  <c r="W51" i="89"/>
  <c r="AH22" i="90"/>
  <c r="O50" i="89"/>
  <c r="O51" i="89" s="1"/>
  <c r="AV12" i="89"/>
  <c r="AF15" i="89"/>
  <c r="AV15" i="89"/>
  <c r="P27" i="88"/>
  <c r="P29" i="88" s="1"/>
  <c r="H50" i="88"/>
  <c r="N8" i="64"/>
  <c r="N7" i="64"/>
  <c r="D43" i="23"/>
  <c r="AS28" i="89" l="1"/>
  <c r="AS30" i="89" s="1"/>
  <c r="AQ50" i="89"/>
  <c r="AE50" i="90"/>
  <c r="J51" i="90"/>
  <c r="AA51" i="90"/>
  <c r="X51" i="90"/>
  <c r="AE51" i="90"/>
  <c r="AR51" i="89"/>
  <c r="AQ51" i="89"/>
  <c r="AA51" i="89"/>
  <c r="AS51" i="89"/>
  <c r="AM50" i="89"/>
  <c r="AM51" i="89" s="1"/>
  <c r="AV33" i="89"/>
  <c r="AV38" i="89" s="1"/>
  <c r="AG38" i="90"/>
  <c r="T28" i="90"/>
  <c r="T30" i="90" s="1"/>
  <c r="AJ10" i="90"/>
  <c r="AJ28" i="90" s="1"/>
  <c r="AJ30" i="90" s="1"/>
  <c r="G51" i="90"/>
  <c r="D51" i="89"/>
  <c r="AH28" i="90"/>
  <c r="AH30" i="90" s="1"/>
  <c r="AG49" i="90"/>
  <c r="AT28" i="89"/>
  <c r="AC50" i="89"/>
  <c r="D51" i="90"/>
  <c r="AT49" i="89"/>
  <c r="T49" i="90"/>
  <c r="T50" i="90" s="1"/>
  <c r="AJ46" i="90"/>
  <c r="AJ49" i="90" s="1"/>
  <c r="P28" i="89"/>
  <c r="AV10" i="89"/>
  <c r="AF10" i="89"/>
  <c r="AF51" i="90"/>
  <c r="R51" i="90"/>
  <c r="N51" i="90"/>
  <c r="AF38" i="89"/>
  <c r="AC51" i="89"/>
  <c r="AT38" i="89"/>
  <c r="AG28" i="90"/>
  <c r="AG30" i="90" s="1"/>
  <c r="AU30" i="89"/>
  <c r="AD28" i="89"/>
  <c r="N30" i="89"/>
  <c r="T51" i="89"/>
  <c r="AU50" i="89"/>
  <c r="AI51" i="90"/>
  <c r="AV46" i="89"/>
  <c r="AF46" i="89"/>
  <c r="P49" i="89"/>
  <c r="AF49" i="89" s="1"/>
  <c r="AH50" i="90"/>
  <c r="S50" i="90"/>
  <c r="S51" i="90" s="1"/>
  <c r="AF33" i="89"/>
  <c r="N50" i="89"/>
  <c r="AD38" i="89"/>
  <c r="AD50" i="89" s="1"/>
  <c r="AJ33" i="90"/>
  <c r="AJ38" i="90" s="1"/>
  <c r="P50" i="88"/>
  <c r="D7" i="14"/>
  <c r="AH51" i="90" l="1"/>
  <c r="AJ50" i="90"/>
  <c r="AJ51" i="90" s="1"/>
  <c r="AU51" i="89"/>
  <c r="P30" i="89"/>
  <c r="AF28" i="89"/>
  <c r="T51" i="90"/>
  <c r="AV49" i="89"/>
  <c r="AT50" i="89"/>
  <c r="AF50" i="89"/>
  <c r="AV28" i="89"/>
  <c r="N51" i="89"/>
  <c r="AD30" i="89"/>
  <c r="AD51" i="89" s="1"/>
  <c r="P50" i="89"/>
  <c r="AT30" i="89"/>
  <c r="AG50" i="90"/>
  <c r="AG51" i="90" s="1"/>
  <c r="D9" i="7"/>
  <c r="D68" i="7"/>
  <c r="D7" i="11"/>
  <c r="D116" i="11"/>
  <c r="AV50" i="89" l="1"/>
  <c r="AV30" i="89"/>
  <c r="AT51" i="89"/>
  <c r="P51" i="89"/>
  <c r="AF30" i="89"/>
  <c r="AF51" i="89" s="1"/>
  <c r="N10" i="64"/>
  <c r="M10" i="64"/>
  <c r="L10" i="64"/>
  <c r="K10" i="64"/>
  <c r="J10" i="64"/>
  <c r="I10" i="64"/>
  <c r="H10" i="64"/>
  <c r="G10" i="64"/>
  <c r="M7" i="64"/>
  <c r="H8" i="63"/>
  <c r="N7" i="63"/>
  <c r="AV51" i="89" l="1"/>
  <c r="I46" i="52"/>
  <c r="D17" i="8" l="1"/>
  <c r="D42" i="8"/>
  <c r="D7" i="10"/>
  <c r="D40" i="6"/>
  <c r="D24" i="7"/>
  <c r="D26" i="7"/>
  <c r="D32" i="9" l="1"/>
  <c r="D8" i="9"/>
  <c r="D7" i="9"/>
  <c r="D43" i="8"/>
  <c r="D8" i="8"/>
  <c r="D7" i="8"/>
  <c r="D122" i="7"/>
  <c r="E122" i="7" s="1"/>
  <c r="D121" i="7"/>
  <c r="E121" i="7" s="1"/>
  <c r="D31" i="7"/>
  <c r="D29" i="7"/>
  <c r="D110" i="7"/>
  <c r="D112" i="7" s="1"/>
  <c r="D16" i="7"/>
  <c r="D13" i="7"/>
  <c r="D10" i="7"/>
  <c r="D8" i="11"/>
  <c r="D6" i="11"/>
  <c r="E6" i="11" s="1"/>
  <c r="D19" i="7"/>
  <c r="D8" i="6"/>
  <c r="D7" i="6"/>
  <c r="E7" i="6" s="1"/>
  <c r="E18" i="23"/>
  <c r="E13" i="16"/>
  <c r="D20" i="9"/>
  <c r="E53" i="14"/>
  <c r="D65" i="7"/>
  <c r="E65" i="7" s="1"/>
  <c r="E54" i="14"/>
  <c r="E74" i="23"/>
  <c r="E50" i="23"/>
  <c r="D58" i="23"/>
  <c r="E51" i="23"/>
  <c r="D52" i="23"/>
  <c r="D98" i="23"/>
  <c r="E174" i="23"/>
  <c r="E173" i="23"/>
  <c r="D71" i="23"/>
  <c r="D72" i="23"/>
  <c r="E72" i="23" s="1"/>
  <c r="D41" i="6"/>
  <c r="E41" i="6" s="1"/>
  <c r="D22" i="23"/>
  <c r="D65" i="23"/>
  <c r="D21" i="17"/>
  <c r="D93" i="11"/>
  <c r="E93" i="11" s="1"/>
  <c r="D86" i="23"/>
  <c r="D66" i="11"/>
  <c r="D14" i="6"/>
  <c r="E14" i="6" s="1"/>
  <c r="E31" i="17"/>
  <c r="C32" i="17"/>
  <c r="E17" i="23"/>
  <c r="E52" i="14"/>
  <c r="D164" i="23"/>
  <c r="E164" i="23" s="1"/>
  <c r="D163" i="23"/>
  <c r="E104" i="23"/>
  <c r="D103" i="23"/>
  <c r="E62" i="23"/>
  <c r="D147" i="23"/>
  <c r="E147" i="23" s="1"/>
  <c r="D25" i="17"/>
  <c r="I85" i="52"/>
  <c r="I87" i="52"/>
  <c r="I84" i="52"/>
  <c r="H113" i="52"/>
  <c r="I113" i="52" s="1"/>
  <c r="I98" i="52"/>
  <c r="I97" i="52"/>
  <c r="E73" i="23"/>
  <c r="F33" i="54"/>
  <c r="H13" i="52"/>
  <c r="E13" i="8"/>
  <c r="E16" i="11"/>
  <c r="I33" i="52"/>
  <c r="H34" i="52"/>
  <c r="G34" i="52"/>
  <c r="H52" i="52"/>
  <c r="G52" i="52"/>
  <c r="I51" i="52"/>
  <c r="H11" i="52"/>
  <c r="H8" i="52"/>
  <c r="I8" i="52" s="1"/>
  <c r="E112" i="23"/>
  <c r="E30" i="14"/>
  <c r="E107" i="23"/>
  <c r="C7" i="64"/>
  <c r="C9" i="64"/>
  <c r="C11" i="64" s="1"/>
  <c r="D15" i="64" s="1"/>
  <c r="D7" i="64"/>
  <c r="D9" i="64" s="1"/>
  <c r="D11" i="64" s="1"/>
  <c r="D16" i="64" s="1"/>
  <c r="E7" i="64"/>
  <c r="E9" i="64" s="1"/>
  <c r="E11" i="64" s="1"/>
  <c r="D17" i="64" s="1"/>
  <c r="F7" i="64"/>
  <c r="G7" i="64"/>
  <c r="H7" i="64"/>
  <c r="I7" i="64"/>
  <c r="J7" i="64"/>
  <c r="K7" i="64"/>
  <c r="L7" i="64"/>
  <c r="N9" i="64"/>
  <c r="N11" i="64" s="1"/>
  <c r="D26" i="64" s="1"/>
  <c r="F8" i="64"/>
  <c r="G8" i="64"/>
  <c r="H8" i="64"/>
  <c r="I8" i="64"/>
  <c r="J8" i="64"/>
  <c r="K8" i="64"/>
  <c r="L8" i="64"/>
  <c r="M8" i="64"/>
  <c r="M9" i="64" s="1"/>
  <c r="M11" i="64" s="1"/>
  <c r="D25" i="64" s="1"/>
  <c r="C7" i="63"/>
  <c r="C9" i="63" s="1"/>
  <c r="D7" i="63"/>
  <c r="D9" i="63" s="1"/>
  <c r="D11" i="63" s="1"/>
  <c r="C16" i="64" s="1"/>
  <c r="E7" i="63"/>
  <c r="E9" i="63" s="1"/>
  <c r="E11" i="63" s="1"/>
  <c r="C17" i="64" s="1"/>
  <c r="F7" i="63"/>
  <c r="G7" i="63"/>
  <c r="G9" i="63" s="1"/>
  <c r="G11" i="63" s="1"/>
  <c r="C19" i="64" s="1"/>
  <c r="H7" i="63"/>
  <c r="H9" i="63" s="1"/>
  <c r="H11" i="63" s="1"/>
  <c r="C20" i="64" s="1"/>
  <c r="I7" i="63"/>
  <c r="I9" i="63" s="1"/>
  <c r="I11" i="63" s="1"/>
  <c r="C21" i="64" s="1"/>
  <c r="J7" i="63"/>
  <c r="J9" i="63" s="1"/>
  <c r="J11" i="63" s="1"/>
  <c r="C22" i="64" s="1"/>
  <c r="K7" i="63"/>
  <c r="K9" i="63" s="1"/>
  <c r="K11" i="63" s="1"/>
  <c r="C23" i="64" s="1"/>
  <c r="L7" i="63"/>
  <c r="L9" i="63" s="1"/>
  <c r="L11" i="63" s="1"/>
  <c r="C24" i="64" s="1"/>
  <c r="M7" i="63"/>
  <c r="M9" i="63" s="1"/>
  <c r="M11" i="63" s="1"/>
  <c r="C25" i="64" s="1"/>
  <c r="N9" i="63"/>
  <c r="N11" i="63" s="1"/>
  <c r="C26" i="64" s="1"/>
  <c r="F8" i="63"/>
  <c r="C10" i="63"/>
  <c r="E7" i="23"/>
  <c r="E8" i="23"/>
  <c r="E9" i="23"/>
  <c r="E10" i="23"/>
  <c r="E11" i="23"/>
  <c r="E12" i="23"/>
  <c r="E13" i="23"/>
  <c r="E14" i="23"/>
  <c r="E15" i="23"/>
  <c r="E16" i="23"/>
  <c r="E19" i="23"/>
  <c r="C20" i="23"/>
  <c r="I39" i="2" s="1"/>
  <c r="D20" i="23"/>
  <c r="J39" i="2" s="1"/>
  <c r="E22" i="23"/>
  <c r="E23" i="23"/>
  <c r="E24" i="23"/>
  <c r="E25" i="23"/>
  <c r="C26" i="23"/>
  <c r="D26" i="23"/>
  <c r="E28" i="23"/>
  <c r="E29" i="23" s="1"/>
  <c r="K41" i="2" s="1"/>
  <c r="C29" i="23"/>
  <c r="I41" i="2" s="1"/>
  <c r="D29" i="23"/>
  <c r="E31" i="23"/>
  <c r="E32" i="23"/>
  <c r="E33" i="23"/>
  <c r="C34" i="23"/>
  <c r="D34" i="23"/>
  <c r="J42" i="2" s="1"/>
  <c r="E37" i="23"/>
  <c r="E38" i="23"/>
  <c r="E39" i="23"/>
  <c r="E41" i="23"/>
  <c r="E42" i="23"/>
  <c r="E43" i="23"/>
  <c r="E44" i="23"/>
  <c r="E45" i="23"/>
  <c r="E46" i="23"/>
  <c r="E47" i="23"/>
  <c r="E48" i="23"/>
  <c r="E49" i="23"/>
  <c r="E52" i="23"/>
  <c r="E53" i="23"/>
  <c r="E54" i="23"/>
  <c r="E55" i="23"/>
  <c r="E56" i="23"/>
  <c r="E63" i="23"/>
  <c r="E64" i="23"/>
  <c r="E65" i="23"/>
  <c r="E66" i="23"/>
  <c r="E67" i="23"/>
  <c r="E68" i="23"/>
  <c r="E69" i="23"/>
  <c r="E70" i="23"/>
  <c r="E71" i="23"/>
  <c r="E76" i="23"/>
  <c r="E77" i="23"/>
  <c r="E79" i="23"/>
  <c r="E80" i="23"/>
  <c r="E81" i="23"/>
  <c r="E82" i="23"/>
  <c r="E83" i="23"/>
  <c r="E84" i="23"/>
  <c r="E85" i="23"/>
  <c r="E86" i="23"/>
  <c r="E87" i="23"/>
  <c r="E88" i="23"/>
  <c r="E89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5" i="23"/>
  <c r="E106" i="23"/>
  <c r="E108" i="23"/>
  <c r="E109" i="23"/>
  <c r="E110" i="23"/>
  <c r="E111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8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5" i="23"/>
  <c r="E166" i="23"/>
  <c r="E167" i="23"/>
  <c r="E168" i="23"/>
  <c r="E169" i="23"/>
  <c r="E170" i="23"/>
  <c r="E171" i="23"/>
  <c r="E172" i="23"/>
  <c r="E175" i="23"/>
  <c r="C176" i="23"/>
  <c r="I43" i="2" s="1"/>
  <c r="C180" i="23"/>
  <c r="I44" i="2" s="1"/>
  <c r="D180" i="23"/>
  <c r="J44" i="2" s="1"/>
  <c r="E180" i="23"/>
  <c r="K44" i="2" s="1"/>
  <c r="E181" i="23"/>
  <c r="K45" i="2" s="1"/>
  <c r="F6" i="54"/>
  <c r="F7" i="54"/>
  <c r="D7" i="54"/>
  <c r="E7" i="54"/>
  <c r="D9" i="54"/>
  <c r="E9" i="54"/>
  <c r="E37" i="54" s="1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4" i="54"/>
  <c r="F35" i="54"/>
  <c r="D36" i="54"/>
  <c r="D37" i="54"/>
  <c r="E36" i="54"/>
  <c r="F39" i="54"/>
  <c r="F40" i="54" s="1"/>
  <c r="F32" i="2" s="1"/>
  <c r="D40" i="54"/>
  <c r="E40" i="54"/>
  <c r="F43" i="54"/>
  <c r="F44" i="54"/>
  <c r="F46" i="54"/>
  <c r="F47" i="54" s="1"/>
  <c r="F33" i="2" s="1"/>
  <c r="D47" i="54"/>
  <c r="D33" i="2" s="1"/>
  <c r="E47" i="54"/>
  <c r="E33" i="2" s="1"/>
  <c r="F49" i="54"/>
  <c r="F50" i="54"/>
  <c r="F51" i="54"/>
  <c r="F52" i="54"/>
  <c r="F53" i="54"/>
  <c r="F54" i="54"/>
  <c r="F55" i="54"/>
  <c r="F56" i="54"/>
  <c r="F57" i="54"/>
  <c r="F58" i="54"/>
  <c r="F59" i="54"/>
  <c r="F60" i="54"/>
  <c r="F61" i="54"/>
  <c r="D62" i="54"/>
  <c r="D34" i="2" s="1"/>
  <c r="E62" i="54"/>
  <c r="E34" i="2" s="1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I15" i="2"/>
  <c r="E7" i="16"/>
  <c r="E8" i="16"/>
  <c r="E9" i="16"/>
  <c r="E26" i="16" s="1"/>
  <c r="E29" i="16" s="1"/>
  <c r="K14" i="2" s="1"/>
  <c r="E10" i="16"/>
  <c r="E11" i="16"/>
  <c r="E12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C26" i="16"/>
  <c r="C29" i="16" s="1"/>
  <c r="I14" i="2" s="1"/>
  <c r="D26" i="16"/>
  <c r="D29" i="16" s="1"/>
  <c r="J14" i="2" s="1"/>
  <c r="E27" i="16"/>
  <c r="E28" i="16"/>
  <c r="E7" i="14"/>
  <c r="E8" i="14"/>
  <c r="E9" i="14"/>
  <c r="E10" i="14"/>
  <c r="E11" i="14"/>
  <c r="E22" i="14"/>
  <c r="E23" i="14"/>
  <c r="E24" i="14"/>
  <c r="E25" i="14"/>
  <c r="E26" i="14"/>
  <c r="E27" i="14"/>
  <c r="E28" i="14"/>
  <c r="E29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56" i="14" s="1"/>
  <c r="K13" i="2" s="1"/>
  <c r="E43" i="14"/>
  <c r="E44" i="14"/>
  <c r="E45" i="14"/>
  <c r="E46" i="14"/>
  <c r="E47" i="14"/>
  <c r="E48" i="14"/>
  <c r="E49" i="14"/>
  <c r="E50" i="14"/>
  <c r="E51" i="14"/>
  <c r="E55" i="14"/>
  <c r="C56" i="14"/>
  <c r="I13" i="2" s="1"/>
  <c r="D56" i="14"/>
  <c r="J13" i="2" s="1"/>
  <c r="C9" i="11"/>
  <c r="E11" i="11"/>
  <c r="E12" i="11"/>
  <c r="E13" i="11"/>
  <c r="E14" i="11"/>
  <c r="E15" i="11"/>
  <c r="E17" i="11"/>
  <c r="C18" i="11"/>
  <c r="D18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9" i="11"/>
  <c r="E70" i="11"/>
  <c r="E71" i="11"/>
  <c r="E72" i="11"/>
  <c r="E73" i="11"/>
  <c r="E74" i="11"/>
  <c r="E75" i="11"/>
  <c r="E76" i="11"/>
  <c r="E77" i="11"/>
  <c r="E78" i="11"/>
  <c r="E80" i="11"/>
  <c r="E81" i="11"/>
  <c r="E82" i="11"/>
  <c r="E83" i="11"/>
  <c r="E84" i="11"/>
  <c r="E85" i="11"/>
  <c r="E86" i="11"/>
  <c r="E87" i="11"/>
  <c r="E88" i="11"/>
  <c r="E89" i="11"/>
  <c r="E91" i="11"/>
  <c r="E92" i="11"/>
  <c r="E95" i="11"/>
  <c r="E96" i="11"/>
  <c r="E97" i="11"/>
  <c r="C98" i="11"/>
  <c r="D98" i="11"/>
  <c r="D109" i="11" s="1"/>
  <c r="E100" i="11"/>
  <c r="E101" i="11"/>
  <c r="E102" i="11"/>
  <c r="E103" i="11"/>
  <c r="E104" i="11"/>
  <c r="E105" i="11"/>
  <c r="E106" i="11"/>
  <c r="E107" i="11"/>
  <c r="C108" i="11"/>
  <c r="D108" i="11"/>
  <c r="E115" i="11"/>
  <c r="E116" i="11"/>
  <c r="E117" i="11"/>
  <c r="C118" i="11"/>
  <c r="I37" i="2" s="1"/>
  <c r="D118" i="11"/>
  <c r="J37" i="2" s="1"/>
  <c r="C126" i="11"/>
  <c r="C127" i="11"/>
  <c r="C128" i="11"/>
  <c r="E7" i="10"/>
  <c r="E8" i="10"/>
  <c r="E9" i="10"/>
  <c r="C10" i="10"/>
  <c r="C31" i="10" s="1"/>
  <c r="D10" i="10"/>
  <c r="E11" i="10"/>
  <c r="E12" i="10"/>
  <c r="E13" i="10"/>
  <c r="C14" i="10"/>
  <c r="D14" i="10"/>
  <c r="E20" i="10"/>
  <c r="E21" i="10"/>
  <c r="E22" i="10"/>
  <c r="C23" i="10"/>
  <c r="I36" i="2" s="1"/>
  <c r="D23" i="10"/>
  <c r="E7" i="9"/>
  <c r="E8" i="9"/>
  <c r="E9" i="9"/>
  <c r="C10" i="9"/>
  <c r="D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C24" i="9"/>
  <c r="C25" i="9" s="1"/>
  <c r="D24" i="9"/>
  <c r="E31" i="9"/>
  <c r="E32" i="9"/>
  <c r="E33" i="9"/>
  <c r="C34" i="9"/>
  <c r="I35" i="2" s="1"/>
  <c r="D34" i="9"/>
  <c r="E7" i="8"/>
  <c r="E8" i="8"/>
  <c r="E9" i="8"/>
  <c r="C10" i="8"/>
  <c r="D10" i="8"/>
  <c r="E12" i="8"/>
  <c r="E15" i="8" s="1"/>
  <c r="E14" i="8"/>
  <c r="C15" i="8"/>
  <c r="D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C35" i="8"/>
  <c r="D35" i="8"/>
  <c r="D36" i="8" s="1"/>
  <c r="D37" i="8" s="1"/>
  <c r="J9" i="2" s="1"/>
  <c r="E42" i="8"/>
  <c r="E44" i="8"/>
  <c r="C45" i="8"/>
  <c r="C56" i="8"/>
  <c r="E9" i="7"/>
  <c r="E10" i="7"/>
  <c r="E11" i="7"/>
  <c r="C12" i="7"/>
  <c r="D12" i="7"/>
  <c r="E14" i="7"/>
  <c r="E15" i="7"/>
  <c r="E16" i="7"/>
  <c r="E17" i="7"/>
  <c r="C18" i="7"/>
  <c r="E20" i="7"/>
  <c r="E21" i="7"/>
  <c r="E22" i="7"/>
  <c r="C23" i="7"/>
  <c r="E24" i="7"/>
  <c r="E25" i="7"/>
  <c r="E26" i="7"/>
  <c r="E27" i="7"/>
  <c r="C28" i="7"/>
  <c r="D28" i="7"/>
  <c r="E29" i="7"/>
  <c r="E30" i="7"/>
  <c r="E32" i="7"/>
  <c r="C33" i="7"/>
  <c r="C136" i="7" s="1"/>
  <c r="E35" i="7"/>
  <c r="E36" i="7"/>
  <c r="E37" i="7"/>
  <c r="C38" i="7"/>
  <c r="D38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C61" i="7"/>
  <c r="D61" i="7"/>
  <c r="E68" i="7"/>
  <c r="E70" i="7"/>
  <c r="E71" i="7"/>
  <c r="E72" i="7"/>
  <c r="E73" i="7"/>
  <c r="C74" i="7"/>
  <c r="C75" i="7" s="1"/>
  <c r="C99" i="7" s="1"/>
  <c r="D74" i="7"/>
  <c r="D75" i="7" s="1"/>
  <c r="E78" i="7"/>
  <c r="E79" i="7"/>
  <c r="E80" i="7"/>
  <c r="E81" i="7"/>
  <c r="E82" i="7"/>
  <c r="E83" i="7"/>
  <c r="E84" i="7"/>
  <c r="E85" i="7"/>
  <c r="E86" i="7"/>
  <c r="E87" i="7"/>
  <c r="C88" i="7"/>
  <c r="D88" i="7"/>
  <c r="E90" i="7"/>
  <c r="E91" i="7"/>
  <c r="C92" i="7"/>
  <c r="C93" i="7" s="1"/>
  <c r="D92" i="7"/>
  <c r="E95" i="7"/>
  <c r="E97" i="7" s="1"/>
  <c r="E98" i="7" s="1"/>
  <c r="E96" i="7"/>
  <c r="C97" i="7"/>
  <c r="C98" i="7"/>
  <c r="D97" i="7"/>
  <c r="D98" i="7" s="1"/>
  <c r="E105" i="7"/>
  <c r="E106" i="7"/>
  <c r="E107" i="7"/>
  <c r="E108" i="7" s="1"/>
  <c r="C108" i="7"/>
  <c r="D108" i="7"/>
  <c r="E109" i="7"/>
  <c r="E110" i="7"/>
  <c r="E111" i="7"/>
  <c r="C112" i="7"/>
  <c r="E113" i="7"/>
  <c r="D114" i="7"/>
  <c r="E115" i="7"/>
  <c r="C116" i="7"/>
  <c r="C134" i="7"/>
  <c r="E117" i="7"/>
  <c r="E118" i="7"/>
  <c r="E119" i="7"/>
  <c r="C120" i="7"/>
  <c r="D120" i="7"/>
  <c r="E123" i="7"/>
  <c r="C124" i="7"/>
  <c r="E8" i="6"/>
  <c r="C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C34" i="6"/>
  <c r="C35" i="6" s="1"/>
  <c r="E40" i="6"/>
  <c r="C42" i="6"/>
  <c r="C50" i="6"/>
  <c r="C51" i="6"/>
  <c r="I9" i="52"/>
  <c r="I10" i="52"/>
  <c r="I11" i="52"/>
  <c r="I13" i="52"/>
  <c r="I15" i="52"/>
  <c r="G16" i="52"/>
  <c r="I18" i="52"/>
  <c r="I19" i="52"/>
  <c r="I20" i="52"/>
  <c r="I21" i="52"/>
  <c r="I22" i="52"/>
  <c r="I23" i="52"/>
  <c r="I24" i="52"/>
  <c r="I25" i="52"/>
  <c r="I26" i="52"/>
  <c r="I27" i="52"/>
  <c r="I28" i="52"/>
  <c r="G29" i="52"/>
  <c r="H29" i="52"/>
  <c r="I31" i="52"/>
  <c r="I34" i="52" s="1"/>
  <c r="I32" i="52"/>
  <c r="G38" i="52"/>
  <c r="I36" i="52"/>
  <c r="I37" i="52"/>
  <c r="H37" i="52"/>
  <c r="G40" i="52"/>
  <c r="H40" i="52"/>
  <c r="I40" i="52"/>
  <c r="I41" i="52"/>
  <c r="I42" i="52"/>
  <c r="I43" i="52"/>
  <c r="I44" i="52"/>
  <c r="I45" i="52"/>
  <c r="I47" i="52"/>
  <c r="I48" i="52"/>
  <c r="I49" i="52"/>
  <c r="I50" i="52"/>
  <c r="I56" i="52"/>
  <c r="I58" i="52"/>
  <c r="I60" i="52"/>
  <c r="I61" i="52"/>
  <c r="I62" i="52"/>
  <c r="I64" i="52"/>
  <c r="I65" i="52"/>
  <c r="I66" i="52"/>
  <c r="I67" i="52"/>
  <c r="G68" i="52"/>
  <c r="H68" i="52"/>
  <c r="E8" i="2" s="1"/>
  <c r="I70" i="52"/>
  <c r="I71" i="52"/>
  <c r="I72" i="52"/>
  <c r="I73" i="52"/>
  <c r="I74" i="52"/>
  <c r="I75" i="52"/>
  <c r="I76" i="52"/>
  <c r="I77" i="52"/>
  <c r="I78" i="52"/>
  <c r="I79" i="52"/>
  <c r="I80" i="52"/>
  <c r="I81" i="52"/>
  <c r="I82" i="52"/>
  <c r="I83" i="52"/>
  <c r="I86" i="52"/>
  <c r="I88" i="52"/>
  <c r="I90" i="52"/>
  <c r="I91" i="52"/>
  <c r="I92" i="52"/>
  <c r="I93" i="52"/>
  <c r="I94" i="52"/>
  <c r="I95" i="52"/>
  <c r="I96" i="52"/>
  <c r="I99" i="52"/>
  <c r="I101" i="52"/>
  <c r="G104" i="52"/>
  <c r="D9" i="2" s="1"/>
  <c r="H104" i="52"/>
  <c r="E9" i="2" s="1"/>
  <c r="I107" i="52"/>
  <c r="I108" i="52"/>
  <c r="I109" i="52"/>
  <c r="I110" i="52"/>
  <c r="I112" i="52"/>
  <c r="G114" i="52"/>
  <c r="D10" i="2" s="1"/>
  <c r="H114" i="52"/>
  <c r="E10" i="2"/>
  <c r="I116" i="52"/>
  <c r="I117" i="52"/>
  <c r="I118" i="52"/>
  <c r="I119" i="52"/>
  <c r="I120" i="52"/>
  <c r="I121" i="52"/>
  <c r="I122" i="52"/>
  <c r="I123" i="52"/>
  <c r="I124" i="52"/>
  <c r="I125" i="52"/>
  <c r="I126" i="52"/>
  <c r="I127" i="52"/>
  <c r="I128" i="52"/>
  <c r="G129" i="52"/>
  <c r="D11" i="2" s="1"/>
  <c r="H129" i="52"/>
  <c r="E11" i="2" s="1"/>
  <c r="D8" i="2"/>
  <c r="K17" i="2"/>
  <c r="K18" i="2"/>
  <c r="K19" i="2"/>
  <c r="K20" i="2"/>
  <c r="K21" i="2"/>
  <c r="K22" i="2"/>
  <c r="K23" i="2"/>
  <c r="I25" i="2"/>
  <c r="J25" i="2"/>
  <c r="D32" i="2"/>
  <c r="E32" i="2"/>
  <c r="I32" i="2"/>
  <c r="I34" i="2"/>
  <c r="J35" i="2"/>
  <c r="I42" i="2"/>
  <c r="I45" i="2"/>
  <c r="J45" i="2"/>
  <c r="F50" i="2"/>
  <c r="K50" i="2"/>
  <c r="F51" i="2"/>
  <c r="K51" i="2"/>
  <c r="F52" i="2"/>
  <c r="F53" i="2"/>
  <c r="F54" i="2"/>
  <c r="F55" i="2"/>
  <c r="F56" i="2"/>
  <c r="D59" i="2"/>
  <c r="E59" i="2"/>
  <c r="I59" i="2"/>
  <c r="J59" i="2"/>
  <c r="F8" i="77"/>
  <c r="M8" i="77"/>
  <c r="N8" i="77" s="1"/>
  <c r="F9" i="77"/>
  <c r="M9" i="77"/>
  <c r="N9" i="77" s="1"/>
  <c r="F10" i="77"/>
  <c r="G10" i="77" s="1"/>
  <c r="M10" i="77"/>
  <c r="F11" i="77"/>
  <c r="G11" i="77" s="1"/>
  <c r="M11" i="77"/>
  <c r="N11" i="77" s="1"/>
  <c r="F12" i="77"/>
  <c r="G12" i="77" s="1"/>
  <c r="M12" i="77"/>
  <c r="N12" i="77" s="1"/>
  <c r="C13" i="77"/>
  <c r="D13" i="77"/>
  <c r="E13" i="77"/>
  <c r="J13" i="77"/>
  <c r="K13" i="77"/>
  <c r="L13" i="77"/>
  <c r="F14" i="77"/>
  <c r="G14" i="77" s="1"/>
  <c r="M14" i="77"/>
  <c r="F15" i="77"/>
  <c r="G15" i="77" s="1"/>
  <c r="M15" i="77"/>
  <c r="N15" i="77" s="1"/>
  <c r="F16" i="77"/>
  <c r="G16" i="77" s="1"/>
  <c r="M16" i="77"/>
  <c r="N16" i="77" s="1"/>
  <c r="C17" i="77"/>
  <c r="D17" i="77"/>
  <c r="E17" i="77"/>
  <c r="J17" i="77"/>
  <c r="K17" i="77"/>
  <c r="K18" i="77" s="1"/>
  <c r="K20" i="77" s="1"/>
  <c r="L17" i="77"/>
  <c r="F19" i="77"/>
  <c r="G19" i="77" s="1"/>
  <c r="M19" i="77"/>
  <c r="N19" i="77" s="1"/>
  <c r="B10" i="64" s="1"/>
  <c r="G8" i="77"/>
  <c r="C135" i="7"/>
  <c r="J41" i="2"/>
  <c r="I40" i="2"/>
  <c r="C15" i="10"/>
  <c r="I11" i="2" s="1"/>
  <c r="L9" i="64"/>
  <c r="C44" i="9"/>
  <c r="K9" i="64"/>
  <c r="K11" i="64" s="1"/>
  <c r="D23" i="64" s="1"/>
  <c r="C25" i="10"/>
  <c r="E7" i="11"/>
  <c r="D127" i="11"/>
  <c r="D44" i="9"/>
  <c r="D25" i="9"/>
  <c r="D36" i="9" s="1"/>
  <c r="D9" i="6"/>
  <c r="F9" i="64" l="1"/>
  <c r="F11" i="64" s="1"/>
  <c r="D18" i="64" s="1"/>
  <c r="F9" i="63"/>
  <c r="F11" i="63" s="1"/>
  <c r="C18" i="64" s="1"/>
  <c r="K25" i="2"/>
  <c r="I129" i="52"/>
  <c r="F11" i="2" s="1"/>
  <c r="C132" i="7"/>
  <c r="E35" i="8"/>
  <c r="E42" i="6"/>
  <c r="K32" i="2" s="1"/>
  <c r="D24" i="64"/>
  <c r="L11" i="64"/>
  <c r="C36" i="8"/>
  <c r="E108" i="11"/>
  <c r="C53" i="6"/>
  <c r="D42" i="6"/>
  <c r="E61" i="7"/>
  <c r="E38" i="7"/>
  <c r="C34" i="7"/>
  <c r="E10" i="10"/>
  <c r="F62" i="54"/>
  <c r="F34" i="2" s="1"/>
  <c r="C11" i="63"/>
  <c r="C15" i="64" s="1"/>
  <c r="C27" i="64" s="1"/>
  <c r="G9" i="64"/>
  <c r="G11" i="64" s="1"/>
  <c r="D19" i="64" s="1"/>
  <c r="H9" i="64"/>
  <c r="H11" i="64" s="1"/>
  <c r="D20" i="64" s="1"/>
  <c r="I114" i="52"/>
  <c r="F10" i="2" s="1"/>
  <c r="E98" i="11"/>
  <c r="J10" i="2"/>
  <c r="E124" i="7"/>
  <c r="E10" i="9"/>
  <c r="C130" i="11"/>
  <c r="E118" i="11"/>
  <c r="K37" i="2" s="1"/>
  <c r="E51" i="6"/>
  <c r="C182" i="23"/>
  <c r="E127" i="11"/>
  <c r="K59" i="2"/>
  <c r="C44" i="6"/>
  <c r="D124" i="7"/>
  <c r="D132" i="7"/>
  <c r="E12" i="7"/>
  <c r="E132" i="7" s="1"/>
  <c r="E10" i="8"/>
  <c r="E34" i="9"/>
  <c r="K35" i="2" s="1"/>
  <c r="D126" i="11"/>
  <c r="D51" i="6"/>
  <c r="D50" i="6"/>
  <c r="D53" i="6" s="1"/>
  <c r="D34" i="6"/>
  <c r="D35" i="6" s="1"/>
  <c r="M17" i="77"/>
  <c r="E9" i="6"/>
  <c r="E50" i="6"/>
  <c r="E53" i="6" s="1"/>
  <c r="I46" i="2"/>
  <c r="J9" i="64"/>
  <c r="J11" i="64" s="1"/>
  <c r="D22" i="64" s="1"/>
  <c r="C39" i="7"/>
  <c r="C62" i="7" s="1"/>
  <c r="C100" i="7" s="1"/>
  <c r="I8" i="2" s="1"/>
  <c r="J18" i="77"/>
  <c r="J20" i="77" s="1"/>
  <c r="E120" i="7"/>
  <c r="E112" i="7"/>
  <c r="E92" i="7"/>
  <c r="E14" i="10"/>
  <c r="E15" i="10" s="1"/>
  <c r="C109" i="11"/>
  <c r="C110" i="11" s="1"/>
  <c r="I7" i="2"/>
  <c r="D18" i="77"/>
  <c r="D20" i="77" s="1"/>
  <c r="I68" i="52"/>
  <c r="F8" i="2" s="1"/>
  <c r="G53" i="52"/>
  <c r="D93" i="7"/>
  <c r="D99" i="7" s="1"/>
  <c r="D135" i="7"/>
  <c r="C37" i="8"/>
  <c r="I9" i="64"/>
  <c r="I11" i="64" s="1"/>
  <c r="D21" i="64" s="1"/>
  <c r="I16" i="52"/>
  <c r="E18" i="11"/>
  <c r="J7" i="2"/>
  <c r="E28" i="7"/>
  <c r="E135" i="7" s="1"/>
  <c r="E23" i="10"/>
  <c r="K36" i="2" s="1"/>
  <c r="E126" i="11"/>
  <c r="D32" i="17"/>
  <c r="J15" i="2" s="1"/>
  <c r="L18" i="77"/>
  <c r="L20" i="77" s="1"/>
  <c r="N14" i="77"/>
  <c r="N17" i="77" s="1"/>
  <c r="B8" i="64" s="1"/>
  <c r="E18" i="77"/>
  <c r="E20" i="77" s="1"/>
  <c r="F17" i="77"/>
  <c r="F13" i="77"/>
  <c r="C18" i="77"/>
  <c r="C20" i="77" s="1"/>
  <c r="D15" i="10"/>
  <c r="J11" i="2" s="1"/>
  <c r="J32" i="2"/>
  <c r="E36" i="8"/>
  <c r="E37" i="8" s="1"/>
  <c r="K9" i="2" s="1"/>
  <c r="I104" i="52"/>
  <c r="C36" i="9"/>
  <c r="I10" i="2"/>
  <c r="D63" i="54"/>
  <c r="D31" i="2"/>
  <c r="D47" i="2" s="1"/>
  <c r="E63" i="54"/>
  <c r="E31" i="2"/>
  <c r="E47" i="2" s="1"/>
  <c r="F36" i="54"/>
  <c r="F37" i="54" s="1"/>
  <c r="J40" i="2"/>
  <c r="B10" i="63"/>
  <c r="E34" i="6"/>
  <c r="E114" i="7"/>
  <c r="E116" i="7" s="1"/>
  <c r="E125" i="7" s="1"/>
  <c r="D116" i="7"/>
  <c r="D125" i="7" s="1"/>
  <c r="J36" i="2"/>
  <c r="D31" i="10"/>
  <c r="D25" i="10"/>
  <c r="I52" i="52"/>
  <c r="E43" i="8"/>
  <c r="E45" i="8" s="1"/>
  <c r="D45" i="8"/>
  <c r="E44" i="9"/>
  <c r="G9" i="77"/>
  <c r="G13" i="77" s="1"/>
  <c r="G17" i="77"/>
  <c r="E24" i="9"/>
  <c r="E25" i="9" s="1"/>
  <c r="E26" i="23"/>
  <c r="K40" i="2" s="1"/>
  <c r="E20" i="23"/>
  <c r="F59" i="2"/>
  <c r="I29" i="52"/>
  <c r="I38" i="52" s="1"/>
  <c r="I53" i="52" s="1"/>
  <c r="F7" i="2" s="1"/>
  <c r="H16" i="52"/>
  <c r="E88" i="7"/>
  <c r="E93" i="7" s="1"/>
  <c r="E74" i="7"/>
  <c r="E75" i="7" s="1"/>
  <c r="E58" i="23"/>
  <c r="E176" i="23" s="1"/>
  <c r="K43" i="2" s="1"/>
  <c r="D176" i="23"/>
  <c r="J43" i="2" s="1"/>
  <c r="D23" i="7"/>
  <c r="D134" i="7" s="1"/>
  <c r="E19" i="7"/>
  <c r="E23" i="7" s="1"/>
  <c r="E8" i="11"/>
  <c r="E9" i="11" s="1"/>
  <c r="D128" i="11"/>
  <c r="D130" i="11" s="1"/>
  <c r="E13" i="7"/>
  <c r="E18" i="7" s="1"/>
  <c r="D18" i="7"/>
  <c r="D33" i="7"/>
  <c r="D136" i="7" s="1"/>
  <c r="E31" i="7"/>
  <c r="E33" i="7" s="1"/>
  <c r="E136" i="7" s="1"/>
  <c r="D9" i="11"/>
  <c r="D110" i="11" s="1"/>
  <c r="H38" i="52"/>
  <c r="H53" i="52" s="1"/>
  <c r="N10" i="77"/>
  <c r="N13" i="77" s="1"/>
  <c r="M13" i="77"/>
  <c r="C133" i="7"/>
  <c r="C138" i="7" s="1"/>
  <c r="C125" i="7"/>
  <c r="E32" i="17"/>
  <c r="K15" i="2" s="1"/>
  <c r="E34" i="23"/>
  <c r="K42" i="2" s="1"/>
  <c r="E15" i="64" l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31" i="10"/>
  <c r="D27" i="64"/>
  <c r="E110" i="11"/>
  <c r="E99" i="7"/>
  <c r="D44" i="6"/>
  <c r="E109" i="11"/>
  <c r="M18" i="77"/>
  <c r="M20" i="77" s="1"/>
  <c r="E27" i="64"/>
  <c r="K11" i="2"/>
  <c r="E25" i="10"/>
  <c r="I9" i="2"/>
  <c r="C47" i="8"/>
  <c r="F18" i="77"/>
  <c r="F20" i="77" s="1"/>
  <c r="D7" i="2"/>
  <c r="D26" i="2" s="1"/>
  <c r="D62" i="2" s="1"/>
  <c r="G130" i="52"/>
  <c r="I12" i="2"/>
  <c r="C120" i="11"/>
  <c r="J46" i="2"/>
  <c r="F63" i="54"/>
  <c r="F31" i="2"/>
  <c r="F47" i="2" s="1"/>
  <c r="K12" i="2"/>
  <c r="E120" i="11"/>
  <c r="B7" i="63"/>
  <c r="G18" i="77"/>
  <c r="G20" i="77" s="1"/>
  <c r="D120" i="11"/>
  <c r="J12" i="2"/>
  <c r="K39" i="2"/>
  <c r="K46" i="2" s="1"/>
  <c r="E182" i="23"/>
  <c r="K34" i="2"/>
  <c r="E47" i="8"/>
  <c r="E35" i="6"/>
  <c r="E44" i="6"/>
  <c r="K7" i="2"/>
  <c r="I130" i="52"/>
  <c r="F9" i="2"/>
  <c r="F26" i="2" s="1"/>
  <c r="J34" i="2"/>
  <c r="D56" i="8"/>
  <c r="D47" i="8"/>
  <c r="K33" i="2"/>
  <c r="B7" i="64"/>
  <c r="N18" i="77"/>
  <c r="N20" i="77" s="1"/>
  <c r="C127" i="7"/>
  <c r="I33" i="2"/>
  <c r="I38" i="2" s="1"/>
  <c r="I47" i="2" s="1"/>
  <c r="E39" i="7"/>
  <c r="E62" i="7" s="1"/>
  <c r="E133" i="7"/>
  <c r="E34" i="7"/>
  <c r="B8" i="63"/>
  <c r="H130" i="52"/>
  <c r="E7" i="2"/>
  <c r="E26" i="2" s="1"/>
  <c r="E62" i="2" s="1"/>
  <c r="D133" i="7"/>
  <c r="D138" i="7" s="1"/>
  <c r="D34" i="7"/>
  <c r="D39" i="7"/>
  <c r="D62" i="7" s="1"/>
  <c r="D100" i="7" s="1"/>
  <c r="J8" i="2" s="1"/>
  <c r="E134" i="7"/>
  <c r="E128" i="11"/>
  <c r="E130" i="11" s="1"/>
  <c r="K10" i="2"/>
  <c r="E36" i="9"/>
  <c r="J33" i="2"/>
  <c r="D182" i="23"/>
  <c r="E56" i="8"/>
  <c r="I26" i="2" l="1"/>
  <c r="I62" i="2" s="1"/>
  <c r="E100" i="7"/>
  <c r="K8" i="2" s="1"/>
  <c r="F62" i="2"/>
  <c r="K38" i="2"/>
  <c r="K47" i="2" s="1"/>
  <c r="J38" i="2"/>
  <c r="J47" i="2" s="1"/>
  <c r="K26" i="2"/>
  <c r="E138" i="7"/>
  <c r="D127" i="7"/>
  <c r="E127" i="7"/>
  <c r="B9" i="64"/>
  <c r="J26" i="2"/>
  <c r="B9" i="63"/>
  <c r="J62" i="2" l="1"/>
  <c r="B11" i="63"/>
  <c r="B11" i="64"/>
  <c r="K62" i="2"/>
</calcChain>
</file>

<file path=xl/sharedStrings.xml><?xml version="1.0" encoding="utf-8"?>
<sst xmlns="http://schemas.openxmlformats.org/spreadsheetml/2006/main" count="1885" uniqueCount="1139">
  <si>
    <t>Lakás bérleti díj támogatás</t>
  </si>
  <si>
    <t>Könyv, film</t>
  </si>
  <si>
    <t>Szombathelyi Médiaközpont Nonprofit Kft. támogatása</t>
  </si>
  <si>
    <t>Vásárcsarnok átadott pénzeszköze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</si>
  <si>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</si>
  <si>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</si>
  <si>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</si>
  <si>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</si>
  <si>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</si>
  <si>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</si>
  <si>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</si>
  <si>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</si>
  <si>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</si>
  <si>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</si>
  <si>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Önkormányzat egyéb kiadásai (Városüzemeltetési kiadások)</t>
  </si>
  <si>
    <t>Informatikai fejlesztések</t>
  </si>
  <si>
    <t>Környezetvédelmi birság</t>
  </si>
  <si>
    <t>Tartalékok</t>
  </si>
  <si>
    <t xml:space="preserve"> </t>
  </si>
  <si>
    <t>Nyugat Magyarországi Egyetem közösségi szolgálat támogatás</t>
  </si>
  <si>
    <t>Egyesített Bölcsődei Intézmény</t>
  </si>
  <si>
    <t>Támogatás kulturális pályázatokhoz, egyéb szervezetek, társaságok támogatása</t>
  </si>
  <si>
    <t>Önkormányzati bevételekkel fedezett kiadások összesen intézményi kiadások nélkül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</si>
  <si>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</si>
  <si>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</si>
  <si>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</si>
  <si>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</si>
  <si>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</si>
  <si>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Szociális hét</t>
  </si>
  <si>
    <t>Nagyrendezvények</t>
  </si>
  <si>
    <t>Nagyprojektek, projektek</t>
  </si>
  <si>
    <t>Posta költség</t>
  </si>
  <si>
    <r>
      <t xml:space="preserve">Mesebolt Bábszínház </t>
    </r>
    <r>
      <rPr>
        <i/>
        <sz val="12"/>
        <rFont val="Arial"/>
        <family val="2"/>
        <charset val="238"/>
      </rPr>
      <t>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</si>
  <si>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>központi működési támogatásból fedezett kiadása</t>
    </r>
  </si>
  <si>
    <t>Mesebolt Bábszínház saját bevételéből fedezett kiadás</t>
  </si>
  <si>
    <r>
      <t xml:space="preserve">Savaria Szimfonikus Zenekar </t>
    </r>
    <r>
      <rPr>
        <i/>
        <sz val="12"/>
        <rFont val="Arial"/>
        <family val="2"/>
        <charset val="238"/>
      </rPr>
      <t>saját bevételéből fedezett kiadás</t>
    </r>
  </si>
  <si>
    <r>
      <t xml:space="preserve">Savaria Szimfonikus Zenekar </t>
    </r>
    <r>
      <rPr>
        <i/>
        <sz val="12"/>
        <rFont val="Arial"/>
        <family val="2"/>
        <charset val="238"/>
      </rPr>
      <t>központi támogatásból fedezett kiadás</t>
    </r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</si>
  <si>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</si>
  <si>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</si>
  <si>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</si>
  <si>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</si>
  <si>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</si>
  <si>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Települési önkormányzatok kulturális feladatainak támogatása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</si>
  <si>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</si>
  <si>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</si>
  <si>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</si>
  <si>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</si>
  <si>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</si>
  <si>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</si>
  <si>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</si>
  <si>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</si>
  <si>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</si>
  <si>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r>
      <t xml:space="preserve">Savaria Múzeum </t>
    </r>
    <r>
      <rPr>
        <i/>
        <sz val="12"/>
        <rFont val="Arial CE"/>
        <charset val="238"/>
      </rPr>
      <t>központi támogatásból fedezett kiadás</t>
    </r>
  </si>
  <si>
    <r>
      <t xml:space="preserve">Savaria Múzeum </t>
    </r>
    <r>
      <rPr>
        <i/>
        <sz val="12"/>
        <rFont val="Arial CE"/>
        <charset val="238"/>
      </rPr>
      <t>saját bevételből fedezett kiadás</t>
    </r>
  </si>
  <si>
    <r>
      <t>Berzsenyi Dániel könyvtár</t>
    </r>
    <r>
      <rPr>
        <b/>
        <sz val="12"/>
        <rFont val="Arial CE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</si>
  <si>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2"/>
        <rFont val="Arial CE"/>
        <charset val="238"/>
      </rPr>
      <t>saját bevételből fedezett kiadás</t>
    </r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</si>
  <si>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</si>
  <si>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</si>
  <si>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</si>
  <si>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</si>
  <si>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 xml:space="preserve">Pálos Károly Szociális Szolgáltató Központ és Gyermekjóléti Szolgálat </t>
  </si>
  <si>
    <t>Tartalékok össszesen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</si>
  <si>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</si>
  <si>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</si>
  <si>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</si>
  <si>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</si>
  <si>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</si>
  <si>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</si>
  <si>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</si>
  <si>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</si>
  <si>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</si>
  <si>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2014-2020 évekre szóló projektek előkészítése</t>
  </si>
  <si>
    <t>EGYÉB MŰKÖDÉSI CÉLÚ TÁMOGATÁSOK BEVÉTELEI ÁLLAMHÁZTARTÁSON BELÜLRŐL</t>
  </si>
  <si>
    <t>ELVONÁSOK ÉS BEFIZETÉSEK BEVÉTELEI</t>
  </si>
  <si>
    <t>Sportszervezetek támogatása</t>
  </si>
  <si>
    <t>Fejlesztési céltartalék összesen</t>
  </si>
  <si>
    <t>Külterületi utak fenntartása</t>
  </si>
  <si>
    <t>Internet alapú városi hálózat</t>
  </si>
  <si>
    <t>Drogellenes stratégiai feladatok</t>
  </si>
  <si>
    <t>Bursa Hungarica felsőokt.ösztöndíj</t>
  </si>
  <si>
    <t>Csapadékvízelvezetés fejlesztése</t>
  </si>
  <si>
    <t>Szombathelyi Egyházmegyei Karitász - Hársfa-ház Pszichiátriai- és Szenvedélybetegek Nappali Ellátója és Átmeneti Otthona, RÉV Szenvedélybeteg-segítő Szolgálta és Közösségi Gondozó</t>
  </si>
  <si>
    <t>Szombathelyi Sportközpont és Sportiskola Nonprofit Kft.  támogatása</t>
  </si>
  <si>
    <t>Gyermek és ifjúsági sport támogatása</t>
  </si>
  <si>
    <t>Szombathelyi Szabadidősport Szövetség támogatása</t>
  </si>
  <si>
    <t>Közösségi és szabadidős sportrendezvények támogatása</t>
  </si>
  <si>
    <t>FALCO KC Kft. támogatása</t>
  </si>
  <si>
    <t xml:space="preserve">Dobó SE támogatása </t>
  </si>
  <si>
    <t>Önkormányzati sport kitüntetések</t>
  </si>
  <si>
    <t>Víziközmű és szennyvízközmű használati díjbevételhez kapcsolódó áfa visszaigénylés</t>
  </si>
  <si>
    <t>Működési célú költségvetési támogatások és kiegészítő támogatások</t>
  </si>
  <si>
    <t>Egyéb pénzügyi műveletek bevétele</t>
  </si>
  <si>
    <t>Köztemetés költségeinek megtérítése</t>
  </si>
  <si>
    <t>Köztemetés bevétele</t>
  </si>
  <si>
    <t>Felhalmozási célú visszatérítendő támogatások, kölcsönök visszatérülése államháztartáson belülről</t>
  </si>
  <si>
    <t>Sugár úti Sportcentrum üzemeltetéséhez kapacitás lekötés</t>
  </si>
  <si>
    <t>Tömbbelső felújítás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</si>
  <si>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</si>
  <si>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i/>
        <sz val="12"/>
        <rFont val="Arial CE"/>
        <charset val="238"/>
      </rPr>
      <t>saját bevételből fedezett kiadás</t>
    </r>
  </si>
  <si>
    <t>Agora Szombathelyi Kulturális Központ összesen</t>
  </si>
  <si>
    <t>AGORA Szombathelyi Kulturális Központ</t>
  </si>
  <si>
    <t xml:space="preserve">Központi költségvetés részére visszafizetési kötelezettség </t>
  </si>
  <si>
    <t>Működési bevételek</t>
  </si>
  <si>
    <t>WHO Egészséges városok tagdij, elnökséget adó városi cím és projektváros cím</t>
  </si>
  <si>
    <t>Oktatási ágazat kiadásai</t>
  </si>
  <si>
    <t>Szociális ágazat kiadásai</t>
  </si>
  <si>
    <t>Egészségügyi ágazat kiadásai</t>
  </si>
  <si>
    <t>Óvodai és Iskolai úszásoktatás feladatai</t>
  </si>
  <si>
    <t>Arany János ösztöndíj</t>
  </si>
  <si>
    <t>AGORA Kulturális és Turisztikai Központ</t>
  </si>
  <si>
    <t>Capella Savaria</t>
  </si>
  <si>
    <t>Ferrum Színházi Társulat</t>
  </si>
  <si>
    <t>FELHALMOZÁSI BEVÉTELEK</t>
  </si>
  <si>
    <t>2014.évről áthúzódó hiányra képzett tartalék</t>
  </si>
  <si>
    <t>FELHALMOZÁSI BEVÉTELEK ÖSSZESEN</t>
  </si>
  <si>
    <t>FELHALMZÁSI CÉLÚ TÁMOGATÁSOK ÁLLAMHÁZTARTÁSON BELÜLRŐL</t>
  </si>
  <si>
    <t>Határon túli magyar egyesületek támogatása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</si>
  <si>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</si>
  <si>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</si>
  <si>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</si>
  <si>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</si>
  <si>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</si>
  <si>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</si>
  <si>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</si>
  <si>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</si>
  <si>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</si>
  <si>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</si>
  <si>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</si>
  <si>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</si>
  <si>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</si>
  <si>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</si>
  <si>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</si>
  <si>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</si>
  <si>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</si>
  <si>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Vizhasználati dij</t>
  </si>
  <si>
    <t>Helyiségek és lakások bérleti díja</t>
  </si>
  <si>
    <t>Földhaszonbérlet</t>
  </si>
  <si>
    <t>SZMJV Bűnmegelőzési és Közbiztonsági Cselekvési programjának a fedezete, melynek része a pályázati önrész</t>
  </si>
  <si>
    <t xml:space="preserve">Polgárőr szervezetek támogatása </t>
  </si>
  <si>
    <t>Felhalmozási kiadások</t>
  </si>
  <si>
    <t>Szombathelyi Köznevelési Gamesz</t>
  </si>
  <si>
    <t>Áfa visszaigénylés</t>
  </si>
  <si>
    <t>Légszenyezettségi mérőállomások villamos energia ellátása</t>
  </si>
  <si>
    <r>
      <t xml:space="preserve">Savaria Szimfonikus Zenekar </t>
    </r>
    <r>
      <rPr>
        <b/>
        <i/>
        <sz val="12"/>
        <rFont val="Arial"/>
        <family val="2"/>
        <charset val="238"/>
      </rPr>
      <t xml:space="preserve">saját bevételből </t>
    </r>
    <r>
      <rPr>
        <sz val="12"/>
        <rFont val="Arial"/>
        <family val="2"/>
        <charset val="238"/>
      </rPr>
      <t>fedezett kiadás</t>
    </r>
  </si>
  <si>
    <t>SZAK támogatása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</si>
  <si>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</si>
  <si>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</si>
  <si>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</si>
  <si>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</si>
  <si>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</t>
    </r>
    <r>
      <rPr>
        <sz val="12"/>
        <rFont val="Arial"/>
        <family val="2"/>
        <charset val="238"/>
      </rPr>
      <t xml:space="preserve"> fedezett kiadás</t>
    </r>
  </si>
  <si>
    <t>Víziközmű és szennyvízközmű használati díjbevétel</t>
  </si>
  <si>
    <t>Szegélyek javítása (akadálymentesítés, szintbehelyezés)</t>
  </si>
  <si>
    <t>Jelzőtáblák (forgalmi rend változás)</t>
  </si>
  <si>
    <t>Zárt csapadék csatorna fenntartása</t>
  </si>
  <si>
    <t>Savaria Szimfonikus Zenekar összesen</t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</si>
  <si>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</si>
  <si>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t>Kalandváros és Műjégpálya óvodai és iskolai csoportok által történő szervezett látogatásának támogatása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</si>
  <si>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saját bevételéből fedezett kiadás</t>
    </r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</si>
  <si>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</si>
  <si>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</si>
  <si>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</si>
  <si>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</si>
  <si>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</si>
  <si>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</si>
  <si>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</si>
  <si>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Prenor Kft. telephely felújítás</t>
  </si>
  <si>
    <t>Vak Bottyán u. Gyöngyös patak híd felújítás engedély, korsz.vizsg.,tervezői ktg.</t>
  </si>
  <si>
    <t>Működési célú maradvány</t>
  </si>
  <si>
    <t xml:space="preserve">Önkormányzati bérlakások felújítása </t>
  </si>
  <si>
    <t>Mesebolt Bábszínház</t>
  </si>
  <si>
    <t>Szombathelyi Szimfónikus Zenekar</t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</si>
  <si>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</si>
  <si>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</si>
  <si>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charset val="238"/>
      </rPr>
      <t xml:space="preserve"> saját bevételéből fedezett kiadás</t>
    </r>
  </si>
  <si>
    <t>Mesebolt Bábszínház összesen</t>
  </si>
  <si>
    <t>GAMESZ</t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</si>
  <si>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</si>
  <si>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</si>
  <si>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</si>
  <si>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</si>
  <si>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</si>
  <si>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</si>
  <si>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</si>
  <si>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</si>
  <si>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</si>
  <si>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</si>
  <si>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Weöres S. Színház művészeti támogatása</t>
  </si>
  <si>
    <t>Weöres S. Színház működési támogatása</t>
  </si>
  <si>
    <t>Mesebolt Bábszínház művészeti támogatása</t>
  </si>
  <si>
    <t>Mesebolt Bábszínház működési támogatása</t>
  </si>
  <si>
    <t>Berzsenyi Dániel könyvtár központi támogatásból fedezett kiadás</t>
  </si>
  <si>
    <t>Berzsenyi Dániel Könyvtár összesen</t>
  </si>
  <si>
    <t xml:space="preserve">Savaria Múzeum </t>
  </si>
  <si>
    <t xml:space="preserve">Berzsenyi Dániel könyvtár </t>
  </si>
  <si>
    <t>Savaria Szimfónikus zenekar központi támogatása</t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</si>
  <si>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</si>
  <si>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</si>
  <si>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Versenyek, rendezvények, támogatások</t>
  </si>
  <si>
    <t>Önkormányzati napközis tábor megszervezése</t>
  </si>
  <si>
    <t>Városi pedagógus nap, tanévnyító ünnepség</t>
  </si>
  <si>
    <t>Óvoda adminisztrációs szoftver</t>
  </si>
  <si>
    <t>Közösségi közlekedés (buszmegállók kialakítása, leszálló szigetek helyreállítása, kialakítás))</t>
  </si>
  <si>
    <t xml:space="preserve">Aktív időskor Szombathelyen program </t>
  </si>
  <si>
    <t>Könyvvizsgálói költség</t>
  </si>
  <si>
    <t>Foltos bevonat</t>
  </si>
  <si>
    <t>Bérleti díj</t>
  </si>
  <si>
    <t>Lakáskölcsöntörlesztés</t>
  </si>
  <si>
    <t>Szolgalmi joggal terhelt épületrész karbantartása</t>
  </si>
  <si>
    <t>Parkfenntartás</t>
  </si>
  <si>
    <t>ÖNKORMÁNYZATI KULTURÁLIS KIADÁSOK ÖSSZESEN</t>
  </si>
  <si>
    <t>Szociális intézmény összesen</t>
  </si>
  <si>
    <t>Önkormányzati szociális kiadások összesen</t>
  </si>
  <si>
    <t>Egészségügyi intézmény összesen</t>
  </si>
  <si>
    <t>Önkormányzati egészségügyi kiadások összesen</t>
  </si>
  <si>
    <t>Gyermekvédelmi intézmény összesen</t>
  </si>
  <si>
    <t>Önkormányzati gyermekvédelmi kiadások összesen</t>
  </si>
  <si>
    <t>Városfejlesztési alap</t>
  </si>
  <si>
    <t>Egyéb, más ágazathoz nem sorolható intézmények összesen</t>
  </si>
  <si>
    <t>Önkormányzati egyéb, más ágazathoz nem sorolható kiadások összesen</t>
  </si>
  <si>
    <t>Közterület felügyelet bírság bevétel</t>
  </si>
  <si>
    <t xml:space="preserve">  Kiadások és finanszírozási műveletek összesen</t>
  </si>
  <si>
    <t>Finanszírozási műveletek összesen</t>
  </si>
  <si>
    <t xml:space="preserve">Pedagógus kituntetések 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</si>
  <si>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</si>
  <si>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</si>
  <si>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</si>
  <si>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</si>
  <si>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SZOVA Zrt. Parkolásgazdálkodásból származó bevétel</t>
  </si>
  <si>
    <t>SZOVA Zrt. Parkolásgazdálkodásból származó ÁFA visszatérülés</t>
  </si>
  <si>
    <t>Kiemelkedő sporteredmények jutalmazása (Sportkarácsony)</t>
  </si>
  <si>
    <t>Forgalmi rend felülvizsgálata</t>
  </si>
  <si>
    <t>Integrált pénzügyi rendszer üzemeltetés az intézményekben</t>
  </si>
  <si>
    <t>Szombathelyi Képző Központ Nonprofit Kft. működési kiadások</t>
  </si>
  <si>
    <r>
      <t xml:space="preserve">Mesebolt Bábszínház </t>
    </r>
    <r>
      <rPr>
        <b/>
        <i/>
        <sz val="12"/>
        <rFont val="Arial"/>
        <family val="2"/>
        <charset val="238"/>
      </rPr>
      <t>saját bevételéből</t>
    </r>
    <r>
      <rPr>
        <sz val="12"/>
        <rFont val="Arial"/>
        <family val="2"/>
        <charset val="238"/>
      </rPr>
      <t xml:space="preserve"> fedezett kiadás</t>
    </r>
  </si>
  <si>
    <t xml:space="preserve">Felhalmozási célú maradvány </t>
  </si>
  <si>
    <t xml:space="preserve">Teljes pályaszerkezet helyreállítás </t>
  </si>
  <si>
    <r>
      <t xml:space="preserve">Savaria Múzeum </t>
    </r>
    <r>
      <rPr>
        <b/>
        <i/>
        <sz val="12"/>
        <rFont val="Arial CE"/>
        <charset val="238"/>
      </rPr>
      <t xml:space="preserve">önkormányzati támogatásból </t>
    </r>
    <r>
      <rPr>
        <sz val="12"/>
        <rFont val="Arial CE"/>
        <charset val="238"/>
      </rPr>
      <t>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</si>
  <si>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 xml:space="preserve">önkormányzati támogatásból </t>
    </r>
    <r>
      <rPr>
        <sz val="12"/>
        <rFont val="Arial CE"/>
        <charset val="238"/>
      </rPr>
      <t>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</si>
  <si>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 xml:space="preserve">önkormányzati támogatásból </t>
    </r>
    <r>
      <rPr>
        <sz val="12"/>
        <rFont val="Arial"/>
        <family val="2"/>
        <charset val="238"/>
      </rPr>
      <t>fedezett kiadás</t>
    </r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</si>
  <si>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</t>
    </r>
    <r>
      <rPr>
        <sz val="12"/>
        <rFont val="Arial CE"/>
        <family val="2"/>
        <charset val="238"/>
      </rPr>
      <t xml:space="preserve"> fedezett kiadás</t>
    </r>
  </si>
  <si>
    <t>Oktatási, szociális és ifjúsági kiadások - tartalék</t>
  </si>
  <si>
    <t>Nem önkormányzati kulturális és civil szervezetek támogatása</t>
  </si>
  <si>
    <t xml:space="preserve">Városi rendezvények és kiemelt rendezvények </t>
  </si>
  <si>
    <t>Költségvetési szervek beruházásai és felújításai összesen:</t>
  </si>
  <si>
    <t>KISZ Lakótelepért Egyesület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</si>
  <si>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</si>
  <si>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</si>
  <si>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</si>
  <si>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</si>
  <si>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</si>
  <si>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</si>
  <si>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</si>
  <si>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Városi kulturális intézmények</t>
  </si>
  <si>
    <t>Városi kulturális intézmények és Weöres S. Színház összesen</t>
  </si>
  <si>
    <t>Kulturális intézmények támogatása</t>
  </si>
  <si>
    <t>KULTURÁLIS INTÉZMÉNYEK TÁMOGATÁSA ÖSSZESEN</t>
  </si>
  <si>
    <t>Felhalmozási célú bevételek</t>
  </si>
  <si>
    <t>Kiadások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</si>
  <si>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</si>
  <si>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</si>
  <si>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</si>
  <si>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</si>
  <si>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</si>
  <si>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Mérőkészülékek felszerelése, és egyéb lakásgazdálkodási kiadások</t>
  </si>
  <si>
    <t>Közhasznú információk támogatása összesen</t>
  </si>
  <si>
    <t>Kulturális és Civil Alap</t>
  </si>
  <si>
    <t>KULTURÁLIS ÉS CIVIL ALAP ÖSSZESEN</t>
  </si>
  <si>
    <t>Ungaresca Táncegyüttes</t>
  </si>
  <si>
    <t>Polgármesteri keret</t>
  </si>
  <si>
    <t>Általános tartalék</t>
  </si>
  <si>
    <t>Egészség-hét</t>
  </si>
  <si>
    <t>Humán Civil ház</t>
  </si>
  <si>
    <t>Közbeszerzési kiadások</t>
  </si>
  <si>
    <t>Segély önkormányzati támogatásból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</si>
  <si>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</si>
  <si>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</si>
  <si>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</si>
  <si>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</si>
  <si>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</si>
  <si>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</si>
  <si>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</si>
  <si>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Csapadékvízelvezetés</t>
  </si>
  <si>
    <t>Jelzőlámpák</t>
  </si>
  <si>
    <t>Finanszírozási műveletek</t>
  </si>
  <si>
    <t xml:space="preserve">  Bevételek és finanszírozási műveletek összesen</t>
  </si>
  <si>
    <t>Szociális ágazat</t>
  </si>
  <si>
    <t>Közterület felügyelet</t>
  </si>
  <si>
    <t>Egyéb bevételek</t>
  </si>
  <si>
    <t xml:space="preserve">Önkormányzat </t>
  </si>
  <si>
    <t>Közterület - felügyelet</t>
  </si>
  <si>
    <t>Savaria Múzeum összesen</t>
  </si>
  <si>
    <t>Közművelődési kiegészítő támogatás - Berzsenyi D. Könyvtár</t>
  </si>
  <si>
    <t>Horvát nemzetiségi nap támogatás</t>
  </si>
  <si>
    <t>Közterület foglalás</t>
  </si>
  <si>
    <t>Sport ágazat kiadásai</t>
  </si>
  <si>
    <t>Folyószámla hitel kamata, bankköltségek</t>
  </si>
  <si>
    <t xml:space="preserve"> Működési célú kiadások összesen :</t>
  </si>
  <si>
    <t>Fejlesztési céltartalék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</si>
  <si>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</si>
  <si>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</si>
  <si>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</si>
  <si>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</si>
  <si>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</si>
  <si>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</si>
  <si>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</si>
  <si>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</si>
  <si>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</si>
  <si>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</si>
  <si>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</si>
  <si>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</si>
  <si>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</si>
  <si>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>ELAMEN RT, és egyéb  bérleti díjak</t>
  </si>
  <si>
    <t>Szemünk fénye program - bérleti díj 12 hónapra</t>
  </si>
  <si>
    <t>EGYÉB TÁMOGATÁSOK MINDÖSSZESEN</t>
  </si>
  <si>
    <t>MÉDIA MINDÖSSZESEN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</si>
  <si>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</si>
  <si>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</si>
  <si>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</si>
  <si>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</si>
  <si>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</si>
  <si>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</si>
  <si>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</si>
  <si>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</si>
  <si>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</si>
  <si>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</si>
  <si>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</si>
  <si>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</si>
  <si>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</si>
  <si>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</si>
  <si>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>Lelkisegély szolgálat támogatása  (szerződés) - Telehumanitas Szombathelyi Mentálhigiénés Egyesület</t>
  </si>
  <si>
    <t xml:space="preserve">Fejlesztési céltartalékok </t>
  </si>
  <si>
    <t>Segély központi támogatásból</t>
  </si>
  <si>
    <t>Önk.int.-ek fűtéskorszerűsítés - bérleti díj 12 hónapra</t>
  </si>
  <si>
    <t>Média</t>
  </si>
  <si>
    <t xml:space="preserve">Technikai, bevétellel 100%-ig fedezett tételek </t>
  </si>
  <si>
    <t>Kiszámlázott és befizetendő áfa</t>
  </si>
  <si>
    <t>Helyreállítások (teljes pályaszerkezet csere)</t>
  </si>
  <si>
    <t>Hidak, műtárgyak üzemeltetése (lemosása)</t>
  </si>
  <si>
    <t>Járdafenntartás</t>
  </si>
  <si>
    <t>Óvodák</t>
  </si>
  <si>
    <t>Olimpiai reménységeket nevelő egyesületek támogatása</t>
  </si>
  <si>
    <t>Közhatalmi bevételek</t>
  </si>
  <si>
    <t xml:space="preserve">Háziorvosi rendelők karbantartása </t>
  </si>
  <si>
    <t>Weöres Sándor Színház Nonprofit Kft. összesen</t>
  </si>
  <si>
    <t>Szökőkutak előre nem látható hibaelhárítása</t>
  </si>
  <si>
    <t>Termőföld bérbeadásából szárm.jöv.adó</t>
  </si>
  <si>
    <t>Helyi iparűzési adó</t>
  </si>
  <si>
    <t>Helyettes szülői hálózat</t>
  </si>
  <si>
    <t>Hemo épülétenek bérbeadása</t>
  </si>
  <si>
    <t>Egyéb működési célú bevétel</t>
  </si>
  <si>
    <t>összesen</t>
  </si>
  <si>
    <t xml:space="preserve">SZOMBATHELY MEGYEI JOGÚ VÁROS ÖNKORMÁNYZATÁNAK  PÉNZÜGYI  MÉRLEGE        </t>
  </si>
  <si>
    <t>Út-híd fenntartás</t>
  </si>
  <si>
    <t>Média összesen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</si>
  <si>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</si>
  <si>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t>Szombathelyi Egészségügyi és Kulturális Intézmények GESZ</t>
  </si>
  <si>
    <t>Központi bevételekkel fedezett kiadások</t>
  </si>
  <si>
    <t>Önkormányzati bevételekkel fedezett kiadások</t>
  </si>
  <si>
    <t>Központi bevételekkel fedezett kiadások összesen</t>
  </si>
  <si>
    <t>Erdőgazdálkodási költség</t>
  </si>
  <si>
    <t>Önkormányzati konferenciák, rendezvények, fogadások</t>
  </si>
  <si>
    <t xml:space="preserve">     Beruházások  összesen</t>
  </si>
  <si>
    <t>Főépítészi Iroda (tervtanács, rendezési terv)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</si>
  <si>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</si>
  <si>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</si>
  <si>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</si>
  <si>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</si>
  <si>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</si>
  <si>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</si>
  <si>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</si>
  <si>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</si>
  <si>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</si>
  <si>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</si>
  <si>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</si>
  <si>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</si>
  <si>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Egészségügyi kiadások tartaléka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</si>
  <si>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</si>
  <si>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</si>
  <si>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Megyeszékhely megyei jogú városok közművelődési feladatainak támogatása</t>
  </si>
  <si>
    <t>Berzsenyi Dániel megyei könyvtár kistelepülési könyvtári célú kiegészítő támogatása</t>
  </si>
  <si>
    <t>ezer forintban</t>
  </si>
  <si>
    <t>Savaria Történelmi Karnevál Közhasznú Közalapítvány működési támogatása</t>
  </si>
  <si>
    <t>Tervezések hatósági díja lejáró engedélyekhez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</si>
  <si>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</si>
  <si>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</si>
  <si>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</si>
  <si>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</si>
  <si>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</si>
  <si>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</si>
  <si>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</si>
  <si>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</si>
  <si>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</si>
  <si>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</si>
  <si>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</si>
  <si>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</si>
  <si>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Nem oktatási intézmények eszközfejlesztése</t>
  </si>
  <si>
    <t>KLIK által működtetett többcélú intézmények és kollégiumok működési hozzájárulás</t>
  </si>
  <si>
    <t>Szombathely a segítés városa program</t>
  </si>
  <si>
    <t>Vívók támogatása</t>
  </si>
  <si>
    <t>Nemzetközi diákjátékok</t>
  </si>
  <si>
    <t>Víznyelők tisztítása</t>
  </si>
  <si>
    <t>Buszmegálló kialakítása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</si>
  <si>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</si>
  <si>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</si>
  <si>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</si>
  <si>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</si>
  <si>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</si>
  <si>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</si>
  <si>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</si>
  <si>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</si>
  <si>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</si>
  <si>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</si>
  <si>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</si>
  <si>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</si>
  <si>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</si>
  <si>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</si>
  <si>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</si>
  <si>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</si>
  <si>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</si>
  <si>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</si>
  <si>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</si>
  <si>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</si>
  <si>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</si>
  <si>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</si>
  <si>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</si>
  <si>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</si>
  <si>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</si>
  <si>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</si>
  <si>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Markusovszky kórház támogatása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</si>
  <si>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</si>
  <si>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</si>
  <si>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</si>
  <si>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</si>
  <si>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</si>
  <si>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</si>
  <si>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</si>
  <si>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</si>
  <si>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</si>
  <si>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HVSE támogatása</t>
  </si>
  <si>
    <t>Lakás és helyiségüzemeltetés veszteségpótlás</t>
  </si>
  <si>
    <t>Gencsapáti Község Önkormányzata - felnőtt háziorvosok ügyeleti díja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</si>
  <si>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</si>
  <si>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</si>
  <si>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</si>
  <si>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</si>
  <si>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</si>
  <si>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 xml:space="preserve">Savaria Városfejlesztési Kft. - tagi kölcsön </t>
  </si>
  <si>
    <t>Intézményi működési maradvány</t>
  </si>
  <si>
    <t>Intézményi felhalmozási maradvány</t>
  </si>
  <si>
    <t>Savaria Történelmi Karnevál Közhasznú Közalapítvány NKA pályázati önrész</t>
  </si>
  <si>
    <t>"Szombathely Szent Márton városa "Jóléti Alapítvány  támogatás</t>
  </si>
  <si>
    <t>Hatósági díjak, egyéb kiadások</t>
  </si>
  <si>
    <t>Bartók Fesztivál</t>
  </si>
  <si>
    <t>Érzékenyítő programok - Helyi esélyegyenlőségi program keretében</t>
  </si>
  <si>
    <t>Kariatida tanulmányi támogatás rendszerének működtetése - "Szombathely Szent Márton városa" Jóléti Alapítvány</t>
  </si>
  <si>
    <t>URBACT III program Disarmed citis projekt (önerő+támogatás) II.ütem</t>
  </si>
  <si>
    <t>TOP projektek auditálási kiadásai</t>
  </si>
  <si>
    <t>URBACT III program Disarned citis projekt támogatás II. ütem</t>
  </si>
  <si>
    <t>TOP-6.8.2-15 Gazdaság- és fogl.fejl.partnerség a szhelyi járás területén</t>
  </si>
  <si>
    <t>TOP-6.9.1-15 Társadalmi együttműködést elősegítő  komplex programok az Óperint városrészen</t>
  </si>
  <si>
    <t>TOP 6.2.1-15-00004 Weöres S. és Pipitér Óvoda fejlesztése Szombathelyen</t>
  </si>
  <si>
    <t>TOP 6.2.1-15-00003 Százszorszép Bölcsőde és Mocorgó Óvoda fejlesztése Szombathelyen</t>
  </si>
  <si>
    <t>TOP 6.6.1-15 SZMJV kerékpárosbarát fejlesztése</t>
  </si>
  <si>
    <t>Szombathely, Kőszeg u.44. műemlék épület felújításának támogatása</t>
  </si>
  <si>
    <t>Gyalogátkelőhelyek kialakítása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</si>
  <si>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</si>
  <si>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</si>
  <si>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</si>
  <si>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Szent Márton kártya rendszer kialakítása,  QR kód alapú továbbfejlesztése</t>
  </si>
  <si>
    <t>TOP 6.1.1-15. Ipari parkok iparterületek fejlesztése SZOVA önerő (Sárdi-ér út)</t>
  </si>
  <si>
    <t>Elvonások és befizetések bevételei</t>
  </si>
  <si>
    <t>Települési önkormányzatok kulturális feladatainak támogatása összesen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</si>
  <si>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</si>
  <si>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</si>
  <si>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</si>
  <si>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</si>
  <si>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</si>
  <si>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</si>
  <si>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</si>
  <si>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Szolidarítási adó</t>
  </si>
  <si>
    <t>Bölcsődék informatikai eszközfejlesztése</t>
  </si>
  <si>
    <t>Óvodák informatikai eszközfejlesztése</t>
  </si>
  <si>
    <t>Országos tan.versenyen eredményesen szereplő diákok és felkészítő tanárok jutalmazása</t>
  </si>
  <si>
    <t>Gazdaságfejlesztési alap</t>
  </si>
  <si>
    <t xml:space="preserve"> - Egyéb gazdaságfejlesztés</t>
  </si>
  <si>
    <t>TOP-6.5.2-15 Megújuló Szombathely - tiszta energia saját erőből</t>
  </si>
  <si>
    <t>TOP-6.1.1-15-00002 Sombathely, Sárdi-ér úti terület alapinfrastruktúrájának kiépítése</t>
  </si>
  <si>
    <t>TOP-6.3.1-15 Szhely Szent.L.kir.u.felhagyott iparterület fejl.áfa visszaigénylés</t>
  </si>
  <si>
    <t>Szombathelyi Kézilabda Klub és Akadémia támogatása</t>
  </si>
  <si>
    <t>TOP-6.2.1-00005 Bölcsőde fejlesztések Szombathelyen</t>
  </si>
  <si>
    <t>TOP-6.6.2-15 Szociális alapszolgáltatások fejlesztése Szombathelyen</t>
  </si>
  <si>
    <t>TOP-6.3.1-15 Szombathely Szent László Király utcai felhagyott iparterület fejlesztése</t>
  </si>
  <si>
    <t>TOP-6.3.2-15 A szombathelyi Sportliget fejlesztése</t>
  </si>
  <si>
    <t>TOP-6.5.1-15-00003 Neumann János Általános Iskola felújítása</t>
  </si>
  <si>
    <t>TOP-6.5.1-15-00005 Egészségügyi intézmények energetikai korszerűsítése</t>
  </si>
  <si>
    <t>TOP-6.5.1-15-00004 Óvodák energetikai korszerűsítés</t>
  </si>
  <si>
    <t>TOP-6.1.1-15-00001 A szombathelyi Északi Iparterület fejlesztése</t>
  </si>
  <si>
    <t>TOP-6.7.1-15 Szociális városrehabilitáció II. ütem</t>
  </si>
  <si>
    <t>TOP-6.5.1-15-00002 AGORA Központ energetikai korszerűsítés</t>
  </si>
  <si>
    <t>TOP-6.2.1-15-00002 Óvoda fejlesztések Szombathelyen</t>
  </si>
  <si>
    <t>TOP-6.1.3-15 Szombathelyi Vásárcsarnok felújítása</t>
  </si>
  <si>
    <t>Vízközmű- és szennyvízközmű használati díj terhére végzett beruházás</t>
  </si>
  <si>
    <t>TOP-6.3.1-15 Szombathely Szent László Király utcai felhagyott iparterület fejlesztése fordított áfa</t>
  </si>
  <si>
    <t>SNI gyermekek (Óvoda) szakszolgálati ellátása</t>
  </si>
  <si>
    <t>Pedagógus továbbképzés (Óvoda)</t>
  </si>
  <si>
    <t>Mezei őrszolgálat fenntartásához és működéséhez kapott állami hozzájárulás</t>
  </si>
  <si>
    <t>I. Helyi önkormányzatok működésének általános támogatása</t>
  </si>
  <si>
    <t xml:space="preserve"> - Nyugat-Pannon Járműipari és Mechatronikai Központ Szolgáltató Nonprofit    Kft. támogatása</t>
  </si>
  <si>
    <t xml:space="preserve"> - Pécsi Tudományegyetem Egészségtudományi Kar Szombathelyi Képzési Központ támogatása </t>
  </si>
  <si>
    <t>Savaria Turizmus Nonprofit Kft - Karnevál megrendezése</t>
  </si>
  <si>
    <t xml:space="preserve"> - ELTE - SZOESE támogatás</t>
  </si>
  <si>
    <t>Településrendezési terv felülvizsgálata</t>
  </si>
  <si>
    <t>Iseumi Játékok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</si>
  <si>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</si>
  <si>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</si>
  <si>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EBBŐL:</t>
  </si>
  <si>
    <t>ÖSSZESEN (I.+II.+III.)</t>
  </si>
  <si>
    <t>Kulturális illetmény pótlék</t>
  </si>
  <si>
    <t>TOP-6.3.1-15 Szhely Szent.L.kir.u.felhagyott iparterület fejl.áfa visszaigénylés az önerőhöz kapcsolódóan</t>
  </si>
  <si>
    <t>Kulturális intézmények működési kiadásai össezesen:</t>
  </si>
  <si>
    <t>Lamantin Jazz Fesztivál</t>
  </si>
  <si>
    <r>
      <t xml:space="preserve">Berzsenyi Dániel könyvtár </t>
    </r>
    <r>
      <rPr>
        <b/>
        <i/>
        <sz val="12"/>
        <rFont val="Arial CE"/>
        <charset val="238"/>
      </rPr>
      <t xml:space="preserve">saját bevételből </t>
    </r>
    <r>
      <rPr>
        <sz val="12"/>
        <rFont val="Arial CE"/>
        <family val="2"/>
        <charset val="238"/>
      </rPr>
      <t>fedezett kiadás</t>
    </r>
  </si>
  <si>
    <t xml:space="preserve">KÖFOP-1.2.1-VEKOP ASP fejlesztés </t>
  </si>
  <si>
    <t xml:space="preserve">Szombathelyhely és Balogunyom hiányzó kerékpárútjának tervezési költsége </t>
  </si>
  <si>
    <t>OKTATÁSI MŰKÖDÉSI CÉLÚ KIADÁSOK ÖSSZESEN</t>
  </si>
  <si>
    <t>OKTATÁSI FELHALMOZÁSI CÉLÚ KIADÁSOK ÖSSZESEN</t>
  </si>
  <si>
    <t>OKTATÁSI ÁGAZAT KIADÁSAI MINDÖSSZESEN</t>
  </si>
  <si>
    <t>KULTURÁLIS MŰKÖDÉSI CÉLÚ KIADÁSOK ÖSSZESEN</t>
  </si>
  <si>
    <t>Kulturális ágazat, média kiadásai</t>
  </si>
  <si>
    <t>Kulturális ágazat, média</t>
  </si>
  <si>
    <t>SZOCIÁLIS MŰKÖDÉSI CÉLÚ KIADÁSOK ÖSSZESEN</t>
  </si>
  <si>
    <t>SZOCIÁLIS FELHALMOZÁSI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</si>
  <si>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</si>
  <si>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</si>
  <si>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</si>
  <si>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</si>
  <si>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</si>
  <si>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</si>
  <si>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FELHALMOZÁSI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</si>
  <si>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</si>
  <si>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</si>
  <si>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</si>
  <si>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</si>
  <si>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</si>
  <si>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</si>
  <si>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</si>
  <si>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SPORT ÁGAZAT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</si>
  <si>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</si>
  <si>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</si>
  <si>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</si>
  <si>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</si>
  <si>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r>
      <t>Savaria Múzeum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saját bevételből</t>
    </r>
    <r>
      <rPr>
        <i/>
        <sz val="12"/>
        <rFont val="Arial CE"/>
        <charset val="238"/>
      </rPr>
      <t xml:space="preserve"> fedezett kiadás</t>
    </r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</si>
  <si>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</si>
  <si>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</si>
  <si>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</si>
  <si>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Szombathelyi Huszárlaktanya ún. "B" területének beépítési terve és fejlesztési javaslatok kidolgozása</t>
  </si>
  <si>
    <t>Európai Mobilitási Hét</t>
  </si>
  <si>
    <t>AVUS támogatás</t>
  </si>
  <si>
    <t>Zanati Kulturális és Sportegyesület TAO pályázat önrészhez támogatás</t>
  </si>
  <si>
    <t>Elektromos töltőállomás fenntartása (Zeneiskola)</t>
  </si>
  <si>
    <t>Elektromos töltőállomás fenntartása (A típus 5 helyszín)</t>
  </si>
  <si>
    <t>Szombathely Szent László Király utcai felhagyott iparterület fejlesztése(BMSK támogatás)</t>
  </si>
  <si>
    <t>TOP-6.1.4-16-SH1-2017-00003 Víztorony és környezetének turisztikai célú fejlesztése</t>
  </si>
  <si>
    <t>Út és járdafelújítás, csapadékvíz elvezetés (központi támogatásból)</t>
  </si>
  <si>
    <t>Jedlik Ányos Terv - "A" típusú elektromos autótöltő állomások telepítése pályázat (támogatás+önrész)</t>
  </si>
  <si>
    <t>Szent Márton Esélyegyenlőségi Támogatási Program</t>
  </si>
  <si>
    <t>Vas Megyei Temetkezési Kft. támogatása</t>
  </si>
  <si>
    <t>KÖLTSÉGVETÉSI MŰKÖDÉSI BEVÉTELEK MINDÖSSZESEN</t>
  </si>
  <si>
    <t>Modern Városok Program - A szombathelyi Késmárk utcai Teniszcentrum fejlesztése</t>
  </si>
  <si>
    <t>Modern Városok Program - Gothard kastély fejlesztése</t>
  </si>
  <si>
    <t>Modern Városok Program - Szt.Márton Terv II.ütem</t>
  </si>
  <si>
    <t>TOP-6.1.1-15-00001 A szombathelyi Északi Iparterület fejlesztése - fordított áfa</t>
  </si>
  <si>
    <t>TOP-6.1.1-15-00001 A szombathelyi Északi Iparterület fejlesztése - hozzájárulás</t>
  </si>
  <si>
    <t>TOP-6.1.3-15 Szombathelyi Vásárcsarnok felújítása - fordított áfa</t>
  </si>
  <si>
    <t>TOP-6.1.4-16-SH1-2017-00001 Képtár turisztikai célú felújítása</t>
  </si>
  <si>
    <t>TOP-6.2.1-15-00002 Óvoda fejlesztések Szombathelyen - hozzájárulás</t>
  </si>
  <si>
    <t>TOP-6.2.1-15-00004 Weöres S. és Pipitér Óvoda fejlesztése Szombathelyen - hozzájárulás</t>
  </si>
  <si>
    <t xml:space="preserve">TOP-6.2.1-15-00004 Weöres S. és Pipitér Óvoda fejlesztése Szombathelyen -hozzájárulás fordított áfa </t>
  </si>
  <si>
    <t>TOP-6.2.1-00005 Bölcsőde fejlesztések Szombathelyen - fordított áfa</t>
  </si>
  <si>
    <t>TOP-6.2.1-15-00005 Bölcsőde fejlesztések Szombathelyen - hozzájárulás</t>
  </si>
  <si>
    <t>TOP-6.3.1-15 Szombathely Szent László Király utcai felhagyott iparterület fejlesztése (EPCOS telephely) BMSK támogatás</t>
  </si>
  <si>
    <t>TOP-6.3.1-15 Szombathely Szent László Király utcai felhagyott iparterület fejlesztése  - hozzájárulás</t>
  </si>
  <si>
    <t>TOP-6.3.2-15 A szombathelyi Sportliget fejlesztése - fordított áfa</t>
  </si>
  <si>
    <t>TOP-6.5.1-15-00002 AGORA Központ energetikai korszerűsítés - hozzájárulás</t>
  </si>
  <si>
    <t xml:space="preserve">TOP-6.5.1-15-00003 Neumann János Általános Iskola felújítása - fordított áfa </t>
  </si>
  <si>
    <t>TOP-6.5.1-15-00004 Óvodák energetikai korszerűsítés - hozzájárulás</t>
  </si>
  <si>
    <t>TOP-6.5.1-15-00005 Egészségügyi intézmények energetikai korszerűsítése - hozzájárulás</t>
  </si>
  <si>
    <t>TOP-6.6.1-15 Új Egészségügyi Alapellátó központ kialakítása - fordított áfa</t>
  </si>
  <si>
    <t>TOP-6.6.1-15 Új egészségügyi alapellátó központ beruházás - hozzájárulás (légtechnikai berendezés biztosítása)</t>
  </si>
  <si>
    <t>TOP-6.6.2-15 Szociális alapszolgáltatások fejlesztése Szombathelyen - hozzájárulás</t>
  </si>
  <si>
    <t>Illegális hulladéklerakás</t>
  </si>
  <si>
    <t>Nemzetiségi Nap</t>
  </si>
  <si>
    <t>EFOP-1.9.9-17-2017-00002 - Bölcsődei szakemberek szakmai fejlesztése Szombathelyen</t>
  </si>
  <si>
    <t>TOP-6.1.1-15-00001 A szombathelyi északi iparterület fejlesztése áfa visszaigénylés</t>
  </si>
  <si>
    <t xml:space="preserve"> - Vas Megyei Kereskedelmi és Iparkamara együttműködési megállapodás alapján nyújtott támogatás - mikróvállalkozások támogatására</t>
  </si>
  <si>
    <t xml:space="preserve">Költségvetési </t>
  </si>
  <si>
    <t>Önkormányzat</t>
  </si>
  <si>
    <t>szervek bevételei</t>
  </si>
  <si>
    <t>szervek kiadásai</t>
  </si>
  <si>
    <t>bevételei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</si>
  <si>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</si>
  <si>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</si>
  <si>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</si>
  <si>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</si>
  <si>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</si>
  <si>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</si>
  <si>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</si>
  <si>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</si>
  <si>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</si>
  <si>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</si>
  <si>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</si>
  <si>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</si>
  <si>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</si>
  <si>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</si>
  <si>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</si>
  <si>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</si>
  <si>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</si>
  <si>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</si>
  <si>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</si>
  <si>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</si>
  <si>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</si>
  <si>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</si>
  <si>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</si>
  <si>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Fogyatékos emberek Világnapja, Föld Napi Gála, egyéb rendezvények</t>
  </si>
  <si>
    <t>Joskar-Ola Alapítvány</t>
  </si>
  <si>
    <t>Roma Nemzetiségi Önkormányzat támogatása és Alkotótábor Szombathely-Herény rendezvény támogatása</t>
  </si>
  <si>
    <t>Viktória FC támogatása (felnőtt - Haladás Labdarugó Kft.)</t>
  </si>
  <si>
    <t>Falco mérkőzések online jegyértékesítés rendszere</t>
  </si>
  <si>
    <t xml:space="preserve">TOP-6.2.1-15-00004 Weöres S. és Pipitér Óvoda fejlesztése Szombathelyen - fordított áfa </t>
  </si>
  <si>
    <t xml:space="preserve">TOP-6.2.1-15-00002 Óvoda fejlesztések Szombathelyen - fordított áfa </t>
  </si>
  <si>
    <t>Vasi Honvéd Bajtársi Egyesület támogatása</t>
  </si>
  <si>
    <t xml:space="preserve">             Egyéb városfejlesztési célok           22.000 eFt</t>
  </si>
  <si>
    <t>Fogyatékkal Élőket és Hajléktalanokat Ellátó Nkft.</t>
  </si>
  <si>
    <t>SZOVA Zrt.által üzemeltetett lét.-ek (Tófürdő, Kalandváros,Műjégpálya) veszteségének megtérítése</t>
  </si>
  <si>
    <t xml:space="preserve">ELTE - Bolyai J. Ált.Isk. és  Gimn. - felújítási pályázati önrész </t>
  </si>
  <si>
    <t>előirányzat</t>
  </si>
  <si>
    <t>ERFA és hazai támogatás - Szent M. szellemiségével összefüggő nemzetközi projekt</t>
  </si>
  <si>
    <t>Szent Márton szellemiségével összefüggő nemzetközi projekt támogatás és önrész</t>
  </si>
  <si>
    <t>TOP-6.7.1-15 Szociális városrehabilitáció II. ütem - fordított áfa kiadás</t>
  </si>
  <si>
    <t>Kátyúzás</t>
  </si>
  <si>
    <t>TOP-6.2.1-15-00003 Százszorszép Bölcsőde és Mocorgó Óvoda fejlesztése Szombathelyen - hozzájárulás</t>
  </si>
  <si>
    <t>Vásárok bevétele</t>
  </si>
  <si>
    <t>Központi támogatás elszámolás alapján</t>
  </si>
  <si>
    <t xml:space="preserve">             Szociális ágazati össszevont pótlék</t>
  </si>
  <si>
    <t xml:space="preserve">Berzsenyi Dániel Könyvtár </t>
  </si>
  <si>
    <t>Városi térfigyelő kamera rendszer fejlesztése</t>
  </si>
  <si>
    <t>Köznevelési feladatellátásra átadott vagyon ellenőrzése</t>
  </si>
  <si>
    <t>TOP-6.1.4-00004 Schrammel Imre életművének méltó elhelyezése Szombathelyen</t>
  </si>
  <si>
    <t xml:space="preserve">Modern Városok Program - Fedett uszoda további fejlesztése és bővítése  </t>
  </si>
  <si>
    <t>Út és járdafelújítás, csapadékvíz elvezetés (központi támogatásból) - fordított áfa kiadás</t>
  </si>
  <si>
    <t>TOP-6.3.2-15 Szombathelyi Sportliget fejlesztése - hozzájárulás (közcélú villamoshálózatra való csatlakozás, közbeszerzési kiadások, egyéb)</t>
  </si>
  <si>
    <t>TOP-6.3.1-15 Szombathely Szent László Király utcai felhagyott iparterület fejlesztése  - BMSK Asztalitenisz  terem 2016. évi</t>
  </si>
  <si>
    <t>TOP-6.3.1-15 Szombathely Szent László Király utcai felhagyott iparterület fejlesztése  - BMSK Vívóterem 2016. évi</t>
  </si>
  <si>
    <t>TOP-6.3.1-15 Szombathely Szent László Király utcai felhagyott iparterület fejlesztése  - BMSK Asztalitenisz  terem 2017. évi</t>
  </si>
  <si>
    <t>TOP-6.3.1-15 Szombathely Szent László Király utcai felhagyott iparterület fejlesztése  - BMSK Vívóterem 2017. évi</t>
  </si>
  <si>
    <t>TOP-6.3.1-15 Szombathely Szent László Király utcai felhagyott iparterület fejlesztése  - BMSK Asztalitenisz  terem 2016. évi - fordított áfa kiadás</t>
  </si>
  <si>
    <t>TOP-6.3.1-15 Szombathely Szent László Király utcai felhagyott iparterület fejlesztése (EPCOS telephely) BMSK támogatás -  fordított áfa kiadás</t>
  </si>
  <si>
    <t>TOP-6.3.1-15 Szombathely Szent László Király utcai felhagyott iparterület fejlesztése  - BMSK Vívóterem 2016. évi - fordított áfa kiadás</t>
  </si>
  <si>
    <t>TOP-6.3.1-15 Szombathely Szent László Király utcai felhagyott iparterület fejlesztése  - BMSK Asztalitenisz  terem 2017. évi - fordított áfa kiadás</t>
  </si>
  <si>
    <t>TOP-6.3.1-15 Szombathely Szent László Király utcai felhagyott iparterület fejlesztése  - BMSK Vívóterem 2017. évi - fordított áfa kiadás</t>
  </si>
  <si>
    <t>TOP-6.3.1-15 Szombathely Szent László Király utcai felhagyott iparterület fejlesztése  - hozzájárulás - fordított áfa kiadás</t>
  </si>
  <si>
    <t>SZOMHULL Nonprofit Kft. - tagi kölcsön visszatérülés</t>
  </si>
  <si>
    <t>Szombathelyi imázsfilm készítés</t>
  </si>
  <si>
    <t>SZMJV Diákönkormányzat - rendezvények, programok, támogatások, egyéb kiadások</t>
  </si>
  <si>
    <t>Király u. 1-11. tömbbelsőben parkoló építés</t>
  </si>
  <si>
    <t xml:space="preserve">Király u. 1-11. tömbbelsőben parkoló építés - fordított áfa </t>
  </si>
  <si>
    <t>Herényi temető bővítés, növénytelepítés</t>
  </si>
  <si>
    <t>2019.évi költségvetési támogatási előleg</t>
  </si>
  <si>
    <t xml:space="preserve">Sportkomplexum használat HVSE </t>
  </si>
  <si>
    <t xml:space="preserve">Sportkomplexum használat HVSE Sport Kft. </t>
  </si>
  <si>
    <t>Sorszám</t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</si>
  <si>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NEAK támogatásból fedezett kiadás</t>
    </r>
  </si>
  <si>
    <t>Tűzoltóság szerállás felújítás</t>
  </si>
  <si>
    <t>Olad Városrészért Egyesület</t>
  </si>
  <si>
    <t xml:space="preserve">INTERREG AT-HU 2014-2020 pályázatban - önrész
Savaria Turizmus Nonprofit Kft 4.920,-Euro </t>
  </si>
  <si>
    <t xml:space="preserve">INTERREG  AT-HU 2014-2020 pályázatban - önrész
Savaria Múzeum 7.500,-Euro </t>
  </si>
  <si>
    <t>SZOMHULL tagi kölcsön nyújtása</t>
  </si>
  <si>
    <t xml:space="preserve">Óvodai műfűves pályaépítési program </t>
  </si>
  <si>
    <t>Hátrányos Helyzetű Roma Fiatalokat Támogató Közhasznú Egyesület támogatása</t>
  </si>
  <si>
    <t>Integrált településfejlesztési stratégia</t>
  </si>
  <si>
    <t>Vásárokkal kapcsolatos áfa visszaigénylés</t>
  </si>
  <si>
    <t>TOP-6.1.1-15-00002 Sombathely, Sárdi-ér úti terület alapinfrastruktúrájának kiépítése - hozzájárulás</t>
  </si>
  <si>
    <t>TOP 6.6.2-15 Szociális alapszolgálatások fejlesztése Szombathelyen</t>
  </si>
  <si>
    <t>Mozgássérültek Vas Megyei Egyesülete - székház felújításhoz nyújtott támogatás</t>
  </si>
  <si>
    <t xml:space="preserve">Modern Városok Program - A szombathelyi Késmárk utcai Teniszcentrum fejlesztése </t>
  </si>
  <si>
    <t>Modern Városok Program - A szombathelyi Késmárk utcai Teniszcentrum fejlesztése - fordított áfa</t>
  </si>
  <si>
    <t>Modern Városok Program - Fedett uszoda további fejlesztése és bővítése  - fordított áfa</t>
  </si>
  <si>
    <t>Nemzeti Ovi-Foci Sportprogram (Ovi-Foci Közhasznú Alapítvány)</t>
  </si>
  <si>
    <t>TOP-6.1.4-16-SH1-2017-00003 Víztorony és környezetének turisztikai célú fejlesztése - fordított áfa</t>
  </si>
  <si>
    <t>Kámoni Fiókkönyvtár építése</t>
  </si>
  <si>
    <t xml:space="preserve"> - ELTE - Egyetemi oktatók támogatása</t>
  </si>
  <si>
    <t xml:space="preserve"> - ELTE - rekrutációs médiakampány támogatása</t>
  </si>
  <si>
    <t>TOP-6.4.1-15 SZMJV kerékpárosbarát fejlesztése - hozzájárulás</t>
  </si>
  <si>
    <t>Térfigyelő kamerarendszer üzemeltetése és adatátviteli hálózat üzemeltetése</t>
  </si>
  <si>
    <t>Önkormányzati pavilonok tárolása, felújítása</t>
  </si>
  <si>
    <t>Városi gazdálkodási rendszer ASP kapcsolat kilakítása</t>
  </si>
  <si>
    <t>Lakossági kérdőív online kitöltő felület kialakítása</t>
  </si>
  <si>
    <t>Szent Márton kártya összekapcsolása pénztári rendszerekkel</t>
  </si>
  <si>
    <t>EPCOS telephely informatikai hálózat kialakítás</t>
  </si>
  <si>
    <t>Videomenedzsment szoftver frissítése</t>
  </si>
  <si>
    <t xml:space="preserve">Tartalék - Villamos energia díj változás </t>
  </si>
  <si>
    <t>Városi turisztikai modell kialakítása</t>
  </si>
  <si>
    <t xml:space="preserve">2019. évi bevételei  kiemelt előirányzatonként </t>
  </si>
  <si>
    <t xml:space="preserve">2019. évi  kiadásai kiemelt előirányzatonként </t>
  </si>
  <si>
    <t>Szombathely Megyei  Jogú Város Önkormányzata 2019. évi előirányzat felhasználási terve</t>
  </si>
  <si>
    <t>Szombathely Megyei Jogú Város Önkormányzata 2019. évi előirányzat felhasználási terve</t>
  </si>
  <si>
    <t>Vas Megyei Hegypásztor Kör Egyesület - Civil információs centrum</t>
  </si>
  <si>
    <t xml:space="preserve">Szombathelyi identítást erősítő program </t>
  </si>
  <si>
    <t>Intézményi felújítások</t>
  </si>
  <si>
    <t xml:space="preserve">  Ebből: Képviselői keret                               63.650 eFt</t>
  </si>
  <si>
    <t>Köztéri szobrok felújítása</t>
  </si>
  <si>
    <t xml:space="preserve">I.világháborús emlékművek felújítása </t>
  </si>
  <si>
    <t>Sportliget fejlesztése projekthez kapcsolódó eszközbeszerzés (Szombathelyi Sportközpont és Sportiskola Nkft.)</t>
  </si>
  <si>
    <t>Önkormányzati tulajdonú területek kaszálása</t>
  </si>
  <si>
    <t>Padkarendezés, szegélyek javítása, akadálymentesítés, szintbehelyezés</t>
  </si>
  <si>
    <t xml:space="preserve">   EBBŐL:</t>
  </si>
  <si>
    <t xml:space="preserve"> - Tóth Géza Súlyemelő Emlékverseny 3.000 eFt</t>
  </si>
  <si>
    <t xml:space="preserve"> - Vasi Vasember Triatlon   6.000 eFt</t>
  </si>
  <si>
    <t xml:space="preserve"> - Tornász Világkupa  8.000 eFt</t>
  </si>
  <si>
    <t xml:space="preserve"> - Sportlövő NK Verseny 4.000 eFt</t>
  </si>
  <si>
    <t xml:space="preserve"> - Asztalitenisz ITTF Junior World Cup 5.000 eFt</t>
  </si>
  <si>
    <t>Margaréta Óvoda - csoportszoba kialakítása</t>
  </si>
  <si>
    <t>Bloomsday rendezvény</t>
  </si>
  <si>
    <t xml:space="preserve"> - Savaria Nemzetközi Táncverseny 7.000 eFt</t>
  </si>
  <si>
    <t xml:space="preserve"> - Speciális Olimpia 3.000 eFt</t>
  </si>
  <si>
    <t>Működési célú maradvány - projektekhez</t>
  </si>
  <si>
    <t>Felhalmozási célú maradvány - projektekhez</t>
  </si>
  <si>
    <t>Működési célú maradvány a 2019. évi költségvetési támogatási előleghez</t>
  </si>
  <si>
    <t>TOP-6.2.1-15-00002 Óvoda fejlesztések Szombathelyen - hozzájárulás - fordított áfa</t>
  </si>
  <si>
    <t>Önkormányzati tulajdonú gazdasági társaságok GDPR költsége</t>
  </si>
  <si>
    <t>Vízközmű- és szennyvízközmű használati díj terhére végzett beruházás - fordított áfa</t>
  </si>
  <si>
    <t>Modern Városok Program - A szombathelyi Késmárk utcai Teniszcentrum fejlesztése - hozzájárulás</t>
  </si>
  <si>
    <t>Vas Megyei Tudományos Ismeretterjesztő Egyesület támogatása - közművelődési megállapodás</t>
  </si>
  <si>
    <t>Nagy Lajos Gimnázium fűtése, hőszolgáltatási költsége</t>
  </si>
  <si>
    <t xml:space="preserve"> - ELTE - Bolyai Gimnázium - étkezési hozzájárulás támogatás</t>
  </si>
  <si>
    <t xml:space="preserve"> - ELTE - Bolyai J. Ált.Isk. és  Gimnázium támogatása</t>
  </si>
  <si>
    <t xml:space="preserve"> - ELTE - Gothard Asztrofizikai Obszervetórium támogatása</t>
  </si>
  <si>
    <t xml:space="preserve"> - Évbúcsúztató Teremlabdarúgó Torna 5.000 eFt</t>
  </si>
  <si>
    <t>Savaria Városfejlesztési Nonprofit Kft. támogatása</t>
  </si>
  <si>
    <t>Települési hulladékkezelés és köztisztasági tevékenység, és hó eltakarítás</t>
  </si>
  <si>
    <t>Tartalék - GDPR EU adatvédelmi rendelet alkalmazása az önkormányzati tulajdonú gazdasági társaságokban</t>
  </si>
  <si>
    <t>Óvoda intézményi karbantartás</t>
  </si>
  <si>
    <t>Egységes ügyiratkezelő szoftver az önkormányzat által müködtetett intézményekben</t>
  </si>
  <si>
    <t xml:space="preserve">             Tervezések                                     70.000 eFt</t>
  </si>
  <si>
    <t>Tartalék - Cafetéria közalkalmazottak részére</t>
  </si>
  <si>
    <t>Aréna Óvoda csoportjai által a Petőfi S. utcában használt épület felújítása</t>
  </si>
  <si>
    <t>Szalézi templom - lépcső felújítás</t>
  </si>
  <si>
    <t>Egyesített Bölcsődei Intézmény - étel lift felújítása</t>
  </si>
  <si>
    <t xml:space="preserve">Út, járda, híd, kerékpárút, parkoló, közvilágítási építési és felújítási program </t>
  </si>
  <si>
    <t>Játszótér felújítások</t>
  </si>
  <si>
    <t>Vagyongazdálkodási kiadások (ingatlan kisajátítás, vásárlás)</t>
  </si>
  <si>
    <t>Évközi tervezések, útfelújítás tervezések</t>
  </si>
  <si>
    <t>Városfejlesztési Alap - Tervezések</t>
  </si>
  <si>
    <t xml:space="preserve"> előirányzatából megvalósítandó feladatok</t>
  </si>
  <si>
    <t>Károly Róbert utcai játszótér</t>
  </si>
  <si>
    <t>Parkerdő lakópark területén lévő játszótér</t>
  </si>
  <si>
    <t>Petőfi telepen lévő játszótér</t>
  </si>
  <si>
    <t>Pázmány Péter krt. 42-52. számú tömbbelsőben található járda felújítás</t>
  </si>
  <si>
    <t>Pázmány Péter krt. 54-64. számú tömbbelsőben található járda felújítás</t>
  </si>
  <si>
    <t>Szűrcsapó utca 26. szám előtti járda felújítása, illetve továbbépítése</t>
  </si>
  <si>
    <t>Szűrcsapó utca 10. szám előtti járda felújítása</t>
  </si>
  <si>
    <t>Vadász utca kivezetésének (elkerülő útra) megterveztetése</t>
  </si>
  <si>
    <t>Nagy Lajos király utca zárt csapadékvíz elvezetésének megterveztetése</t>
  </si>
  <si>
    <t>Szentkirály-Táplánszentkereszt kerékpárút hiányzó szakaszának megterveztetése</t>
  </si>
  <si>
    <t>13.</t>
  </si>
  <si>
    <t>Károly Róbert utcai kutyafuttató és sportpálya mögötti terület parkolóvá terveztetése</t>
  </si>
  <si>
    <t>14.</t>
  </si>
  <si>
    <t>Őrség utca felújításának megterveztetése</t>
  </si>
  <si>
    <t>15.</t>
  </si>
  <si>
    <t xml:space="preserve">Barátság utca 17. szám melletti terület parkolóvá átterveztetése                </t>
  </si>
  <si>
    <t>16.</t>
  </si>
  <si>
    <t>Pázmány Péter krt. 25. szám melletti terület parkolóvá átterveztetése</t>
  </si>
  <si>
    <t>17.</t>
  </si>
  <si>
    <t xml:space="preserve">Mikes Kelemen utca 3. szám  meletti terület parkolóvá átterveztetése </t>
  </si>
  <si>
    <t>18.</t>
  </si>
  <si>
    <t>Szűrcsapó utca 8. szám  meletti terület parkolóvá átterveztetése</t>
  </si>
  <si>
    <t>19.</t>
  </si>
  <si>
    <t>Váci Mihály utcai Általános Iskola és a Benedek Elek utcai "E-On" mögötti terület parkolóvá terveztetése</t>
  </si>
  <si>
    <t>20.</t>
  </si>
  <si>
    <t>Váci Mihály Általános Iskola előtti tér felújításának megterveztetése</t>
  </si>
  <si>
    <t>21.</t>
  </si>
  <si>
    <t>Rohonci út 29-39. szám alatti épületek mögötti parkoló bővítésének megterveztetése</t>
  </si>
  <si>
    <t>22.</t>
  </si>
  <si>
    <t>23.</t>
  </si>
  <si>
    <t>24.</t>
  </si>
  <si>
    <t>Kéthly Anna utca és a 87-es út közötti zöld terület egy részének parkolóvá terveztetése</t>
  </si>
  <si>
    <t>25.</t>
  </si>
  <si>
    <t>26.</t>
  </si>
  <si>
    <t>Tarcsa utca felújításának megterveztetése</t>
  </si>
  <si>
    <t>27.</t>
  </si>
  <si>
    <t>Vörösvár utca felújításának megterveztetése</t>
  </si>
  <si>
    <t>28.</t>
  </si>
  <si>
    <t>Bartók Béla krt. kerékpárút-járda felújítás terv készítés</t>
  </si>
  <si>
    <t>29.</t>
  </si>
  <si>
    <t>Mészáros Lőrinc utca felújításának megterveztetése</t>
  </si>
  <si>
    <t>30.</t>
  </si>
  <si>
    <t>Sándor László utca felújításának megterveztetése</t>
  </si>
  <si>
    <t>31.</t>
  </si>
  <si>
    <t>Török Ignác utca felújításának megterveztetése</t>
  </si>
  <si>
    <t>32.</t>
  </si>
  <si>
    <t>Vadász utca - Szent István király utca - Oroszlán utca közötti szakasz megterveztetése</t>
  </si>
  <si>
    <t>33.</t>
  </si>
  <si>
    <t>Vadász utca részbeni (Szent István király utca - Oroszlán utca közötti szakasz) felújítása</t>
  </si>
  <si>
    <t>34.</t>
  </si>
  <si>
    <t>Nagy Lajos király utca járdájának teljes rekonstrukciója</t>
  </si>
  <si>
    <t>35.</t>
  </si>
  <si>
    <t>36.</t>
  </si>
  <si>
    <t>Sándor László utca felújítása</t>
  </si>
  <si>
    <t>37.</t>
  </si>
  <si>
    <t>Török Ignác utca felújítása</t>
  </si>
  <si>
    <t>38.</t>
  </si>
  <si>
    <t>Mészáros Lőrinc utca felújítása</t>
  </si>
  <si>
    <t>39.</t>
  </si>
  <si>
    <t>Bem József utca 4/a-f. szám előtti járdaszakasz felújítása</t>
  </si>
  <si>
    <t>40.</t>
  </si>
  <si>
    <t>Rohonci út 21-27. szám mögötti járda felújítása</t>
  </si>
  <si>
    <t>41.</t>
  </si>
  <si>
    <t>42.</t>
  </si>
  <si>
    <t>43.</t>
  </si>
  <si>
    <t>Rohonci út 38 - 50. szám mögötti játszótéren hintacsere</t>
  </si>
  <si>
    <t>44.</t>
  </si>
  <si>
    <t>45.</t>
  </si>
  <si>
    <t>Kodály Zoltán utca burkolatjavítás, kopóréteg csere</t>
  </si>
  <si>
    <t>46.</t>
  </si>
  <si>
    <t>47.</t>
  </si>
  <si>
    <t>Bólyai utca 1-3. szám közti közpark megépítése</t>
  </si>
  <si>
    <t>48.</t>
  </si>
  <si>
    <t>Rohonci út 26-36. szám mögötti tömbbelsőben lévő parkolók felújítása</t>
  </si>
  <si>
    <t>49.</t>
  </si>
  <si>
    <t>50.</t>
  </si>
  <si>
    <t>Lipp Vilmos utca csapadékvíz elvezetés (Kertész utca és a Dr. Szabolcs Zoltán utca között)</t>
  </si>
  <si>
    <t>51.</t>
  </si>
  <si>
    <t>Domonkos utca járdafelújítás (Markusovszky Lajos utca és a Hübner utca között)</t>
  </si>
  <si>
    <t>52.</t>
  </si>
  <si>
    <t>Irottkő utca járda felújítás és csapadékvíz elvezetés (Alsóőr utca és a Szófia utca között)</t>
  </si>
  <si>
    <t>53.</t>
  </si>
  <si>
    <t>Akacs Mihály utca út, járda, csapadékvíz elvezetés (Bartók Béla krt. és a Szűrcsapó utca között)</t>
  </si>
  <si>
    <t>54.</t>
  </si>
  <si>
    <t>Patak utca parkoló kiépítésének terveztetése</t>
  </si>
  <si>
    <t>55.</t>
  </si>
  <si>
    <t>Hargita utca járda aszfaltozás</t>
  </si>
  <si>
    <t>56.</t>
  </si>
  <si>
    <t xml:space="preserve">Szófia utcai Gyöngyös híd akadálymentesítése </t>
  </si>
  <si>
    <t>57.</t>
  </si>
  <si>
    <t>Jászai Mari utca 22-24. számmal szemközti parkoló kialakítása</t>
  </si>
  <si>
    <t>58.</t>
  </si>
  <si>
    <t>Őrség utca járda kialakítása</t>
  </si>
  <si>
    <t>59.</t>
  </si>
  <si>
    <t>Csapó utca járda és úttest kialakítása</t>
  </si>
  <si>
    <t>60.</t>
  </si>
  <si>
    <t>Gábor Áron utca járda felújítása</t>
  </si>
  <si>
    <t>Bem József utca 19. szám mögötti járda felújítása</t>
  </si>
  <si>
    <t>Szűrcsapó utca 22. szám meletti parkoló megterveztetése</t>
  </si>
  <si>
    <t>Szűrcsapó utca 26. szám melletti parkoló bővítésének megterveztetése</t>
  </si>
  <si>
    <t>Bakó József (Faludy-Kodály) utca és a Kassák Lajos utca sarkánál zebra megterveztetése</t>
  </si>
  <si>
    <t>Kálvária domb északi oldalánál található területen ókori  szabadtéri színház rekonstrukciójának megterveztetése</t>
  </si>
  <si>
    <t>ún. Mise út (Gyöngyös áteresztől a Szent István király utcáig)</t>
  </si>
  <si>
    <t>Perintparti sétány Rohoni u. - Bartók B. krt. közötti szakaszának folytatása, ami tovább megy a Kodály Z.  utcáig, a Bem J. u. a 6-18. tízemeletes házak mögötti résznél a járdaszakasz felújítása</t>
  </si>
  <si>
    <t>Kassák Lajos utca  12-20. járdafelújítás</t>
  </si>
  <si>
    <t>Szűrcsapó u. 22. meletti parkoló megépítése</t>
  </si>
  <si>
    <t>Trianoni Emlékpark tervezése</t>
  </si>
  <si>
    <t xml:space="preserve">Sportkomplexum használat - Szombathelyi Haladás Labdarúgó és Sportszolgáltató Kft. </t>
  </si>
  <si>
    <t>Szombathelyi Haladás Labdarúgó és Sportszolgáltató Kft. támogatása - TARTALÉK</t>
  </si>
  <si>
    <t xml:space="preserve">Javasolt </t>
  </si>
  <si>
    <t>módosítás</t>
  </si>
  <si>
    <t xml:space="preserve"> - ELTE - Szombathelyi Hallgatói Kiválósági Ösztöndíj</t>
  </si>
  <si>
    <t>TOP-6.5.1-16 - SH1-2018-00001 Önkormányzati épületek energetikai korszerűsítése - Maros és Pipitér Óvoda</t>
  </si>
  <si>
    <t>TOP-6.5.1-16 - SH1-2018-00002 Önkormányzati épületek energetikai korszerűsítése - Oladi Szakgimnázizum és Szakközépiskola</t>
  </si>
  <si>
    <t>TOP-6.6.1-16 - SH1-2018-00001  Egészségügyi alapellátás infrastruktúrális fejlesztése - Új Egészségügyi Alapellátó Központ</t>
  </si>
  <si>
    <t>TOP-6.6.1-16 - SH1-2018-00002  Egészségügyi alapellátás infrastruktúrális fejlesztése - Kiskar u. orvosi rendelő</t>
  </si>
  <si>
    <t xml:space="preserve">2019. évi - Út, járda, híd, kerékpárút, parkoló, közvilágítási építési és felújítási program </t>
  </si>
  <si>
    <t>2019. évi - Út, járda, híd, kerékpárút, parkoló, közvilágítási építési és felújítási program - fordított áfa</t>
  </si>
  <si>
    <t xml:space="preserve">2018. évi - Út, járda, híd, kerékpárút, parkoló, közvilágítási építési és felújítási program </t>
  </si>
  <si>
    <t>2018. évi - Út, járda, híd, kerékpárút, parkoló, közvilágítási építési és felújítási program - fordított áfa</t>
  </si>
  <si>
    <t>Önkormányzat által kijelölt bérlők lakbértámogatásából eredő bérleti díjbevétel kiesés kompenzálása a SZOVA Zrt.részére</t>
  </si>
  <si>
    <t>Vereczkei utca járdafelújítás</t>
  </si>
  <si>
    <t>Vajdahunyadi Magyar Ház támogatás</t>
  </si>
  <si>
    <t>Sárkányhajó fesztivál</t>
  </si>
  <si>
    <t>Mák Dóri Divatbemutató Kicsit Másképp Alapítvány</t>
  </si>
  <si>
    <t>Legendák a levegőben repülő nap</t>
  </si>
  <si>
    <r>
      <t xml:space="preserve">Agora Szombathelyi Kulturális Központ </t>
    </r>
    <r>
      <rPr>
        <i/>
        <sz val="12"/>
        <rFont val="Arial CE"/>
        <charset val="238"/>
      </rPr>
      <t>2018. évi maradványból fedezett kiadás</t>
    </r>
  </si>
  <si>
    <r>
      <t xml:space="preserve">Mesebolt Bábszínház </t>
    </r>
    <r>
      <rPr>
        <i/>
        <sz val="12"/>
        <rFont val="Arial"/>
        <family val="2"/>
        <charset val="238"/>
      </rPr>
      <t>2018.évi maradványból fedezett kiadás</t>
    </r>
  </si>
  <si>
    <r>
      <t xml:space="preserve">Savaria Szimfónikus Zenekar </t>
    </r>
    <r>
      <rPr>
        <i/>
        <sz val="12"/>
        <rFont val="Arial"/>
        <family val="2"/>
        <charset val="238"/>
      </rPr>
      <t>2018.évi maradványból fedezett kiadás</t>
    </r>
  </si>
  <si>
    <r>
      <t xml:space="preserve">Berzsenyi Dániel </t>
    </r>
    <r>
      <rPr>
        <i/>
        <sz val="12"/>
        <rFont val="Arial"/>
        <family val="2"/>
        <charset val="238"/>
      </rPr>
      <t>2018.évi maradványból fedezett kiadás</t>
    </r>
  </si>
  <si>
    <r>
      <t xml:space="preserve">Savaria Múzeum </t>
    </r>
    <r>
      <rPr>
        <i/>
        <sz val="12"/>
        <rFont val="Arial"/>
        <family val="2"/>
        <charset val="238"/>
      </rPr>
      <t>2018.évi maradványból fedezett kiadás</t>
    </r>
  </si>
  <si>
    <r>
      <t>Weöres Sándor Színház Nonprofit Kft. - központi működési támogatásból</t>
    </r>
    <r>
      <rPr>
        <b/>
        <i/>
        <sz val="12"/>
        <rFont val="Arial CE"/>
        <charset val="238"/>
      </rPr>
      <t xml:space="preserve"> </t>
    </r>
    <r>
      <rPr>
        <i/>
        <sz val="12"/>
        <rFont val="Arial CE"/>
        <charset val="238"/>
      </rPr>
      <t>fedezett kiadás</t>
    </r>
  </si>
  <si>
    <r>
      <t>Weöres Sándor Színház Nonprofit Kft. - művészeti támogatásból</t>
    </r>
    <r>
      <rPr>
        <i/>
        <sz val="12"/>
        <rFont val="Arial CE"/>
        <charset val="238"/>
      </rPr>
      <t xml:space="preserve"> fedezett kiadás</t>
    </r>
  </si>
  <si>
    <r>
      <t>Agora Szombathelyi Kulturális Központ</t>
    </r>
    <r>
      <rPr>
        <b/>
        <sz val="12"/>
        <rFont val="Arial"/>
        <family val="2"/>
        <charset val="238"/>
      </rPr>
      <t xml:space="preserve"> 2018.évi maradványból</t>
    </r>
    <r>
      <rPr>
        <i/>
        <sz val="12"/>
        <rFont val="Arial"/>
        <family val="2"/>
        <charset val="238"/>
      </rPr>
      <t xml:space="preserve"> fedezett kiadás</t>
    </r>
  </si>
  <si>
    <r>
      <t>Mesebolt Bábszínház</t>
    </r>
    <r>
      <rPr>
        <b/>
        <sz val="12"/>
        <rFont val="Arial"/>
        <family val="2"/>
        <charset val="238"/>
      </rPr>
      <t xml:space="preserve"> 2018.évi maradványból</t>
    </r>
    <r>
      <rPr>
        <i/>
        <sz val="12"/>
        <rFont val="Arial"/>
        <family val="2"/>
        <charset val="238"/>
      </rPr>
      <t xml:space="preserve">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</si>
  <si>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 xml:space="preserve">2018.évi maradványból </t>
    </r>
    <r>
      <rPr>
        <sz val="12"/>
        <rFont val="Arial"/>
        <family val="2"/>
        <charset val="238"/>
      </rPr>
      <t>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</si>
  <si>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2018.évi maradványból</t>
    </r>
    <r>
      <rPr>
        <i/>
        <sz val="12"/>
        <rFont val="Arial CE"/>
        <charset val="238"/>
      </rPr>
      <t xml:space="preserve">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</si>
  <si>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2018.évi maradványból</t>
    </r>
    <r>
      <rPr>
        <i/>
        <sz val="12"/>
        <rFont val="Arial"/>
        <family val="2"/>
        <charset val="238"/>
      </rPr>
      <t xml:space="preserve">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</si>
  <si>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charset val="238"/>
      </rPr>
      <t>intézmény 2018. évi maradványból fedezett kiadás</t>
    </r>
  </si>
  <si>
    <r>
      <t xml:space="preserve">Szombathelyi Egészségügyi és Kulturális Intézmények GESZ  </t>
    </r>
    <r>
      <rPr>
        <b/>
        <i/>
        <sz val="12"/>
        <rFont val="Arial CE"/>
        <charset val="238"/>
      </rPr>
      <t>2018. évi maradványból fedezett kiadás</t>
    </r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</si>
  <si>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2018.évi maradványából fedezett kiadás</t>
    </r>
  </si>
  <si>
    <r>
      <t xml:space="preserve">Egyesített Bölcsődei Intézmény </t>
    </r>
    <r>
      <rPr>
        <b/>
        <i/>
        <sz val="12"/>
        <rFont val="Arial CE"/>
        <charset val="238"/>
      </rPr>
      <t>2018.évi maradványából fedezett kiadás</t>
    </r>
  </si>
  <si>
    <t>Zsidó Hitközség támogatása - nemzetközi konferencia</t>
  </si>
  <si>
    <t>TOP 6.3.3-15-Szombathely bel- és csapadékvíz védelmi rendszer fejlesztése</t>
  </si>
  <si>
    <t>Aranypatak revitalizációja - fordított áfa</t>
  </si>
  <si>
    <t>EBBŐL:2018.évről áthúzódó bérkompenzáció támogatása</t>
  </si>
  <si>
    <t>EBBŐL:2019.évi bérkompenzáció támogatása</t>
  </si>
  <si>
    <t xml:space="preserve">Európai Mobilitási Hét </t>
  </si>
  <si>
    <t xml:space="preserve">Hiszek Benned Sportprogram </t>
  </si>
  <si>
    <t>Hiszek Benned Sportprogram (központi támogatásból)</t>
  </si>
  <si>
    <t>Kamatmentes kölcsön visszatérülése - segély elszámolás</t>
  </si>
  <si>
    <t>Szombathelyi Parkfenntartási Kft. - GDPR költségek megtérításe</t>
  </si>
  <si>
    <t>FALCO KC Kft. - GDPR költségek megtérítése</t>
  </si>
  <si>
    <t>Haladás Sportkomplexum Nkft. - GDPR költségek megtérítése</t>
  </si>
  <si>
    <t>Felelős állattartás segítését célzó program</t>
  </si>
  <si>
    <t>Savaria Turizmus Nonprofit Kft - Az év fagylaltja verseny megrendezése</t>
  </si>
  <si>
    <t>HÁROFIT Közhasznú Egyesület - közfoglalkoztatás támogatása</t>
  </si>
  <si>
    <t>Rumi Rajki Műpártoló Kör - "Szent Márton megkereszteli édesanyját" szobor öntés</t>
  </si>
  <si>
    <t>Szombathelyi 11-es Huszár Hagyományőrző Egyesület</t>
  </si>
  <si>
    <t>Európa Kulturális Fővárosa 2023 - választott programon való részvétel, közreműködés</t>
  </si>
  <si>
    <t>Szombathelyi Szolgáltatási Szakképzési Centrum  - Jövő Mérlege Alapítványa - gépíró versenyen részvétel</t>
  </si>
  <si>
    <t>Öko majális</t>
  </si>
  <si>
    <t xml:space="preserve">Zsidó Hitközség támogatása - Holokauszt emlékmű talapzata helyreállítása </t>
  </si>
  <si>
    <t>TOP-6.5.1-16 - SH1-2018-00002 Önkormányzati épületek energetikai korszerűsítése - Oladi Szakgimnázium és Szakközépiskola</t>
  </si>
  <si>
    <t>Aranypatak revitalizációja</t>
  </si>
  <si>
    <t>Magyar - Horvát válogatott mérkőzés támogatása</t>
  </si>
  <si>
    <t>Szombathelyi Katasztrófavédelmi Igazgatóság - Szent Flórián Nap alkalmából tűzoltók jutalmazása</t>
  </si>
  <si>
    <t>Markusovszky kórház támogatása - Sürgősségi betegellátó (ágyak beszerzése)</t>
  </si>
  <si>
    <t>Perintparti Szó- Fogadó Szombathelyi Waldorf Óvoda, Általános Iskola, Gimnázium és Alapfokú Művészeti Iskola működési és étkezési támogatás</t>
  </si>
  <si>
    <t>2019. évi II.sz.módosított</t>
  </si>
  <si>
    <t>Városligeti labdarúgópálya helyreállítása</t>
  </si>
  <si>
    <t>TOP-6.7.1-15 Szociális városrehabilitáció II. ütem - hozzájárulás</t>
  </si>
  <si>
    <t>Kámoni Fiókkönyvtár építése - fordított áfa</t>
  </si>
  <si>
    <t xml:space="preserve">Vagyongazdálkodási kiadások (ingatlan kisajátítás, vásárlás) - fordított áfa </t>
  </si>
  <si>
    <t>TOP-6.4.1-15 SZMJV kerékpáros barát fejlesztése</t>
  </si>
  <si>
    <t>TOP-6.4.1-15 SZMJV kerékpáros barát fejlesztése - fordított áfa</t>
  </si>
  <si>
    <t>TOP-6.1.5-15 SZMJV közúthálózati elemeinek gazdaságfejlesztési célú megújítása</t>
  </si>
  <si>
    <t xml:space="preserve">TOP-6.1.5-15 SZMJV közúthálózati elemeinek gazdaságfejlesztési célú megújítása - fordított áfa </t>
  </si>
  <si>
    <t>Köznevelési GAMESZ</t>
  </si>
  <si>
    <t>Könyvtári célú érdekeltségnövelő támogatás</t>
  </si>
  <si>
    <t>Offline Group Kft. - adventi vásár támogatása</t>
  </si>
  <si>
    <t>Hírdető oszlop eltávolítás költségeinek megtérítése</t>
  </si>
  <si>
    <t>Közvilágítás - pénzügyi lízing - tőke kiadás</t>
  </si>
  <si>
    <t>Közvilágítás - pénügyi lízing - kamat kiadás</t>
  </si>
  <si>
    <t>Haladás Sportkomplexum Nkft. - tagi kölcsön (2019.december 31. visszatérüléssel)</t>
  </si>
  <si>
    <t>Támogatás kulturális pályázatokhoz, egyéb szervezetek, társaságok támogatása összesen</t>
  </si>
  <si>
    <t>TOP-6.6.2-15 Szociális alapszolgáltatások fejlesztése Szombathelyen projekthez kapcsolódó biztosíték</t>
  </si>
  <si>
    <t>Szemünk fénye program továbbszámlázott bevétele - Szombathelyi Műszaki Szakképzési Centrum</t>
  </si>
  <si>
    <t xml:space="preserve">TOP-6.3.1-15 Szombathely Szent László Király utcai felhagyott iparterület fejlesztése  - BMSK Vívóterem napelemes rendszer 2019. évi </t>
  </si>
  <si>
    <t>TOP 6.1.5-15 SZMJV közúthálózati elemeinek gazdaság fejlesztési célú megújítása</t>
  </si>
  <si>
    <t>Magyar Cserkészszövetség támogatása - Cserkész Világtalálkozóra kiutazó Magyar Dzsembori Csapat részvételi költségeihez nyújtott támogatás</t>
  </si>
  <si>
    <t>Kéményseprő ipari közszolgáltatás ellátásának támogatása</t>
  </si>
  <si>
    <t>Kéményseprő ipari közszolgáltatás ellátásának támogatása (központi ei.)</t>
  </si>
  <si>
    <t>Rászorulók karácsonyi ajándékozása</t>
  </si>
  <si>
    <t>Magyar Iskolaválasztási Program támogatása</t>
  </si>
  <si>
    <t>Szombathelyi Haladás Labdarúgó és Sportszolgáltató Kft. 2018.évről áthúzódó támogatása</t>
  </si>
  <si>
    <t xml:space="preserve"> - ELTE - Berzsenyi Dániel Pedagógusképző Központ oktatóinak támogatása</t>
  </si>
  <si>
    <t>Vasi Kynológiai Egyesület - 2XCAC kiállítás támogatása</t>
  </si>
  <si>
    <t>Viktória FC támogatása (önálló indulás)</t>
  </si>
  <si>
    <t>Szombathelyi Kézilabda Klub és Akadémia támogatása (NB 1-es indulás)</t>
  </si>
  <si>
    <t>112-es ügyfélszolgálat - buszmegálló kialakítása (SZOVA Zrt.)</t>
  </si>
  <si>
    <t>2019. évi III.sz.módosított</t>
  </si>
  <si>
    <t>HVSE Sport Kft. támogatása - Röplabda (extra liga)</t>
  </si>
  <si>
    <t>Lorigo TSE - Isis Dance Open</t>
  </si>
  <si>
    <t xml:space="preserve"> - XXXVIII. Savaria Röplabda Torna  4.000 eFt</t>
  </si>
  <si>
    <t>Szombathelyi Vívó Akadémia Sportegyesület - EPCOS területén létesítendő vívóakadémia kialakításához támogatás</t>
  </si>
  <si>
    <t>Óvodapedagógusok átlagbérének és közterheinek elismert összege</t>
  </si>
  <si>
    <t>Váci M. 20. mögötti sétány játszótérig húzódó szakaszának közvilágítás bővítése, valamint a Károlyi A. u. 1.sz. előtti járdaszakasz közvilágításának bővítése</t>
  </si>
  <si>
    <t>OMSZ részére támogatás - Orvosi Ügyelet ellátására</t>
  </si>
  <si>
    <t>Közvilágítás díja</t>
  </si>
  <si>
    <t>Elektromos hybrid gépjármű beszerzés (Innovációs és Technológiai Minisztérium)</t>
  </si>
  <si>
    <t>Kiegészítő pénzbeli ellátás</t>
  </si>
  <si>
    <t>Téli rezsicsökkentésben nem részesült, vezetéskes gáz vagy távfűtéstől eltérő  fűtőanyagot felhasználó háztartások egyszeri támogatás</t>
  </si>
  <si>
    <t>VASIVÍZ Zrt. - Uszoda fenntartás</t>
  </si>
  <si>
    <t>TOP-6.2.1-19 Bölcsődei férőhelyek kialakítása, bővítése</t>
  </si>
  <si>
    <t>Szombathelyi Haladás Labdarúgó és Sportszolgáltató Kft. 2020,2021, 2022. évi támogatás</t>
  </si>
  <si>
    <t xml:space="preserve">Szombathelyi Haladás Labdarúgó és Sportszolgáltató Kft. 2019.évi támogatása </t>
  </si>
  <si>
    <t>TOP-6.1.3-15 Szombathelyi Vásárcsarnok felújítása - hozzájárulás</t>
  </si>
  <si>
    <t>Nyugdíjba vonuló vezetők pedagógus szolgálati emlékérme és juttatása</t>
  </si>
  <si>
    <t>Viktória FC támogatása (2019.évi működési támogatás)</t>
  </si>
  <si>
    <t>Felelős állattartás segítését célzó program, "Kutyabarát település" védjegy</t>
  </si>
  <si>
    <t>TOP-6.3.3-15 Szombathely bel- és csapadékvíz védelmi rendszer fejlesztése</t>
  </si>
  <si>
    <t xml:space="preserve">TOP-6.3.3-15 Szombathely bel- és csapadékvíz védelmi rendszer fejlesztése - fordított áfa </t>
  </si>
  <si>
    <t>Polgármester, Alpolgármesterek, Tanácsnokok, választott képviselők és bizottsági tagok juttatásai</t>
  </si>
  <si>
    <t>TOP-6.1.4-00004 Schrammel Imre életművének méltó elhelyezése Szombathelyen - fordított áfa</t>
  </si>
  <si>
    <t>TOP-6.6.1-16 - SH1-2018-00001  Egészségügyi alapellátás infrastruktúrális fejlesztése - Új Egészségügyi Alapellátó Központ - fordított áfa</t>
  </si>
  <si>
    <t>VOLÁNBUSZ Zrt. (ÉNYKK  Zrt.) - helyi tömegközlekedés támogatása - 2017. és 2018. évi elszámolás</t>
  </si>
  <si>
    <t>VOLÁNBUSZ Zrt. (ÉNYKK  Zrt.) - helyi tömegközlekedés támogatása - 2019. év</t>
  </si>
  <si>
    <t>10 tánc Magyar Bajnokság megrendezéséhez nyújtott támogatás</t>
  </si>
  <si>
    <t>Pénzbeli támogatás</t>
  </si>
  <si>
    <t>Jó adatszolgáltató önkormányzat</t>
  </si>
  <si>
    <t>Helyi közösségi közlekedés támogatása</t>
  </si>
  <si>
    <t>TOP-6.3.1-15 Szombathely Szent László Király utcai felhagyott iparterület fejlesztése  - BMSK Vívóterem napelemes rendszer 2019. évi - áfa visszaigénylés</t>
  </si>
  <si>
    <t>TOP-6.3.3-15 Szombathely bel- és csapadékvíz védelmi rendszer fejlesztése áfa visszaigénylés</t>
  </si>
  <si>
    <t>Szent Márton szellemiségével összefüggő nemzetközi projekt - árfolyam nyereség</t>
  </si>
  <si>
    <t>Lámpatestek hulladékként történő értékesítésének bevétele</t>
  </si>
  <si>
    <t>Szent Márton kártya értékesítése</t>
  </si>
  <si>
    <t>Savaria Turizmus Nonprofit Kft - támogatása, pályázati önrész</t>
  </si>
  <si>
    <t>Városfejlesztési alap - fordított áfa kiadás</t>
  </si>
  <si>
    <t>TOP-6.1.1-15-00001 A szombathelyi Északi Iparterület fejlesztése - hozzájárulás - fordított áfa</t>
  </si>
  <si>
    <t>Szombathely Chrushers Amerikai Football Egyesület támogatása</t>
  </si>
  <si>
    <t>Szombathelyi Református egyházközség támogatása - parókia felújítása</t>
  </si>
  <si>
    <t>Forgalomtechnikai felülviszgálat Pick telepen, Bébic telepen</t>
  </si>
  <si>
    <t>Gyöngyös-patak melletti, 2711/1 hrsz-ú közterületen kutyafuttató terület kialakítása, valamint kutyafuttató területek felújítása (hulladékgyűjtő edények, információs táblák…..stb.)</t>
  </si>
  <si>
    <t>TOP-6.4.1-15 Fenntartható városi közlekedésfejlesztés Szhely-Balogunyom-Vép településeket összekötő kerékpárút</t>
  </si>
  <si>
    <t>Külső Nárai úton (Batsányi J.u. és Erdei iskola u. kereszteződés) gyalogátkelőhely létesítése, Jáki u. temető új buszváró pavilon létesítése</t>
  </si>
  <si>
    <t>Külső Nárai úton hiányzó járdaszakasz terveztetése</t>
  </si>
  <si>
    <t>Horváth Zoltán Emléktorna</t>
  </si>
  <si>
    <t>1.000 fa ültetés - tervezési kiadások</t>
  </si>
  <si>
    <t xml:space="preserve">Aréna Savaria fejlesztése </t>
  </si>
  <si>
    <t>Támogatások elszámolása - ÁH-on kívülről</t>
  </si>
  <si>
    <t>Északi iparterület fejlesztése (villamosenergia kiépítése, kerítés építése)</t>
  </si>
  <si>
    <t>Szombathely Megyei Jogú Város Önkormányzatának</t>
  </si>
  <si>
    <t>2019. évi  engedélyezett létszámelőirányzata</t>
  </si>
  <si>
    <t>2019. évi</t>
  </si>
  <si>
    <t>2019.évi III. sz. módosított engedélyezett létszám  előirányzat összesen</t>
  </si>
  <si>
    <t>Intézmény</t>
  </si>
  <si>
    <t>SZAKMAI LÉTSZÁM</t>
  </si>
  <si>
    <t>INTÉZMÉNY ÜZEMELTETÉSI LÉTSZÁM</t>
  </si>
  <si>
    <t>2019. évi II. sz. módosított előirányzat</t>
  </si>
  <si>
    <t>Javasolt módosítás</t>
  </si>
  <si>
    <t>2019. évi III. sz. módosított előirányzat</t>
  </si>
  <si>
    <t>átszámítás nélküli</t>
  </si>
  <si>
    <t xml:space="preserve">   kerekített</t>
  </si>
  <si>
    <t>kerekített</t>
  </si>
  <si>
    <t>Ó v o d á k :</t>
  </si>
  <si>
    <t>462/2019.(X.31.) Kgy.sz. hat.</t>
  </si>
  <si>
    <t>…./2019.(XI.28.) Kgy.sz. hat.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</si>
  <si>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</si>
  <si>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</si>
  <si>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</si>
  <si>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</si>
  <si>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</si>
  <si>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</si>
  <si>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</si>
  <si>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</si>
  <si>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</si>
  <si>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</si>
  <si>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</si>
  <si>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</si>
  <si>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</si>
  <si>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</si>
  <si>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</si>
  <si>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</si>
  <si>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</si>
  <si>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</si>
  <si>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</si>
  <si>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</si>
  <si>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összesen:</t>
  </si>
  <si>
    <t>Szombathelyi Köznevelési GAMESZ</t>
  </si>
  <si>
    <t xml:space="preserve">Oktatási intézmények összesen:                                       </t>
  </si>
  <si>
    <t>Nem oktatási intézmények:</t>
  </si>
  <si>
    <t>Kulturális intézmény</t>
  </si>
  <si>
    <t>Agora Szombathelyi Kulturális Központ</t>
  </si>
  <si>
    <t>Savaria Szimfonikus Zenekar</t>
  </si>
  <si>
    <t>Berzsenyi Dániel Megyei Hatókörű Városi Könyvtár</t>
  </si>
  <si>
    <t>Savaria Megyei Hatókörű Városi Múzeum</t>
  </si>
  <si>
    <t xml:space="preserve">Összesen:          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</si>
  <si>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</si>
  <si>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</si>
  <si>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</si>
  <si>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</si>
  <si>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</si>
  <si>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>Szombathelyi Egyesített Bölcsődei Intézmény</t>
  </si>
  <si>
    <t>Egyéb intézmények</t>
  </si>
  <si>
    <t>Szombathelyi Városi Vásárcsarnok</t>
  </si>
  <si>
    <t>Közterület-Felügyelet</t>
  </si>
  <si>
    <t xml:space="preserve">Összesen                                       </t>
  </si>
  <si>
    <t>Nem oktatási intézmények összesen</t>
  </si>
  <si>
    <t>Intézmények mindösszesen</t>
  </si>
  <si>
    <t>Költségvetési szervek 2019. évi bevételei</t>
  </si>
  <si>
    <t xml:space="preserve">I N T É Z M É N Y                               </t>
  </si>
  <si>
    <t>Működési célú átvett  pénzszeközök</t>
  </si>
  <si>
    <t>Saját bevételek összesen</t>
  </si>
  <si>
    <t>Előző év költségvetési maradványának igénybevétele</t>
  </si>
  <si>
    <t>Központi irányítószervtől kapott támogatás</t>
  </si>
  <si>
    <t>Központi irányítószervtől kapott támogatás összesen</t>
  </si>
  <si>
    <t xml:space="preserve">     Költségvetési bevételek összesen</t>
  </si>
  <si>
    <t>2019.</t>
  </si>
  <si>
    <t>Működési</t>
  </si>
  <si>
    <t>Felhalmozási</t>
  </si>
  <si>
    <t>Ó v o d á k</t>
  </si>
  <si>
    <t>Óvodák  összesen</t>
  </si>
  <si>
    <t>Oktatási intézmények összesen</t>
  </si>
  <si>
    <t>Nem oktatási intézmények</t>
  </si>
  <si>
    <t>Kulturális intézmények</t>
  </si>
  <si>
    <t xml:space="preserve">Összesen                             </t>
  </si>
  <si>
    <t xml:space="preserve">Szombathelyi Egyesített Bölcsődei Intézmény </t>
  </si>
  <si>
    <t>Szombathely Városi Vásárcsarnok</t>
  </si>
  <si>
    <t xml:space="preserve">Összesen                                 </t>
  </si>
  <si>
    <t>Költségvetési szervek 2019.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</si>
  <si>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</si>
  <si>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</si>
  <si>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</si>
  <si>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</si>
  <si>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</si>
  <si>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</si>
  <si>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Önkormányzatok általános működésének és ágazati feladatainak támogatása</t>
  </si>
  <si>
    <t>MEGNEVEZÉS</t>
  </si>
  <si>
    <t>2019. évi II.sz.</t>
  </si>
  <si>
    <t>Javasolt</t>
  </si>
  <si>
    <t>2019. évi III.sz.</t>
  </si>
  <si>
    <t>módosított</t>
  </si>
  <si>
    <t>2. Nem közművel összegyűjtött háztartási szennyvíz ártalmatlanítása</t>
  </si>
  <si>
    <t>5. A költségvetési szerveknél foglalkoztatottak 2018. évi áthúzódó és 2019. évi kompenzációja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</si>
  <si>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</si>
  <si>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</si>
  <si>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</si>
  <si>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nevelőmunkáját közvetlenül segítők átlagbérének és közterheinek elismert összege</t>
  </si>
  <si>
    <t>2. Óvodaműködtetési támogatás</t>
  </si>
  <si>
    <t>4. Kiegészítő  támogatás az óvodapedagógusok és a szakképzettséggel rendelkező segítők minősítéséből adódó többletkiadásokhoz</t>
  </si>
  <si>
    <t>5. Nemzetiségi pótlék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</si>
  <si>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</si>
  <si>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</si>
  <si>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</si>
  <si>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</si>
  <si>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</si>
  <si>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</si>
  <si>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</si>
  <si>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</si>
  <si>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</si>
  <si>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</si>
  <si>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</si>
  <si>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</si>
  <si>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n./ Óvodai és iskolai szociális segítő tevékenység támogatása</t>
  </si>
  <si>
    <t xml:space="preserve">     3. Összesen</t>
  </si>
  <si>
    <t>4. A települési önkormányzatok által biztosított egyes szociális szakosított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</si>
  <si>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</si>
  <si>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</si>
  <si>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 xml:space="preserve">       4. Összesen</t>
  </si>
  <si>
    <t>5. Gyermekétkeztetés támogatása</t>
  </si>
  <si>
    <t>aa./Az intézményi gyermekétkeztetés kapcsán az étkeztetési feladatot ellátók után járó bértámogatás</t>
  </si>
  <si>
    <t>ab./ Az intézményi gyermekétkeztetés üzemeltetési támogatása</t>
  </si>
  <si>
    <t>b/. A rászoruló gyermekek intézményen kívüli szünidei étkeztetésének támogatása</t>
  </si>
  <si>
    <t xml:space="preserve">       5. Összesen</t>
  </si>
  <si>
    <t xml:space="preserve">      6.  Bölcsőde, mini bölcsőde támogatása</t>
  </si>
  <si>
    <r>
      <t xml:space="preserve">       6.a (1) </t>
    </r>
    <r>
      <rPr>
        <sz val="12"/>
        <rFont val="Arial CE"/>
        <charset val="238"/>
      </rPr>
      <t>a finanszírozás szempontjából elismert szakmai dolgozók bértámogatása :</t>
    </r>
  </si>
  <si>
    <r>
      <t xml:space="preserve">                   </t>
    </r>
    <r>
      <rPr>
        <sz val="12"/>
        <rFont val="Arial CE"/>
        <charset val="238"/>
      </rPr>
      <t>felsőfokú végzettségű kisgyermeknevelők, szaktanácsadók</t>
    </r>
  </si>
  <si>
    <r>
      <t xml:space="preserve">       6.a (2) </t>
    </r>
    <r>
      <rPr>
        <sz val="12"/>
        <rFont val="Arial CE"/>
        <charset val="238"/>
      </rPr>
      <t>a finanszírozás szempontjából elismert szakmai dolgozók bértámogatása :</t>
    </r>
  </si>
  <si>
    <r>
      <t xml:space="preserve">                  </t>
    </r>
    <r>
      <rPr>
        <sz val="12"/>
        <rFont val="Arial CE"/>
        <charset val="238"/>
      </rPr>
      <t xml:space="preserve"> bölcsődei dajkák</t>
    </r>
    <r>
      <rPr>
        <b/>
        <sz val="12"/>
        <rFont val="Arial CE"/>
        <family val="2"/>
        <charset val="238"/>
      </rPr>
      <t xml:space="preserve">, </t>
    </r>
    <r>
      <rPr>
        <sz val="12"/>
        <rFont val="Arial CE"/>
        <charset val="238"/>
      </rPr>
      <t>középfokú végzettségű kisgyermeknevelők, szaktanácsadók</t>
    </r>
  </si>
  <si>
    <t xml:space="preserve">       6.b. Bölcsődei üzemeltetési támogatás</t>
  </si>
  <si>
    <t xml:space="preserve">        6. Összesen</t>
  </si>
  <si>
    <t>III. Összesen</t>
  </si>
  <si>
    <t>I.+II.+III. Működési célú támogatások összesen</t>
  </si>
  <si>
    <t>IV. Települési önkormányzatok kulturális feladatainak támogatása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</si>
</sst>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8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i/>
      <u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CE"/>
      <charset val="238"/>
    </font>
    <font>
      <b/>
      <sz val="14"/>
      <name val="Arial CE"/>
      <charset val="238"/>
    </font>
    <font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 CE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4"/>
      <name val="Arial CE"/>
      <charset val="238"/>
    </font>
    <font>
      <b/>
      <sz val="16"/>
      <name val="Arial CE"/>
      <charset val="238"/>
    </font>
    <font>
      <sz val="11"/>
      <color indexed="8"/>
      <name val="Calibri"/>
      <family val="2"/>
    </font>
    <font>
      <sz val="12"/>
      <color indexed="10"/>
      <name val="Arial CE"/>
      <family val="2"/>
      <charset val="238"/>
    </font>
    <font>
      <sz val="16"/>
      <name val="Arial CE"/>
      <charset val="238"/>
    </font>
    <font>
      <i/>
      <sz val="14"/>
      <name val="Arial CE"/>
      <charset val="238"/>
    </font>
    <font>
      <b/>
      <i/>
      <sz val="16"/>
      <name val="Arial"/>
      <family val="2"/>
      <charset val="238"/>
    </font>
    <font>
      <sz val="14"/>
      <name val="Arial"/>
      <family val="2"/>
    </font>
    <font>
      <sz val="10"/>
      <name val="Arial"/>
      <family val="2"/>
      <charset val="238"/>
    </font>
    <font>
      <i/>
      <u/>
      <sz val="12"/>
      <name val="Arial CE"/>
      <charset val="238"/>
    </font>
    <font>
      <b/>
      <sz val="14"/>
      <name val="Arial"/>
      <family val="2"/>
      <charset val="238"/>
    </font>
    <font>
      <b/>
      <sz val="18"/>
      <name val="Arial CE"/>
      <family val="2"/>
      <charset val="238"/>
    </font>
    <font>
      <i/>
      <sz val="14"/>
      <name val="Arial CE"/>
      <family val="2"/>
      <charset val="238"/>
    </font>
    <font>
      <i/>
      <sz val="16"/>
      <name val="Arial CE"/>
      <family val="2"/>
      <charset val="238"/>
    </font>
    <font>
      <sz val="12"/>
      <name val="Times New Roman CE"/>
      <charset val="238"/>
    </font>
    <font>
      <b/>
      <sz val="20"/>
      <name val="Arial CE"/>
      <family val="2"/>
      <charset val="238"/>
    </font>
    <font>
      <sz val="14"/>
      <color rgb="FFFF0000"/>
      <name val="Arial CE"/>
      <family val="2"/>
      <charset val="238"/>
    </font>
    <font>
      <sz val="12"/>
      <color rgb="FFFF000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30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Arial CE"/>
      <family val="2"/>
      <charset val="238"/>
    </font>
    <font>
      <b/>
      <sz val="26"/>
      <name val="Arial CE"/>
      <charset val="238"/>
    </font>
    <font>
      <b/>
      <sz val="28"/>
      <color indexed="10"/>
      <name val="Arial CE"/>
      <family val="2"/>
      <charset val="238"/>
    </font>
    <font>
      <sz val="16"/>
      <name val="Times New Roman CE"/>
      <charset val="238"/>
    </font>
    <font>
      <b/>
      <sz val="36"/>
      <name val="Arial CE"/>
      <charset val="238"/>
    </font>
    <font>
      <b/>
      <sz val="34"/>
      <name val="Arial CE"/>
      <charset val="238"/>
    </font>
    <font>
      <b/>
      <sz val="30"/>
      <name val="Arial CE"/>
      <charset val="238"/>
    </font>
    <font>
      <b/>
      <i/>
      <sz val="36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b/>
      <sz val="36"/>
      <color indexed="10"/>
      <name val="Arial CE"/>
      <family val="2"/>
      <charset val="238"/>
    </font>
    <font>
      <sz val="8"/>
      <name val="Arial CE"/>
    </font>
  </fonts>
  <fills count="32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63">
    <xf numFmtId="0" fontId="0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8" fillId="15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2" borderId="0" applyNumberFormat="0" applyBorder="0" applyAlignment="0" applyProtection="0"/>
    <xf numFmtId="0" fontId="19" fillId="6" borderId="0" applyNumberFormat="0" applyBorder="0" applyAlignment="0" applyProtection="0"/>
    <xf numFmtId="0" fontId="32" fillId="8" borderId="1" applyNumberFormat="0" applyAlignment="0" applyProtection="0"/>
    <xf numFmtId="0" fontId="21" fillId="20" borderId="1" applyNumberFormat="0" applyAlignment="0" applyProtection="0"/>
    <xf numFmtId="0" fontId="16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6" fillId="21" borderId="2" applyNumberFormat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33" fillId="0" borderId="6" applyNumberFormat="0" applyFill="0" applyAlignment="0" applyProtection="0"/>
    <xf numFmtId="0" fontId="27" fillId="22" borderId="7" applyNumberFormat="0" applyFont="0" applyAlignment="0" applyProtection="0"/>
    <xf numFmtId="0" fontId="17" fillId="7" borderId="0" applyNumberFormat="0" applyBorder="0" applyAlignment="0" applyProtection="0"/>
    <xf numFmtId="0" fontId="34" fillId="23" borderId="8" applyNumberFormat="0" applyAlignment="0" applyProtection="0"/>
    <xf numFmtId="0" fontId="18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47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2" fillId="0" borderId="0"/>
    <xf numFmtId="0" fontId="3" fillId="0" borderId="0"/>
    <xf numFmtId="0" fontId="36" fillId="0" borderId="9" applyNumberFormat="0" applyFill="0" applyAlignment="0" applyProtection="0"/>
    <xf numFmtId="0" fontId="19" fillId="6" borderId="0" applyNumberFormat="0" applyBorder="0" applyAlignment="0" applyProtection="0"/>
    <xf numFmtId="0" fontId="20" fillId="24" borderId="0" applyNumberFormat="0" applyBorder="0" applyAlignment="0" applyProtection="0"/>
    <xf numFmtId="0" fontId="21" fillId="20" borderId="1" applyNumberFormat="0" applyAlignment="0" applyProtection="0"/>
    <xf numFmtId="0" fontId="3" fillId="0" borderId="0"/>
    <xf numFmtId="0" fontId="59" fillId="0" borderId="0"/>
    <xf numFmtId="0" fontId="59" fillId="0" borderId="0"/>
    <xf numFmtId="0" fontId="53" fillId="0" borderId="0"/>
    <xf numFmtId="0" fontId="81" fillId="0" borderId="0"/>
    <xf numFmtId="0" fontId="1" fillId="0" borderId="0"/>
  </cellStyleXfs>
  <cellXfs count="1036">
    <xf numFmtId="0" fontId="0" fillId="0" borderId="0" xfId="0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5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4" xfId="0" applyFont="1" applyBorder="1"/>
    <xf numFmtId="0" fontId="5" fillId="0" borderId="15" xfId="0" applyFont="1" applyBorder="1"/>
    <xf numFmtId="0" fontId="5" fillId="0" borderId="0" xfId="49" applyFont="1"/>
    <xf numFmtId="0" fontId="4" fillId="0" borderId="11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4" fillId="0" borderId="14" xfId="0" applyFont="1" applyBorder="1" applyAlignment="1">
      <alignment horizontal="center"/>
    </xf>
    <xf numFmtId="3" fontId="4" fillId="0" borderId="0" xfId="0" applyNumberFormat="1" applyFont="1"/>
    <xf numFmtId="0" fontId="5" fillId="0" borderId="11" xfId="49" applyFont="1" applyBorder="1" applyAlignment="1">
      <alignment horizontal="right"/>
    </xf>
    <xf numFmtId="0" fontId="10" fillId="0" borderId="0" xfId="49" applyFont="1"/>
    <xf numFmtId="0" fontId="5" fillId="0" borderId="10" xfId="49" applyFont="1" applyBorder="1"/>
    <xf numFmtId="0" fontId="5" fillId="0" borderId="14" xfId="49" applyFont="1" applyBorder="1"/>
    <xf numFmtId="0" fontId="4" fillId="0" borderId="15" xfId="0" applyFont="1" applyBorder="1"/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49" applyFont="1"/>
    <xf numFmtId="3" fontId="12" fillId="0" borderId="0" xfId="0" applyNumberFormat="1" applyFont="1"/>
    <xf numFmtId="0" fontId="5" fillId="0" borderId="16" xfId="0" applyFont="1" applyBorder="1" applyAlignment="1">
      <alignment horizontal="justify"/>
    </xf>
    <xf numFmtId="0" fontId="4" fillId="0" borderId="18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justify"/>
    </xf>
    <xf numFmtId="0" fontId="14" fillId="0" borderId="0" xfId="0" applyFont="1"/>
    <xf numFmtId="0" fontId="6" fillId="0" borderId="10" xfId="0" applyFont="1" applyBorder="1"/>
    <xf numFmtId="0" fontId="5" fillId="0" borderId="16" xfId="0" applyFont="1" applyBorder="1" applyAlignment="1">
      <alignment horizontal="justify" wrapText="1"/>
    </xf>
    <xf numFmtId="0" fontId="12" fillId="0" borderId="0" xfId="0" applyFont="1"/>
    <xf numFmtId="0" fontId="12" fillId="0" borderId="11" xfId="0" applyFont="1" applyBorder="1"/>
    <xf numFmtId="0" fontId="12" fillId="0" borderId="0" xfId="0" applyFont="1" applyAlignment="1">
      <alignment horizontal="left"/>
    </xf>
    <xf numFmtId="0" fontId="5" fillId="0" borderId="11" xfId="0" applyFont="1" applyBorder="1" applyAlignment="1">
      <alignment horizontal="justify"/>
    </xf>
    <xf numFmtId="3" fontId="5" fillId="0" borderId="19" xfId="0" applyNumberFormat="1" applyFont="1" applyBorder="1"/>
    <xf numFmtId="3" fontId="12" fillId="0" borderId="19" xfId="0" applyNumberFormat="1" applyFont="1" applyBorder="1"/>
    <xf numFmtId="3" fontId="11" fillId="0" borderId="20" xfId="0" applyNumberFormat="1" applyFont="1" applyBorder="1"/>
    <xf numFmtId="3" fontId="12" fillId="0" borderId="21" xfId="0" applyNumberFormat="1" applyFont="1" applyBorder="1" applyAlignment="1">
      <alignment horizontal="right"/>
    </xf>
    <xf numFmtId="3" fontId="5" fillId="0" borderId="21" xfId="0" applyNumberFormat="1" applyFont="1" applyBorder="1"/>
    <xf numFmtId="3" fontId="4" fillId="0" borderId="22" xfId="0" applyNumberFormat="1" applyFont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3" fontId="4" fillId="0" borderId="19" xfId="0" applyNumberFormat="1" applyFont="1" applyBorder="1"/>
    <xf numFmtId="3" fontId="4" fillId="0" borderId="25" xfId="0" applyNumberFormat="1" applyFont="1" applyBorder="1"/>
    <xf numFmtId="3" fontId="6" fillId="0" borderId="20" xfId="0" applyNumberFormat="1" applyFont="1" applyBorder="1"/>
    <xf numFmtId="3" fontId="4" fillId="0" borderId="20" xfId="0" applyNumberFormat="1" applyFont="1" applyBorder="1"/>
    <xf numFmtId="3" fontId="4" fillId="0" borderId="26" xfId="0" applyNumberFormat="1" applyFont="1" applyBorder="1"/>
    <xf numFmtId="3" fontId="5" fillId="0" borderId="27" xfId="0" applyNumberFormat="1" applyFont="1" applyBorder="1"/>
    <xf numFmtId="3" fontId="11" fillId="0" borderId="28" xfId="49" applyNumberFormat="1" applyFont="1" applyBorder="1"/>
    <xf numFmtId="0" fontId="5" fillId="0" borderId="23" xfId="0" applyFont="1" applyBorder="1"/>
    <xf numFmtId="0" fontId="5" fillId="0" borderId="23" xfId="0" applyFont="1" applyBorder="1" applyAlignment="1">
      <alignment horizontal="justify"/>
    </xf>
    <xf numFmtId="0" fontId="24" fillId="0" borderId="19" xfId="0" applyFont="1" applyBorder="1" applyAlignment="1">
      <alignment horizontal="left"/>
    </xf>
    <xf numFmtId="0" fontId="4" fillId="0" borderId="10" xfId="0" applyFont="1" applyBorder="1"/>
    <xf numFmtId="0" fontId="9" fillId="0" borderId="0" xfId="0" applyFont="1"/>
    <xf numFmtId="0" fontId="4" fillId="0" borderId="12" xfId="0" applyFont="1" applyBorder="1" applyAlignment="1">
      <alignment horizontal="justify"/>
    </xf>
    <xf numFmtId="0" fontId="14" fillId="0" borderId="20" xfId="0" applyFont="1" applyBorder="1"/>
    <xf numFmtId="3" fontId="14" fillId="0" borderId="20" xfId="0" applyNumberFormat="1" applyFont="1" applyBorder="1"/>
    <xf numFmtId="0" fontId="4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21" xfId="0" applyFont="1" applyBorder="1" applyAlignment="1">
      <alignment horizontal="justify"/>
    </xf>
    <xf numFmtId="0" fontId="6" fillId="0" borderId="19" xfId="0" applyFont="1" applyBorder="1"/>
    <xf numFmtId="0" fontId="5" fillId="0" borderId="21" xfId="0" applyFont="1" applyBorder="1"/>
    <xf numFmtId="0" fontId="11" fillId="0" borderId="28" xfId="0" applyFont="1" applyBorder="1" applyAlignment="1">
      <alignment horizontal="center"/>
    </xf>
    <xf numFmtId="3" fontId="5" fillId="0" borderId="21" xfId="0" applyNumberFormat="1" applyFont="1" applyBorder="1" applyAlignment="1">
      <alignment horizontal="justify"/>
    </xf>
    <xf numFmtId="0" fontId="14" fillId="0" borderId="28" xfId="0" applyFont="1" applyBorder="1" applyAlignment="1">
      <alignment horizontal="center"/>
    </xf>
    <xf numFmtId="0" fontId="9" fillId="0" borderId="23" xfId="0" applyFont="1" applyBorder="1"/>
    <xf numFmtId="0" fontId="42" fillId="0" borderId="0" xfId="0" applyFont="1"/>
    <xf numFmtId="0" fontId="11" fillId="0" borderId="13" xfId="0" applyFont="1" applyBorder="1"/>
    <xf numFmtId="3" fontId="11" fillId="0" borderId="29" xfId="0" applyNumberFormat="1" applyFont="1" applyBorder="1"/>
    <xf numFmtId="0" fontId="4" fillId="0" borderId="11" xfId="0" applyFont="1" applyBorder="1"/>
    <xf numFmtId="0" fontId="4" fillId="0" borderId="20" xfId="0" applyFont="1" applyBorder="1"/>
    <xf numFmtId="0" fontId="4" fillId="0" borderId="22" xfId="0" applyFont="1" applyBorder="1"/>
    <xf numFmtId="0" fontId="22" fillId="0" borderId="21" xfId="0" applyFont="1" applyBorder="1" applyAlignment="1">
      <alignment horizontal="justify"/>
    </xf>
    <xf numFmtId="0" fontId="22" fillId="0" borderId="27" xfId="0" applyFont="1" applyBorder="1" applyAlignment="1">
      <alignment horizontal="justify"/>
    </xf>
    <xf numFmtId="0" fontId="23" fillId="0" borderId="20" xfId="0" applyFont="1" applyBorder="1" applyAlignment="1">
      <alignment horizontal="justify"/>
    </xf>
    <xf numFmtId="0" fontId="11" fillId="0" borderId="20" xfId="0" applyFont="1" applyBorder="1" applyAlignment="1">
      <alignment horizontal="left"/>
    </xf>
    <xf numFmtId="3" fontId="22" fillId="0" borderId="26" xfId="52" applyNumberFormat="1" applyFont="1" applyBorder="1" applyAlignment="1">
      <alignment vertical="top" wrapText="1"/>
    </xf>
    <xf numFmtId="3" fontId="22" fillId="0" borderId="19" xfId="52" applyNumberFormat="1" applyFont="1" applyBorder="1" applyAlignment="1">
      <alignment horizontal="justify" vertical="top" wrapText="1"/>
    </xf>
    <xf numFmtId="3" fontId="8" fillId="0" borderId="30" xfId="52" applyNumberFormat="1" applyFont="1" applyBorder="1" applyAlignment="1">
      <alignment horizontal="justify" vertical="top" wrapText="1"/>
    </xf>
    <xf numFmtId="3" fontId="8" fillId="0" borderId="21" xfId="52" applyNumberFormat="1" applyFont="1" applyBorder="1" applyAlignment="1">
      <alignment horizontal="justify" vertical="top" wrapText="1"/>
    </xf>
    <xf numFmtId="3" fontId="5" fillId="25" borderId="23" xfId="0" applyNumberFormat="1" applyFont="1" applyFill="1" applyBorder="1"/>
    <xf numFmtId="3" fontId="5" fillId="25" borderId="21" xfId="0" applyNumberFormat="1" applyFont="1" applyFill="1" applyBorder="1"/>
    <xf numFmtId="0" fontId="24" fillId="0" borderId="0" xfId="0" applyFont="1"/>
    <xf numFmtId="0" fontId="14" fillId="0" borderId="11" xfId="0" applyFont="1" applyBorder="1"/>
    <xf numFmtId="0" fontId="14" fillId="0" borderId="11" xfId="49" applyFont="1" applyBorder="1"/>
    <xf numFmtId="0" fontId="14" fillId="0" borderId="13" xfId="49" applyFont="1" applyBorder="1"/>
    <xf numFmtId="0" fontId="4" fillId="0" borderId="0" xfId="49" applyFont="1" applyAlignment="1">
      <alignment horizontal="center"/>
    </xf>
    <xf numFmtId="0" fontId="4" fillId="0" borderId="11" xfId="49" applyFont="1" applyBorder="1" applyAlignment="1">
      <alignment horizontal="left"/>
    </xf>
    <xf numFmtId="0" fontId="25" fillId="0" borderId="12" xfId="0" applyFont="1" applyBorder="1"/>
    <xf numFmtId="0" fontId="42" fillId="0" borderId="31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3" fontId="25" fillId="0" borderId="22" xfId="0" applyNumberFormat="1" applyFont="1" applyBorder="1" applyProtection="1">
      <protection locked="0"/>
    </xf>
    <xf numFmtId="0" fontId="11" fillId="0" borderId="0" xfId="0" applyFont="1" applyAlignment="1">
      <alignment horizontal="left"/>
    </xf>
    <xf numFmtId="0" fontId="5" fillId="0" borderId="32" xfId="49" applyFont="1" applyBorder="1" applyAlignment="1">
      <alignment horizontal="left"/>
    </xf>
    <xf numFmtId="3" fontId="11" fillId="0" borderId="26" xfId="0" applyNumberFormat="1" applyFont="1" applyBorder="1"/>
    <xf numFmtId="3" fontId="22" fillId="0" borderId="23" xfId="0" applyNumberFormat="1" applyFont="1" applyBorder="1" applyAlignment="1">
      <alignment horizontal="right"/>
    </xf>
    <xf numFmtId="0" fontId="12" fillId="0" borderId="32" xfId="0" applyFont="1" applyBorder="1"/>
    <xf numFmtId="3" fontId="41" fillId="0" borderId="20" xfId="0" applyNumberFormat="1" applyFont="1" applyBorder="1" applyAlignment="1">
      <alignment horizontal="right"/>
    </xf>
    <xf numFmtId="0" fontId="5" fillId="0" borderId="24" xfId="0" applyFont="1" applyBorder="1"/>
    <xf numFmtId="0" fontId="42" fillId="0" borderId="0" xfId="0" applyFont="1" applyAlignment="1">
      <alignment horizontal="left"/>
    </xf>
    <xf numFmtId="3" fontId="9" fillId="0" borderId="23" xfId="0" applyNumberFormat="1" applyFont="1" applyBorder="1"/>
    <xf numFmtId="0" fontId="22" fillId="0" borderId="23" xfId="0" applyFont="1" applyBorder="1" applyAlignment="1">
      <alignment horizontal="justify"/>
    </xf>
    <xf numFmtId="0" fontId="4" fillId="26" borderId="0" xfId="0" applyFont="1" applyFill="1"/>
    <xf numFmtId="3" fontId="4" fillId="26" borderId="0" xfId="0" applyNumberFormat="1" applyFont="1" applyFill="1"/>
    <xf numFmtId="3" fontId="5" fillId="26" borderId="33" xfId="0" applyNumberFormat="1" applyFont="1" applyFill="1" applyBorder="1"/>
    <xf numFmtId="0" fontId="4" fillId="0" borderId="26" xfId="0" applyFont="1" applyBorder="1" applyAlignment="1">
      <alignment horizontal="center"/>
    </xf>
    <xf numFmtId="0" fontId="9" fillId="0" borderId="11" xfId="49" applyFont="1" applyBorder="1"/>
    <xf numFmtId="3" fontId="14" fillId="26" borderId="33" xfId="0" applyNumberFormat="1" applyFont="1" applyFill="1" applyBorder="1"/>
    <xf numFmtId="0" fontId="5" fillId="26" borderId="33" xfId="0" applyFont="1" applyFill="1" applyBorder="1"/>
    <xf numFmtId="0" fontId="4" fillId="0" borderId="22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justify" wrapText="1"/>
    </xf>
    <xf numFmtId="0" fontId="4" fillId="0" borderId="3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6" xfId="0" applyFont="1" applyBorder="1" applyAlignment="1">
      <alignment horizontal="left" wrapText="1"/>
    </xf>
    <xf numFmtId="0" fontId="7" fillId="0" borderId="25" xfId="0" applyFont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9" fillId="0" borderId="23" xfId="0" applyFont="1" applyBorder="1" applyAlignment="1">
      <alignment horizontal="justify"/>
    </xf>
    <xf numFmtId="0" fontId="14" fillId="0" borderId="10" xfId="49" applyFont="1" applyBorder="1"/>
    <xf numFmtId="0" fontId="4" fillId="0" borderId="35" xfId="49" applyFont="1" applyBorder="1" applyAlignment="1">
      <alignment horizontal="left"/>
    </xf>
    <xf numFmtId="0" fontId="4" fillId="0" borderId="0" xfId="49" applyFont="1" applyAlignment="1">
      <alignment horizontal="justify"/>
    </xf>
    <xf numFmtId="0" fontId="4" fillId="0" borderId="0" xfId="49" applyFont="1" applyAlignment="1">
      <alignment horizontal="left"/>
    </xf>
    <xf numFmtId="3" fontId="8" fillId="0" borderId="21" xfId="52" applyNumberFormat="1" applyFont="1" applyBorder="1" applyAlignment="1">
      <alignment horizontal="right" wrapText="1"/>
    </xf>
    <xf numFmtId="0" fontId="5" fillId="0" borderId="16" xfId="0" applyFont="1" applyBorder="1" applyAlignment="1">
      <alignment wrapText="1"/>
    </xf>
    <xf numFmtId="0" fontId="26" fillId="0" borderId="0" xfId="0" applyFont="1"/>
    <xf numFmtId="0" fontId="22" fillId="0" borderId="19" xfId="0" applyFont="1" applyBorder="1" applyAlignment="1">
      <alignment horizontal="justify"/>
    </xf>
    <xf numFmtId="0" fontId="5" fillId="0" borderId="25" xfId="49" applyFont="1" applyBorder="1" applyAlignment="1">
      <alignment horizontal="center"/>
    </xf>
    <xf numFmtId="0" fontId="12" fillId="0" borderId="32" xfId="49" applyFont="1" applyBorder="1" applyAlignment="1">
      <alignment horizontal="justify"/>
    </xf>
    <xf numFmtId="3" fontId="11" fillId="0" borderId="36" xfId="0" applyNumberFormat="1" applyFont="1" applyBorder="1"/>
    <xf numFmtId="0" fontId="4" fillId="0" borderId="37" xfId="0" applyFont="1" applyBorder="1"/>
    <xf numFmtId="0" fontId="4" fillId="0" borderId="38" xfId="0" applyFont="1" applyBorder="1"/>
    <xf numFmtId="0" fontId="9" fillId="26" borderId="33" xfId="0" applyFont="1" applyFill="1" applyBorder="1" applyAlignment="1">
      <alignment horizontal="justify"/>
    </xf>
    <xf numFmtId="0" fontId="9" fillId="0" borderId="37" xfId="0" applyFont="1" applyBorder="1"/>
    <xf numFmtId="0" fontId="5" fillId="0" borderId="27" xfId="0" applyFont="1" applyBorder="1"/>
    <xf numFmtId="0" fontId="5" fillId="0" borderId="11" xfId="0" applyFont="1" applyBorder="1" applyAlignment="1">
      <alignment wrapText="1" shrinkToFit="1"/>
    </xf>
    <xf numFmtId="0" fontId="24" fillId="0" borderId="19" xfId="0" applyFont="1" applyBorder="1" applyAlignment="1">
      <alignment horizontal="left" wrapText="1"/>
    </xf>
    <xf numFmtId="3" fontId="4" fillId="0" borderId="13" xfId="0" applyNumberFormat="1" applyFont="1" applyBorder="1"/>
    <xf numFmtId="0" fontId="5" fillId="0" borderId="39" xfId="0" applyFont="1" applyBorder="1"/>
    <xf numFmtId="3" fontId="11" fillId="0" borderId="19" xfId="0" applyNumberFormat="1" applyFont="1" applyBorder="1"/>
    <xf numFmtId="3" fontId="12" fillId="0" borderId="21" xfId="0" applyNumberFormat="1" applyFont="1" applyBorder="1"/>
    <xf numFmtId="3" fontId="12" fillId="0" borderId="23" xfId="0" applyNumberFormat="1" applyFont="1" applyBorder="1"/>
    <xf numFmtId="3" fontId="12" fillId="0" borderId="21" xfId="0" applyNumberFormat="1" applyFont="1" applyBorder="1" applyProtection="1">
      <protection locked="0"/>
    </xf>
    <xf numFmtId="3" fontId="11" fillId="0" borderId="22" xfId="0" applyNumberFormat="1" applyFont="1" applyBorder="1" applyProtection="1">
      <protection locked="0"/>
    </xf>
    <xf numFmtId="3" fontId="45" fillId="0" borderId="21" xfId="0" applyNumberFormat="1" applyFont="1" applyBorder="1" applyProtection="1">
      <protection locked="0"/>
    </xf>
    <xf numFmtId="3" fontId="45" fillId="0" borderId="23" xfId="0" applyNumberFormat="1" applyFont="1" applyBorder="1" applyProtection="1">
      <protection locked="0"/>
    </xf>
    <xf numFmtId="3" fontId="11" fillId="0" borderId="22" xfId="0" applyNumberFormat="1" applyFont="1" applyBorder="1"/>
    <xf numFmtId="3" fontId="25" fillId="0" borderId="20" xfId="0" applyNumberFormat="1" applyFont="1" applyBorder="1" applyProtection="1">
      <protection locked="0"/>
    </xf>
    <xf numFmtId="0" fontId="12" fillId="0" borderId="25" xfId="0" applyFont="1" applyBorder="1"/>
    <xf numFmtId="3" fontId="12" fillId="0" borderId="23" xfId="0" applyNumberFormat="1" applyFont="1" applyBorder="1" applyProtection="1">
      <protection locked="0"/>
    </xf>
    <xf numFmtId="0" fontId="25" fillId="0" borderId="11" xfId="0" applyFont="1" applyBorder="1"/>
    <xf numFmtId="0" fontId="25" fillId="0" borderId="0" xfId="0" applyFont="1" applyAlignment="1">
      <alignment horizontal="left"/>
    </xf>
    <xf numFmtId="0" fontId="42" fillId="0" borderId="38" xfId="0" applyFont="1" applyBorder="1" applyAlignment="1">
      <alignment horizontal="left"/>
    </xf>
    <xf numFmtId="0" fontId="12" fillId="0" borderId="40" xfId="0" applyFont="1" applyBorder="1"/>
    <xf numFmtId="0" fontId="12" fillId="0" borderId="40" xfId="0" applyFont="1" applyBorder="1" applyAlignment="1">
      <alignment horizontal="left"/>
    </xf>
    <xf numFmtId="0" fontId="25" fillId="0" borderId="38" xfId="0" applyFont="1" applyBorder="1" applyAlignment="1">
      <alignment horizontal="left"/>
    </xf>
    <xf numFmtId="0" fontId="13" fillId="0" borderId="0" xfId="0" applyFont="1"/>
    <xf numFmtId="0" fontId="25" fillId="0" borderId="10" xfId="0" applyFont="1" applyBorder="1"/>
    <xf numFmtId="0" fontId="13" fillId="0" borderId="0" xfId="0" applyFont="1" applyAlignment="1">
      <alignment horizontal="left"/>
    </xf>
    <xf numFmtId="0" fontId="11" fillId="0" borderId="31" xfId="0" applyFont="1" applyBorder="1" applyAlignment="1">
      <alignment horizontal="left"/>
    </xf>
    <xf numFmtId="0" fontId="45" fillId="0" borderId="11" xfId="0" applyFont="1" applyBorder="1"/>
    <xf numFmtId="0" fontId="45" fillId="0" borderId="0" xfId="0" applyFont="1" applyAlignment="1">
      <alignment horizontal="left"/>
    </xf>
    <xf numFmtId="0" fontId="11" fillId="0" borderId="0" xfId="49" applyFont="1" applyAlignment="1">
      <alignment horizontal="left"/>
    </xf>
    <xf numFmtId="0" fontId="11" fillId="0" borderId="11" xfId="0" applyFont="1" applyBorder="1" applyAlignment="1">
      <alignment horizontal="center"/>
    </xf>
    <xf numFmtId="0" fontId="25" fillId="0" borderId="13" xfId="0" applyFont="1" applyBorder="1"/>
    <xf numFmtId="0" fontId="12" fillId="0" borderId="18" xfId="0" applyFont="1" applyBorder="1"/>
    <xf numFmtId="0" fontId="13" fillId="0" borderId="11" xfId="0" applyFont="1" applyBorder="1" applyAlignment="1">
      <alignment horizontal="left"/>
    </xf>
    <xf numFmtId="3" fontId="11" fillId="0" borderId="0" xfId="0" applyNumberFormat="1" applyFont="1"/>
    <xf numFmtId="0" fontId="45" fillId="0" borderId="32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5" fillId="0" borderId="21" xfId="0" applyFont="1" applyBorder="1" applyAlignment="1">
      <alignment wrapText="1"/>
    </xf>
    <xf numFmtId="3" fontId="12" fillId="27" borderId="23" xfId="49" applyNumberFormat="1" applyFont="1" applyFill="1" applyBorder="1" applyAlignment="1">
      <alignment horizontal="right"/>
    </xf>
    <xf numFmtId="3" fontId="11" fillId="27" borderId="34" xfId="49" applyNumberFormat="1" applyFont="1" applyFill="1" applyBorder="1"/>
    <xf numFmtId="3" fontId="12" fillId="27" borderId="21" xfId="49" applyNumberFormat="1" applyFont="1" applyFill="1" applyBorder="1"/>
    <xf numFmtId="3" fontId="12" fillId="27" borderId="23" xfId="0" applyNumberFormat="1" applyFont="1" applyFill="1" applyBorder="1" applyAlignment="1">
      <alignment horizontal="right"/>
    </xf>
    <xf numFmtId="3" fontId="11" fillId="27" borderId="26" xfId="49" applyNumberFormat="1" applyFont="1" applyFill="1" applyBorder="1"/>
    <xf numFmtId="3" fontId="15" fillId="27" borderId="20" xfId="49" applyNumberFormat="1" applyFont="1" applyFill="1" applyBorder="1"/>
    <xf numFmtId="3" fontId="14" fillId="0" borderId="26" xfId="0" applyNumberFormat="1" applyFont="1" applyBorder="1"/>
    <xf numFmtId="3" fontId="9" fillId="0" borderId="0" xfId="0" applyNumberFormat="1" applyFont="1"/>
    <xf numFmtId="3" fontId="4" fillId="0" borderId="26" xfId="0" applyNumberFormat="1" applyFont="1" applyBorder="1" applyAlignment="1">
      <alignment horizontal="centerContinuous"/>
    </xf>
    <xf numFmtId="0" fontId="5" fillId="25" borderId="16" xfId="0" applyFont="1" applyFill="1" applyBorder="1"/>
    <xf numFmtId="3" fontId="5" fillId="25" borderId="41" xfId="0" applyNumberFormat="1" applyFont="1" applyFill="1" applyBorder="1"/>
    <xf numFmtId="0" fontId="5" fillId="25" borderId="16" xfId="0" applyFont="1" applyFill="1" applyBorder="1" applyAlignment="1">
      <alignment wrapText="1"/>
    </xf>
    <xf numFmtId="3" fontId="5" fillId="25" borderId="19" xfId="0" applyNumberFormat="1" applyFont="1" applyFill="1" applyBorder="1"/>
    <xf numFmtId="0" fontId="5" fillId="25" borderId="21" xfId="0" applyFont="1" applyFill="1" applyBorder="1" applyAlignment="1">
      <alignment wrapText="1"/>
    </xf>
    <xf numFmtId="0" fontId="5" fillId="25" borderId="23" xfId="0" applyFont="1" applyFill="1" applyBorder="1"/>
    <xf numFmtId="0" fontId="5" fillId="25" borderId="23" xfId="0" applyFont="1" applyFill="1" applyBorder="1" applyAlignment="1">
      <alignment wrapText="1"/>
    </xf>
    <xf numFmtId="0" fontId="5" fillId="25" borderId="24" xfId="0" applyFont="1" applyFill="1" applyBorder="1"/>
    <xf numFmtId="3" fontId="5" fillId="25" borderId="24" xfId="0" applyNumberFormat="1" applyFont="1" applyFill="1" applyBorder="1"/>
    <xf numFmtId="0" fontId="5" fillId="25" borderId="19" xfId="0" applyFont="1" applyFill="1" applyBorder="1"/>
    <xf numFmtId="0" fontId="9" fillId="25" borderId="23" xfId="0" applyFont="1" applyFill="1" applyBorder="1"/>
    <xf numFmtId="0" fontId="22" fillId="25" borderId="19" xfId="0" applyFont="1" applyFill="1" applyBorder="1" applyAlignment="1">
      <alignment horizontal="justify"/>
    </xf>
    <xf numFmtId="0" fontId="5" fillId="25" borderId="24" xfId="0" applyFont="1" applyFill="1" applyBorder="1" applyAlignment="1">
      <alignment horizontal="justify"/>
    </xf>
    <xf numFmtId="0" fontId="5" fillId="25" borderId="17" xfId="0" applyFont="1" applyFill="1" applyBorder="1" applyAlignment="1">
      <alignment horizontal="justify"/>
    </xf>
    <xf numFmtId="0" fontId="5" fillId="25" borderId="16" xfId="0" applyFont="1" applyFill="1" applyBorder="1" applyAlignment="1">
      <alignment horizontal="justify"/>
    </xf>
    <xf numFmtId="0" fontId="5" fillId="25" borderId="17" xfId="0" applyFont="1" applyFill="1" applyBorder="1"/>
    <xf numFmtId="3" fontId="5" fillId="25" borderId="26" xfId="0" applyNumberFormat="1" applyFont="1" applyFill="1" applyBorder="1"/>
    <xf numFmtId="0" fontId="5" fillId="25" borderId="23" xfId="0" applyFont="1" applyFill="1" applyBorder="1" applyAlignment="1">
      <alignment horizontal="justify"/>
    </xf>
    <xf numFmtId="0" fontId="9" fillId="25" borderId="17" xfId="0" applyFont="1" applyFill="1" applyBorder="1" applyAlignment="1">
      <alignment horizontal="justify"/>
    </xf>
    <xf numFmtId="3" fontId="9" fillId="25" borderId="21" xfId="0" applyNumberFormat="1" applyFont="1" applyFill="1" applyBorder="1"/>
    <xf numFmtId="0" fontId="9" fillId="25" borderId="16" xfId="0" applyFont="1" applyFill="1" applyBorder="1" applyAlignment="1">
      <alignment horizontal="justify"/>
    </xf>
    <xf numFmtId="0" fontId="5" fillId="25" borderId="42" xfId="0" applyFont="1" applyFill="1" applyBorder="1"/>
    <xf numFmtId="0" fontId="5" fillId="25" borderId="21" xfId="0" applyFont="1" applyFill="1" applyBorder="1"/>
    <xf numFmtId="0" fontId="5" fillId="25" borderId="23" xfId="0" applyFont="1" applyFill="1" applyBorder="1" applyAlignment="1">
      <alignment horizontal="justify" wrapText="1"/>
    </xf>
    <xf numFmtId="0" fontId="5" fillId="25" borderId="21" xfId="0" applyFont="1" applyFill="1" applyBorder="1" applyAlignment="1">
      <alignment horizontal="justify"/>
    </xf>
    <xf numFmtId="3" fontId="5" fillId="25" borderId="21" xfId="0" applyNumberFormat="1" applyFont="1" applyFill="1" applyBorder="1" applyProtection="1">
      <protection locked="0"/>
    </xf>
    <xf numFmtId="0" fontId="5" fillId="25" borderId="17" xfId="0" applyFont="1" applyFill="1" applyBorder="1" applyAlignment="1">
      <alignment horizontal="left"/>
    </xf>
    <xf numFmtId="0" fontId="5" fillId="25" borderId="16" xfId="0" applyFont="1" applyFill="1" applyBorder="1" applyAlignment="1">
      <alignment horizontal="left"/>
    </xf>
    <xf numFmtId="0" fontId="5" fillId="25" borderId="16" xfId="0" applyFont="1" applyFill="1" applyBorder="1" applyAlignment="1">
      <alignment horizontal="left" wrapText="1"/>
    </xf>
    <xf numFmtId="3" fontId="5" fillId="0" borderId="21" xfId="0" applyNumberFormat="1" applyFont="1" applyBorder="1" applyAlignment="1">
      <alignment horizontal="right"/>
    </xf>
    <xf numFmtId="3" fontId="5" fillId="25" borderId="21" xfId="0" applyNumberFormat="1" applyFont="1" applyFill="1" applyBorder="1" applyAlignment="1">
      <alignment wrapText="1"/>
    </xf>
    <xf numFmtId="0" fontId="22" fillId="0" borderId="16" xfId="0" applyFont="1" applyBorder="1" applyAlignment="1">
      <alignment horizontal="justify"/>
    </xf>
    <xf numFmtId="3" fontId="8" fillId="0" borderId="23" xfId="52" applyNumberFormat="1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/>
    </xf>
    <xf numFmtId="3" fontId="42" fillId="0" borderId="0" xfId="0" applyNumberFormat="1" applyFont="1"/>
    <xf numFmtId="3" fontId="4" fillId="0" borderId="12" xfId="0" applyNumberFormat="1" applyFont="1" applyBorder="1" applyAlignment="1">
      <alignment horizontal="right" wrapText="1"/>
    </xf>
    <xf numFmtId="3" fontId="4" fillId="0" borderId="12" xfId="0" applyNumberFormat="1" applyFont="1" applyBorder="1"/>
    <xf numFmtId="3" fontId="12" fillId="0" borderId="27" xfId="0" applyNumberFormat="1" applyFont="1" applyBorder="1"/>
    <xf numFmtId="3" fontId="12" fillId="25" borderId="21" xfId="0" applyNumberFormat="1" applyFont="1" applyFill="1" applyBorder="1"/>
    <xf numFmtId="3" fontId="11" fillId="0" borderId="34" xfId="0" applyNumberFormat="1" applyFont="1" applyBorder="1"/>
    <xf numFmtId="3" fontId="25" fillId="26" borderId="33" xfId="0" applyNumberFormat="1" applyFont="1" applyFill="1" applyBorder="1"/>
    <xf numFmtId="3" fontId="12" fillId="25" borderId="23" xfId="0" applyNumberFormat="1" applyFont="1" applyFill="1" applyBorder="1" applyProtection="1">
      <protection locked="0"/>
    </xf>
    <xf numFmtId="3" fontId="43" fillId="0" borderId="23" xfId="49" applyNumberFormat="1" applyFont="1" applyBorder="1"/>
    <xf numFmtId="3" fontId="43" fillId="0" borderId="19" xfId="49" applyNumberFormat="1" applyFont="1" applyBorder="1"/>
    <xf numFmtId="3" fontId="49" fillId="0" borderId="21" xfId="49" applyNumberFormat="1" applyFont="1" applyBorder="1"/>
    <xf numFmtId="3" fontId="15" fillId="0" borderId="34" xfId="49" applyNumberFormat="1" applyFont="1" applyBorder="1"/>
    <xf numFmtId="3" fontId="49" fillId="0" borderId="23" xfId="49" applyNumberFormat="1" applyFont="1" applyBorder="1" applyAlignment="1">
      <alignment horizontal="right"/>
    </xf>
    <xf numFmtId="3" fontId="15" fillId="0" borderId="34" xfId="49" applyNumberFormat="1" applyFont="1" applyBorder="1" applyAlignment="1">
      <alignment horizontal="right"/>
    </xf>
    <xf numFmtId="3" fontId="49" fillId="0" borderId="21" xfId="49" applyNumberFormat="1" applyFont="1" applyBorder="1" applyAlignment="1">
      <alignment horizontal="right"/>
    </xf>
    <xf numFmtId="3" fontId="15" fillId="0" borderId="22" xfId="49" applyNumberFormat="1" applyFont="1" applyBorder="1" applyAlignment="1">
      <alignment horizontal="right"/>
    </xf>
    <xf numFmtId="0" fontId="11" fillId="0" borderId="14" xfId="49" applyFont="1" applyBorder="1" applyAlignment="1">
      <alignment horizontal="center"/>
    </xf>
    <xf numFmtId="0" fontId="11" fillId="0" borderId="11" xfId="49" applyFont="1" applyBorder="1" applyAlignment="1">
      <alignment horizontal="right"/>
    </xf>
    <xf numFmtId="0" fontId="12" fillId="0" borderId="11" xfId="49" applyFont="1" applyBorder="1" applyAlignment="1">
      <alignment horizontal="right"/>
    </xf>
    <xf numFmtId="0" fontId="11" fillId="0" borderId="43" xfId="49" applyFont="1" applyBorder="1" applyAlignment="1">
      <alignment horizontal="right"/>
    </xf>
    <xf numFmtId="0" fontId="11" fillId="0" borderId="35" xfId="49" applyFont="1" applyBorder="1" applyAlignment="1">
      <alignment horizontal="right"/>
    </xf>
    <xf numFmtId="0" fontId="13" fillId="0" borderId="11" xfId="49" applyFont="1" applyBorder="1" applyAlignment="1">
      <alignment horizontal="left"/>
    </xf>
    <xf numFmtId="0" fontId="13" fillId="0" borderId="0" xfId="49" applyFont="1"/>
    <xf numFmtId="3" fontId="12" fillId="0" borderId="0" xfId="0" applyNumberFormat="1" applyFont="1" applyAlignment="1">
      <alignment horizontal="justify"/>
    </xf>
    <xf numFmtId="0" fontId="11" fillId="0" borderId="11" xfId="49" applyFont="1" applyBorder="1"/>
    <xf numFmtId="0" fontId="11" fillId="0" borderId="14" xfId="49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11" fillId="0" borderId="0" xfId="49" applyFont="1" applyAlignment="1">
      <alignment horizontal="center"/>
    </xf>
    <xf numFmtId="0" fontId="11" fillId="0" borderId="25" xfId="0" applyFont="1" applyBorder="1" applyAlignment="1">
      <alignment horizontal="left"/>
    </xf>
    <xf numFmtId="3" fontId="12" fillId="0" borderId="40" xfId="0" applyNumberFormat="1" applyFont="1" applyBorder="1"/>
    <xf numFmtId="0" fontId="13" fillId="0" borderId="25" xfId="0" applyFont="1" applyBorder="1" applyAlignment="1">
      <alignment horizontal="left"/>
    </xf>
    <xf numFmtId="0" fontId="45" fillId="0" borderId="32" xfId="0" applyFont="1" applyBorder="1"/>
    <xf numFmtId="0" fontId="45" fillId="0" borderId="40" xfId="0" applyFont="1" applyBorder="1"/>
    <xf numFmtId="3" fontId="11" fillId="0" borderId="32" xfId="0" applyNumberFormat="1" applyFont="1" applyBorder="1"/>
    <xf numFmtId="3" fontId="11" fillId="0" borderId="40" xfId="0" applyNumberFormat="1" applyFont="1" applyBorder="1"/>
    <xf numFmtId="3" fontId="45" fillId="0" borderId="21" xfId="0" applyNumberFormat="1" applyFont="1" applyBorder="1"/>
    <xf numFmtId="0" fontId="9" fillId="26" borderId="44" xfId="0" applyFont="1" applyFill="1" applyBorder="1" applyAlignment="1">
      <alignment horizontal="justify"/>
    </xf>
    <xf numFmtId="3" fontId="9" fillId="25" borderId="19" xfId="0" applyNumberFormat="1" applyFont="1" applyFill="1" applyBorder="1" applyAlignment="1">
      <alignment horizontal="right"/>
    </xf>
    <xf numFmtId="0" fontId="11" fillId="0" borderId="13" xfId="0" applyFont="1" applyBorder="1" applyAlignment="1">
      <alignment wrapText="1"/>
    </xf>
    <xf numFmtId="0" fontId="9" fillId="26" borderId="43" xfId="0" applyFont="1" applyFill="1" applyBorder="1" applyAlignment="1">
      <alignment horizontal="justify"/>
    </xf>
    <xf numFmtId="0" fontId="5" fillId="26" borderId="43" xfId="0" applyFont="1" applyFill="1" applyBorder="1"/>
    <xf numFmtId="3" fontId="4" fillId="0" borderId="25" xfId="0" applyNumberFormat="1" applyFont="1" applyBorder="1" applyAlignment="1">
      <alignment horizontal="center"/>
    </xf>
    <xf numFmtId="0" fontId="4" fillId="0" borderId="19" xfId="49" applyFont="1" applyBorder="1" applyAlignment="1">
      <alignment horizontal="justify"/>
    </xf>
    <xf numFmtId="0" fontId="4" fillId="0" borderId="18" xfId="49" applyFont="1" applyBorder="1" applyAlignment="1">
      <alignment horizontal="center"/>
    </xf>
    <xf numFmtId="0" fontId="5" fillId="0" borderId="15" xfId="49" applyFont="1" applyBorder="1" applyAlignment="1">
      <alignment horizontal="center"/>
    </xf>
    <xf numFmtId="0" fontId="4" fillId="0" borderId="25" xfId="49" applyFont="1" applyBorder="1" applyAlignment="1">
      <alignment horizontal="center"/>
    </xf>
    <xf numFmtId="0" fontId="5" fillId="0" borderId="18" xfId="49" applyFont="1" applyBorder="1" applyAlignment="1">
      <alignment horizontal="center"/>
    </xf>
    <xf numFmtId="0" fontId="5" fillId="0" borderId="38" xfId="49" applyFont="1" applyBorder="1" applyAlignment="1">
      <alignment horizontal="center"/>
    </xf>
    <xf numFmtId="0" fontId="4" fillId="0" borderId="45" xfId="49" applyFont="1" applyBorder="1" applyAlignment="1">
      <alignment horizontal="center"/>
    </xf>
    <xf numFmtId="0" fontId="9" fillId="0" borderId="40" xfId="49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11" fillId="0" borderId="15" xfId="49" applyFont="1" applyBorder="1" applyAlignment="1">
      <alignment horizontal="center"/>
    </xf>
    <xf numFmtId="0" fontId="11" fillId="0" borderId="18" xfId="49" applyFont="1" applyBorder="1"/>
    <xf numFmtId="0" fontId="12" fillId="0" borderId="32" xfId="0" applyFont="1" applyBorder="1" applyAlignment="1">
      <alignment wrapText="1"/>
    </xf>
    <xf numFmtId="0" fontId="11" fillId="0" borderId="46" xfId="49" applyFont="1" applyBorder="1" applyAlignment="1">
      <alignment horizontal="center"/>
    </xf>
    <xf numFmtId="0" fontId="11" fillId="0" borderId="45" xfId="49" applyFont="1" applyBorder="1"/>
    <xf numFmtId="0" fontId="12" fillId="0" borderId="40" xfId="49" applyFont="1" applyBorder="1"/>
    <xf numFmtId="0" fontId="12" fillId="0" borderId="32" xfId="49" applyFont="1" applyBorder="1"/>
    <xf numFmtId="0" fontId="11" fillId="0" borderId="46" xfId="49" applyFont="1" applyBorder="1"/>
    <xf numFmtId="3" fontId="12" fillId="0" borderId="32" xfId="0" applyNumberFormat="1" applyFont="1" applyBorder="1" applyAlignment="1">
      <alignment horizontal="justify"/>
    </xf>
    <xf numFmtId="3" fontId="12" fillId="0" borderId="40" xfId="0" applyNumberFormat="1" applyFont="1" applyBorder="1" applyAlignment="1">
      <alignment horizontal="justify"/>
    </xf>
    <xf numFmtId="0" fontId="12" fillId="0" borderId="40" xfId="49" applyFont="1" applyBorder="1" applyAlignment="1">
      <alignment wrapText="1"/>
    </xf>
    <xf numFmtId="0" fontId="52" fillId="0" borderId="40" xfId="48" applyFont="1" applyBorder="1"/>
    <xf numFmtId="0" fontId="11" fillId="0" borderId="15" xfId="49" applyFont="1" applyBorder="1"/>
    <xf numFmtId="0" fontId="11" fillId="0" borderId="25" xfId="49" applyFont="1" applyBorder="1"/>
    <xf numFmtId="0" fontId="11" fillId="0" borderId="28" xfId="49" applyFont="1" applyBorder="1"/>
    <xf numFmtId="0" fontId="13" fillId="0" borderId="19" xfId="49" applyFont="1" applyBorder="1"/>
    <xf numFmtId="0" fontId="52" fillId="0" borderId="23" xfId="48" applyFont="1" applyBorder="1"/>
    <xf numFmtId="0" fontId="11" fillId="0" borderId="38" xfId="49" applyFont="1" applyBorder="1"/>
    <xf numFmtId="0" fontId="5" fillId="25" borderId="0" xfId="0" applyFont="1" applyFill="1"/>
    <xf numFmtId="3" fontId="9" fillId="25" borderId="0" xfId="0" applyNumberFormat="1" applyFont="1" applyFill="1" applyAlignment="1">
      <alignment horizontal="right"/>
    </xf>
    <xf numFmtId="3" fontId="9" fillId="25" borderId="0" xfId="0" applyNumberFormat="1" applyFont="1" applyFill="1"/>
    <xf numFmtId="3" fontId="12" fillId="25" borderId="0" xfId="0" applyNumberFormat="1" applyFont="1" applyFill="1"/>
    <xf numFmtId="3" fontId="12" fillId="25" borderId="0" xfId="0" applyNumberFormat="1" applyFont="1" applyFill="1" applyProtection="1">
      <protection locked="0"/>
    </xf>
    <xf numFmtId="3" fontId="4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0" fontId="42" fillId="0" borderId="11" xfId="49" applyFont="1" applyBorder="1" applyAlignment="1">
      <alignment horizontal="left"/>
    </xf>
    <xf numFmtId="3" fontId="14" fillId="0" borderId="0" xfId="0" applyNumberFormat="1" applyFont="1"/>
    <xf numFmtId="3" fontId="52" fillId="0" borderId="23" xfId="48" applyNumberFormat="1" applyFont="1" applyBorder="1"/>
    <xf numFmtId="0" fontId="4" fillId="0" borderId="10" xfId="0" applyFont="1" applyBorder="1" applyAlignment="1">
      <alignment horizontal="left"/>
    </xf>
    <xf numFmtId="0" fontId="5" fillId="0" borderId="18" xfId="0" applyFont="1" applyBorder="1"/>
    <xf numFmtId="0" fontId="14" fillId="0" borderId="18" xfId="0" applyFont="1" applyBorder="1"/>
    <xf numFmtId="0" fontId="5" fillId="0" borderId="14" xfId="0" applyFont="1" applyBorder="1"/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right"/>
    </xf>
    <xf numFmtId="0" fontId="42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42" fillId="0" borderId="11" xfId="0" applyFont="1" applyBorder="1"/>
    <xf numFmtId="0" fontId="50" fillId="0" borderId="40" xfId="0" applyFont="1" applyBorder="1"/>
    <xf numFmtId="0" fontId="50" fillId="0" borderId="21" xfId="0" applyFont="1" applyBorder="1"/>
    <xf numFmtId="3" fontId="12" fillId="0" borderId="32" xfId="0" applyNumberFormat="1" applyFont="1" applyBorder="1" applyProtection="1">
      <protection locked="0"/>
    </xf>
    <xf numFmtId="0" fontId="25" fillId="0" borderId="38" xfId="0" applyFont="1" applyBorder="1"/>
    <xf numFmtId="0" fontId="12" fillId="0" borderId="38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3" fontId="45" fillId="0" borderId="40" xfId="0" applyNumberFormat="1" applyFont="1" applyBorder="1"/>
    <xf numFmtId="0" fontId="12" fillId="0" borderId="32" xfId="0" applyFont="1" applyBorder="1" applyAlignment="1">
      <alignment horizontal="left" wrapText="1"/>
    </xf>
    <xf numFmtId="3" fontId="39" fillId="0" borderId="0" xfId="0" applyNumberFormat="1" applyFont="1"/>
    <xf numFmtId="0" fontId="13" fillId="0" borderId="18" xfId="0" applyFont="1" applyBorder="1"/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3" fontId="12" fillId="0" borderId="40" xfId="0" applyNumberFormat="1" applyFont="1" applyBorder="1" applyProtection="1">
      <protection locked="0"/>
    </xf>
    <xf numFmtId="3" fontId="12" fillId="0" borderId="32" xfId="0" applyNumberFormat="1" applyFont="1" applyBorder="1"/>
    <xf numFmtId="0" fontId="5" fillId="0" borderId="37" xfId="0" applyFont="1" applyBorder="1"/>
    <xf numFmtId="0" fontId="5" fillId="0" borderId="23" xfId="0" applyFont="1" applyBorder="1" applyAlignment="1">
      <alignment wrapText="1" shrinkToFit="1"/>
    </xf>
    <xf numFmtId="3" fontId="48" fillId="0" borderId="0" xfId="0" applyNumberFormat="1" applyFont="1"/>
    <xf numFmtId="3" fontId="12" fillId="0" borderId="19" xfId="0" applyNumberFormat="1" applyFont="1" applyBorder="1" applyAlignment="1">
      <alignment horizontal="right"/>
    </xf>
    <xf numFmtId="0" fontId="54" fillId="0" borderId="27" xfId="0" applyFont="1" applyBorder="1" applyAlignment="1">
      <alignment horizontal="justify" wrapText="1"/>
    </xf>
    <xf numFmtId="0" fontId="12" fillId="0" borderId="47" xfId="0" applyFont="1" applyBorder="1"/>
    <xf numFmtId="3" fontId="8" fillId="0" borderId="19" xfId="52" applyNumberFormat="1" applyFont="1" applyBorder="1" applyAlignment="1">
      <alignment horizontal="right" wrapText="1"/>
    </xf>
    <xf numFmtId="0" fontId="4" fillId="0" borderId="26" xfId="0" applyFont="1" applyBorder="1"/>
    <xf numFmtId="3" fontId="43" fillId="0" borderId="21" xfId="49" applyNumberFormat="1" applyFont="1" applyBorder="1"/>
    <xf numFmtId="0" fontId="4" fillId="0" borderId="48" xfId="49" applyFont="1" applyBorder="1" applyAlignment="1">
      <alignment horizontal="justify"/>
    </xf>
    <xf numFmtId="0" fontId="4" fillId="0" borderId="27" xfId="49" applyFont="1" applyBorder="1" applyAlignment="1">
      <alignment horizontal="justify"/>
    </xf>
    <xf numFmtId="0" fontId="5" fillId="0" borderId="40" xfId="49" applyFont="1" applyBorder="1" applyAlignment="1">
      <alignment horizontal="justify"/>
    </xf>
    <xf numFmtId="3" fontId="12" fillId="0" borderId="27" xfId="0" applyNumberFormat="1" applyFont="1" applyBorder="1" applyAlignment="1">
      <alignment horizontal="right"/>
    </xf>
    <xf numFmtId="0" fontId="45" fillId="0" borderId="49" xfId="49" applyFont="1" applyBorder="1" applyAlignment="1">
      <alignment horizontal="left"/>
    </xf>
    <xf numFmtId="0" fontId="11" fillId="0" borderId="20" xfId="0" applyFont="1" applyBorder="1"/>
    <xf numFmtId="0" fontId="45" fillId="0" borderId="40" xfId="49" applyFont="1" applyBorder="1" applyAlignment="1">
      <alignment horizontal="left"/>
    </xf>
    <xf numFmtId="3" fontId="12" fillId="0" borderId="0" xfId="49" applyNumberFormat="1" applyFont="1"/>
    <xf numFmtId="3" fontId="50" fillId="0" borderId="21" xfId="0" applyNumberFormat="1" applyFont="1" applyBorder="1"/>
    <xf numFmtId="3" fontId="45" fillId="0" borderId="0" xfId="0" applyNumberFormat="1" applyFont="1"/>
    <xf numFmtId="3" fontId="5" fillId="25" borderId="21" xfId="0" applyNumberFormat="1" applyFont="1" applyFill="1" applyBorder="1" applyAlignment="1">
      <alignment horizontal="right"/>
    </xf>
    <xf numFmtId="0" fontId="11" fillId="0" borderId="50" xfId="0" applyFont="1" applyBorder="1" applyAlignment="1">
      <alignment horizontal="left"/>
    </xf>
    <xf numFmtId="3" fontId="45" fillId="0" borderId="27" xfId="0" applyNumberFormat="1" applyFont="1" applyBorder="1" applyProtection="1">
      <protection locked="0"/>
    </xf>
    <xf numFmtId="0" fontId="5" fillId="0" borderId="27" xfId="0" applyFont="1" applyBorder="1" applyAlignment="1">
      <alignment horizontal="justify" wrapText="1"/>
    </xf>
    <xf numFmtId="3" fontId="43" fillId="0" borderId="27" xfId="49" applyNumberFormat="1" applyFont="1" applyBorder="1"/>
    <xf numFmtId="0" fontId="42" fillId="0" borderId="46" xfId="0" applyFont="1" applyBorder="1"/>
    <xf numFmtId="3" fontId="42" fillId="0" borderId="46" xfId="0" applyNumberFormat="1" applyFont="1" applyBorder="1" applyProtection="1">
      <protection locked="0"/>
    </xf>
    <xf numFmtId="3" fontId="42" fillId="0" borderId="34" xfId="0" applyNumberFormat="1" applyFont="1" applyBorder="1"/>
    <xf numFmtId="0" fontId="50" fillId="0" borderId="0" xfId="0" applyFont="1"/>
    <xf numFmtId="3" fontId="50" fillId="0" borderId="19" xfId="0" applyNumberFormat="1" applyFont="1" applyBorder="1"/>
    <xf numFmtId="0" fontId="42" fillId="0" borderId="51" xfId="0" applyFont="1" applyBorder="1"/>
    <xf numFmtId="0" fontId="42" fillId="0" borderId="45" xfId="0" applyFont="1" applyBorder="1"/>
    <xf numFmtId="3" fontId="42" fillId="0" borderId="45" xfId="0" applyNumberFormat="1" applyFont="1" applyBorder="1" applyProtection="1">
      <protection locked="0"/>
    </xf>
    <xf numFmtId="3" fontId="42" fillId="0" borderId="28" xfId="0" applyNumberFormat="1" applyFont="1" applyBorder="1" applyProtection="1">
      <protection locked="0"/>
    </xf>
    <xf numFmtId="3" fontId="42" fillId="0" borderId="28" xfId="0" applyNumberFormat="1" applyFont="1" applyBorder="1"/>
    <xf numFmtId="0" fontId="42" fillId="0" borderId="52" xfId="0" applyFont="1" applyBorder="1"/>
    <xf numFmtId="3" fontId="12" fillId="0" borderId="37" xfId="0" applyNumberFormat="1" applyFont="1" applyBorder="1"/>
    <xf numFmtId="0" fontId="42" fillId="0" borderId="31" xfId="0" applyFont="1" applyBorder="1"/>
    <xf numFmtId="3" fontId="42" fillId="0" borderId="31" xfId="0" applyNumberFormat="1" applyFont="1" applyBorder="1" applyProtection="1">
      <protection locked="0"/>
    </xf>
    <xf numFmtId="3" fontId="12" fillId="0" borderId="22" xfId="0" applyNumberFormat="1" applyFont="1" applyBorder="1"/>
    <xf numFmtId="0" fontId="45" fillId="0" borderId="15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0" fontId="5" fillId="0" borderId="21" xfId="0" applyFont="1" applyBorder="1" applyAlignment="1">
      <alignment horizontal="justify" wrapText="1"/>
    </xf>
    <xf numFmtId="0" fontId="24" fillId="0" borderId="46" xfId="49" applyFont="1" applyBorder="1" applyAlignment="1">
      <alignment horizontal="left"/>
    </xf>
    <xf numFmtId="3" fontId="51" fillId="0" borderId="34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4" fillId="0" borderId="46" xfId="49" applyFont="1" applyBorder="1" applyAlignment="1">
      <alignment horizontal="justify"/>
    </xf>
    <xf numFmtId="0" fontId="14" fillId="0" borderId="14" xfId="49" applyFont="1" applyBorder="1"/>
    <xf numFmtId="0" fontId="24" fillId="0" borderId="31" xfId="49" applyFont="1" applyBorder="1" applyAlignment="1">
      <alignment horizontal="left" wrapText="1"/>
    </xf>
    <xf numFmtId="3" fontId="51" fillId="0" borderId="22" xfId="0" applyNumberFormat="1" applyFont="1" applyBorder="1" applyAlignment="1">
      <alignment horizontal="right"/>
    </xf>
    <xf numFmtId="0" fontId="5" fillId="0" borderId="32" xfId="49" applyFont="1" applyBorder="1" applyAlignment="1">
      <alignment horizontal="left" wrapText="1"/>
    </xf>
    <xf numFmtId="0" fontId="22" fillId="0" borderId="32" xfId="49" applyFont="1" applyBorder="1" applyAlignment="1">
      <alignment horizontal="left" wrapText="1"/>
    </xf>
    <xf numFmtId="3" fontId="45" fillId="0" borderId="21" xfId="49" applyNumberFormat="1" applyFont="1" applyBorder="1"/>
    <xf numFmtId="3" fontId="42" fillId="0" borderId="45" xfId="0" applyNumberFormat="1" applyFont="1" applyBorder="1"/>
    <xf numFmtId="3" fontId="42" fillId="0" borderId="51" xfId="0" applyNumberFormat="1" applyFont="1" applyBorder="1"/>
    <xf numFmtId="3" fontId="42" fillId="0" borderId="53" xfId="0" applyNumberFormat="1" applyFont="1" applyBorder="1"/>
    <xf numFmtId="3" fontId="12" fillId="0" borderId="28" xfId="0" applyNumberFormat="1" applyFont="1" applyBorder="1"/>
    <xf numFmtId="3" fontId="4" fillId="0" borderId="22" xfId="0" applyNumberFormat="1" applyFont="1" applyBorder="1" applyAlignment="1">
      <alignment horizontal="right" wrapText="1"/>
    </xf>
    <xf numFmtId="0" fontId="5" fillId="0" borderId="54" xfId="0" applyFont="1" applyBorder="1" applyAlignment="1">
      <alignment horizontal="justify"/>
    </xf>
    <xf numFmtId="3" fontId="5" fillId="0" borderId="55" xfId="0" applyNumberFormat="1" applyFont="1" applyBorder="1"/>
    <xf numFmtId="0" fontId="6" fillId="0" borderId="25" xfId="0" applyFont="1" applyBorder="1"/>
    <xf numFmtId="3" fontId="8" fillId="0" borderId="30" xfId="52" applyNumberFormat="1" applyFont="1" applyBorder="1" applyAlignment="1">
      <alignment horizontal="justify" wrapText="1"/>
    </xf>
    <xf numFmtId="0" fontId="9" fillId="0" borderId="40" xfId="49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3" fontId="22" fillId="0" borderId="27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4" fillId="0" borderId="26" xfId="0" applyNumberFormat="1" applyFont="1" applyBorder="1" applyAlignment="1">
      <alignment horizontal="center"/>
    </xf>
    <xf numFmtId="3" fontId="8" fillId="0" borderId="17" xfId="52" applyNumberFormat="1" applyFont="1" applyBorder="1" applyAlignment="1">
      <alignment horizontal="justify" vertical="top" wrapText="1"/>
    </xf>
    <xf numFmtId="0" fontId="54" fillId="0" borderId="19" xfId="0" applyFont="1" applyBorder="1" applyAlignment="1">
      <alignment horizontal="justify" wrapText="1"/>
    </xf>
    <xf numFmtId="0" fontId="14" fillId="0" borderId="25" xfId="0" applyFont="1" applyBorder="1"/>
    <xf numFmtId="0" fontId="9" fillId="0" borderId="11" xfId="0" applyFont="1" applyBorder="1" applyAlignment="1">
      <alignment horizontal="justify"/>
    </xf>
    <xf numFmtId="0" fontId="9" fillId="25" borderId="54" xfId="0" applyFont="1" applyFill="1" applyBorder="1" applyAlignment="1">
      <alignment horizontal="justify"/>
    </xf>
    <xf numFmtId="3" fontId="9" fillId="25" borderId="55" xfId="0" applyNumberFormat="1" applyFont="1" applyFill="1" applyBorder="1" applyAlignment="1">
      <alignment horizontal="right"/>
    </xf>
    <xf numFmtId="3" fontId="8" fillId="0" borderId="0" xfId="52" applyNumberFormat="1" applyFont="1" applyAlignment="1">
      <alignment horizontal="justify" wrapText="1"/>
    </xf>
    <xf numFmtId="0" fontId="4" fillId="0" borderId="13" xfId="0" applyFont="1" applyBorder="1" applyAlignment="1">
      <alignment wrapText="1"/>
    </xf>
    <xf numFmtId="0" fontId="14" fillId="0" borderId="14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12" fillId="0" borderId="36" xfId="49" applyFont="1" applyBorder="1"/>
    <xf numFmtId="3" fontId="14" fillId="0" borderId="20" xfId="0" applyNumberFormat="1" applyFont="1" applyBorder="1" applyAlignment="1">
      <alignment horizontal="right"/>
    </xf>
    <xf numFmtId="3" fontId="23" fillId="0" borderId="20" xfId="0" applyNumberFormat="1" applyFont="1" applyBorder="1" applyAlignment="1">
      <alignment horizontal="right"/>
    </xf>
    <xf numFmtId="0" fontId="9" fillId="0" borderId="27" xfId="0" applyFont="1" applyBorder="1"/>
    <xf numFmtId="3" fontId="9" fillId="0" borderId="27" xfId="0" applyNumberFormat="1" applyFont="1" applyBorder="1"/>
    <xf numFmtId="3" fontId="14" fillId="0" borderId="13" xfId="0" applyNumberFormat="1" applyFont="1" applyBorder="1" applyAlignment="1">
      <alignment horizontal="right"/>
    </xf>
    <xf numFmtId="0" fontId="61" fillId="0" borderId="0" xfId="0" applyFont="1"/>
    <xf numFmtId="0" fontId="11" fillId="0" borderId="19" xfId="49" applyFont="1" applyBorder="1"/>
    <xf numFmtId="0" fontId="12" fillId="0" borderId="13" xfId="49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0" fontId="5" fillId="0" borderId="0" xfId="51" applyFont="1"/>
    <xf numFmtId="0" fontId="48" fillId="0" borderId="0" xfId="51" applyFont="1"/>
    <xf numFmtId="0" fontId="4" fillId="0" borderId="0" xfId="51" applyFont="1"/>
    <xf numFmtId="0" fontId="4" fillId="0" borderId="0" xfId="51" applyFont="1" applyAlignment="1">
      <alignment horizontal="right"/>
    </xf>
    <xf numFmtId="0" fontId="14" fillId="0" borderId="25" xfId="51" applyFont="1" applyBorder="1" applyAlignment="1">
      <alignment horizontal="center"/>
    </xf>
    <xf numFmtId="0" fontId="4" fillId="0" borderId="10" xfId="51" applyFont="1" applyBorder="1" applyAlignment="1">
      <alignment horizontal="center"/>
    </xf>
    <xf numFmtId="0" fontId="14" fillId="0" borderId="56" xfId="51" applyFont="1" applyBorder="1" applyAlignment="1">
      <alignment horizontal="center"/>
    </xf>
    <xf numFmtId="0" fontId="4" fillId="0" borderId="25" xfId="51" applyFont="1" applyBorder="1" applyAlignment="1">
      <alignment horizontal="center"/>
    </xf>
    <xf numFmtId="0" fontId="14" fillId="0" borderId="19" xfId="51" applyFont="1" applyBorder="1" applyAlignment="1">
      <alignment horizontal="center"/>
    </xf>
    <xf numFmtId="0" fontId="5" fillId="0" borderId="11" xfId="51" applyFont="1" applyBorder="1"/>
    <xf numFmtId="0" fontId="14" fillId="0" borderId="37" xfId="51" applyFont="1" applyBorder="1" applyAlignment="1">
      <alignment horizontal="center"/>
    </xf>
    <xf numFmtId="0" fontId="4" fillId="0" borderId="19" xfId="51" applyFont="1" applyBorder="1" applyAlignment="1">
      <alignment horizontal="center"/>
    </xf>
    <xf numFmtId="0" fontId="14" fillId="0" borderId="26" xfId="51" applyFont="1" applyBorder="1" applyAlignment="1">
      <alignment horizontal="center"/>
    </xf>
    <xf numFmtId="0" fontId="5" fillId="0" borderId="14" xfId="51" applyFont="1" applyBorder="1"/>
    <xf numFmtId="0" fontId="14" fillId="0" borderId="26" xfId="51" applyFont="1" applyBorder="1" applyAlignment="1">
      <alignment horizontal="center" vertical="center" wrapText="1"/>
    </xf>
    <xf numFmtId="0" fontId="14" fillId="0" borderId="57" xfId="51" applyFont="1" applyBorder="1" applyAlignment="1">
      <alignment horizontal="center" vertical="center" wrapText="1"/>
    </xf>
    <xf numFmtId="0" fontId="9" fillId="0" borderId="26" xfId="51" applyFont="1" applyBorder="1" applyAlignment="1">
      <alignment horizontal="center" vertical="center" wrapText="1"/>
    </xf>
    <xf numFmtId="0" fontId="14" fillId="0" borderId="57" xfId="51" applyFont="1" applyBorder="1" applyAlignment="1">
      <alignment horizontal="justify"/>
    </xf>
    <xf numFmtId="0" fontId="4" fillId="0" borderId="26" xfId="51" applyFont="1" applyBorder="1" applyAlignment="1">
      <alignment horizontal="center"/>
    </xf>
    <xf numFmtId="0" fontId="14" fillId="0" borderId="11" xfId="51" applyFont="1" applyBorder="1" applyAlignment="1">
      <alignment horizontal="center"/>
    </xf>
    <xf numFmtId="0" fontId="5" fillId="0" borderId="25" xfId="51" applyFont="1" applyBorder="1" applyAlignment="1">
      <alignment horizontal="center"/>
    </xf>
    <xf numFmtId="0" fontId="5" fillId="0" borderId="56" xfId="51" applyFont="1" applyBorder="1" applyAlignment="1">
      <alignment horizontal="center"/>
    </xf>
    <xf numFmtId="0" fontId="14" fillId="0" borderId="10" xfId="51" applyFont="1" applyBorder="1" applyAlignment="1">
      <alignment horizontal="center"/>
    </xf>
    <xf numFmtId="3" fontId="14" fillId="0" borderId="53" xfId="51" applyNumberFormat="1" applyFont="1" applyBorder="1" applyAlignment="1">
      <alignment horizontal="center"/>
    </xf>
    <xf numFmtId="0" fontId="39" fillId="0" borderId="58" xfId="50" applyFont="1" applyBorder="1"/>
    <xf numFmtId="3" fontId="9" fillId="0" borderId="53" xfId="51" applyNumberFormat="1" applyFont="1" applyBorder="1"/>
    <xf numFmtId="3" fontId="5" fillId="0" borderId="53" xfId="51" applyNumberFormat="1" applyFont="1" applyBorder="1"/>
    <xf numFmtId="3" fontId="14" fillId="0" borderId="53" xfId="51" applyNumberFormat="1" applyFont="1" applyBorder="1"/>
    <xf numFmtId="3" fontId="4" fillId="0" borderId="19" xfId="51" applyNumberFormat="1" applyFont="1" applyBorder="1" applyAlignment="1">
      <alignment horizontal="center"/>
    </xf>
    <xf numFmtId="3" fontId="5" fillId="0" borderId="19" xfId="51" applyNumberFormat="1" applyFont="1" applyBorder="1"/>
    <xf numFmtId="3" fontId="14" fillId="0" borderId="34" xfId="51" applyNumberFormat="1" applyFont="1" applyBorder="1" applyAlignment="1">
      <alignment horizontal="center"/>
    </xf>
    <xf numFmtId="0" fontId="39" fillId="0" borderId="43" xfId="50" applyFont="1" applyBorder="1"/>
    <xf numFmtId="3" fontId="4" fillId="0" borderId="34" xfId="51" applyNumberFormat="1" applyFont="1" applyBorder="1" applyAlignment="1">
      <alignment horizontal="center"/>
    </xf>
    <xf numFmtId="0" fontId="39" fillId="0" borderId="43" xfId="50" applyFont="1" applyBorder="1" applyAlignment="1">
      <alignment wrapText="1"/>
    </xf>
    <xf numFmtId="3" fontId="5" fillId="0" borderId="34" xfId="51" applyNumberFormat="1" applyFont="1" applyBorder="1"/>
    <xf numFmtId="3" fontId="4" fillId="0" borderId="28" xfId="51" applyNumberFormat="1" applyFont="1" applyBorder="1" applyAlignment="1">
      <alignment horizontal="center"/>
    </xf>
    <xf numFmtId="0" fontId="39" fillId="0" borderId="35" xfId="50" applyFont="1" applyBorder="1"/>
    <xf numFmtId="3" fontId="14" fillId="0" borderId="19" xfId="51" applyNumberFormat="1" applyFont="1" applyBorder="1"/>
    <xf numFmtId="3" fontId="14" fillId="0" borderId="20" xfId="51" applyNumberFormat="1" applyFont="1" applyBorder="1" applyAlignment="1">
      <alignment horizontal="center"/>
    </xf>
    <xf numFmtId="0" fontId="25" fillId="0" borderId="13" xfId="51" applyFont="1" applyBorder="1"/>
    <xf numFmtId="3" fontId="14" fillId="0" borderId="20" xfId="51" applyNumberFormat="1" applyFont="1" applyBorder="1"/>
    <xf numFmtId="3" fontId="4" fillId="0" borderId="59" xfId="51" applyNumberFormat="1" applyFont="1" applyBorder="1" applyAlignment="1">
      <alignment horizontal="center"/>
    </xf>
    <xf numFmtId="0" fontId="39" fillId="0" borderId="10" xfId="50" applyFont="1" applyBorder="1"/>
    <xf numFmtId="3" fontId="5" fillId="0" borderId="25" xfId="51" applyNumberFormat="1" applyFont="1" applyBorder="1"/>
    <xf numFmtId="0" fontId="14" fillId="0" borderId="0" xfId="51" applyFont="1"/>
    <xf numFmtId="3" fontId="4" fillId="0" borderId="53" xfId="51" applyNumberFormat="1" applyFont="1" applyBorder="1" applyAlignment="1">
      <alignment horizontal="center"/>
    </xf>
    <xf numFmtId="0" fontId="39" fillId="0" borderId="11" xfId="50" applyFont="1" applyBorder="1"/>
    <xf numFmtId="0" fontId="25" fillId="0" borderId="13" xfId="51" applyFont="1" applyBorder="1" applyAlignment="1">
      <alignment horizontal="justify"/>
    </xf>
    <xf numFmtId="3" fontId="14" fillId="0" borderId="19" xfId="51" applyNumberFormat="1" applyFont="1" applyBorder="1" applyAlignment="1">
      <alignment horizontal="center"/>
    </xf>
    <xf numFmtId="0" fontId="25" fillId="0" borderId="11" xfId="51" applyFont="1" applyBorder="1" applyAlignment="1">
      <alignment horizontal="justify"/>
    </xf>
    <xf numFmtId="3" fontId="5" fillId="0" borderId="20" xfId="51" applyNumberFormat="1" applyFont="1" applyBorder="1"/>
    <xf numFmtId="3" fontId="5" fillId="0" borderId="37" xfId="51" applyNumberFormat="1" applyFont="1" applyBorder="1"/>
    <xf numFmtId="3" fontId="4" fillId="0" borderId="25" xfId="51" applyNumberFormat="1" applyFont="1" applyBorder="1" applyAlignment="1">
      <alignment horizontal="center"/>
    </xf>
    <xf numFmtId="0" fontId="25" fillId="0" borderId="10" xfId="51" applyFont="1" applyBorder="1" applyAlignment="1">
      <alignment horizontal="justify"/>
    </xf>
    <xf numFmtId="3" fontId="5" fillId="0" borderId="56" xfId="51" applyNumberFormat="1" applyFont="1" applyBorder="1"/>
    <xf numFmtId="3" fontId="4" fillId="0" borderId="20" xfId="51" applyNumberFormat="1" applyFont="1" applyBorder="1" applyAlignment="1">
      <alignment horizontal="center"/>
    </xf>
    <xf numFmtId="0" fontId="11" fillId="0" borderId="13" xfId="51" applyFont="1" applyBorder="1"/>
    <xf numFmtId="3" fontId="4" fillId="0" borderId="20" xfId="51" applyNumberFormat="1" applyFont="1" applyBorder="1"/>
    <xf numFmtId="0" fontId="12" fillId="0" borderId="11" xfId="49" applyFont="1" applyBorder="1" applyAlignment="1">
      <alignment horizontal="right" wrapText="1"/>
    </xf>
    <xf numFmtId="0" fontId="45" fillId="0" borderId="49" xfId="49" applyFont="1" applyBorder="1" applyAlignment="1">
      <alignment horizontal="left" wrapText="1"/>
    </xf>
    <xf numFmtId="3" fontId="12" fillId="0" borderId="21" xfId="0" applyNumberFormat="1" applyFont="1" applyBorder="1" applyAlignment="1">
      <alignment horizontal="right" wrapText="1"/>
    </xf>
    <xf numFmtId="0" fontId="12" fillId="0" borderId="0" xfId="49" applyFont="1" applyAlignment="1">
      <alignment wrapText="1"/>
    </xf>
    <xf numFmtId="0" fontId="12" fillId="0" borderId="51" xfId="0" applyFont="1" applyBorder="1"/>
    <xf numFmtId="3" fontId="12" fillId="0" borderId="51" xfId="0" applyNumberFormat="1" applyFont="1" applyBorder="1"/>
    <xf numFmtId="3" fontId="12" fillId="0" borderId="53" xfId="0" applyNumberFormat="1" applyFont="1" applyBorder="1" applyProtection="1">
      <protection locked="0"/>
    </xf>
    <xf numFmtId="3" fontId="12" fillId="0" borderId="24" xfId="0" applyNumberFormat="1" applyFont="1" applyBorder="1"/>
    <xf numFmtId="3" fontId="12" fillId="0" borderId="26" xfId="0" applyNumberFormat="1" applyFont="1" applyBorder="1"/>
    <xf numFmtId="3" fontId="46" fillId="0" borderId="20" xfId="49" applyNumberFormat="1" applyFont="1" applyBorder="1"/>
    <xf numFmtId="0" fontId="46" fillId="0" borderId="0" xfId="0" applyFont="1"/>
    <xf numFmtId="0" fontId="14" fillId="0" borderId="0" xfId="51" applyFont="1" applyAlignment="1">
      <alignment horizontal="center"/>
    </xf>
    <xf numFmtId="0" fontId="9" fillId="0" borderId="0" xfId="51" applyFont="1"/>
    <xf numFmtId="3" fontId="9" fillId="0" borderId="0" xfId="51" applyNumberFormat="1" applyFont="1"/>
    <xf numFmtId="0" fontId="9" fillId="0" borderId="25" xfId="51" applyFont="1" applyBorder="1" applyAlignment="1">
      <alignment horizontal="center"/>
    </xf>
    <xf numFmtId="0" fontId="9" fillId="0" borderId="11" xfId="51" applyFont="1" applyBorder="1"/>
    <xf numFmtId="0" fontId="9" fillId="0" borderId="19" xfId="51" applyFont="1" applyBorder="1" applyAlignment="1">
      <alignment horizontal="center"/>
    </xf>
    <xf numFmtId="0" fontId="9" fillId="0" borderId="14" xfId="51" applyFont="1" applyBorder="1"/>
    <xf numFmtId="0" fontId="25" fillId="0" borderId="60" xfId="51" applyFont="1" applyBorder="1"/>
    <xf numFmtId="3" fontId="25" fillId="0" borderId="59" xfId="51" applyNumberFormat="1" applyFont="1" applyBorder="1"/>
    <xf numFmtId="0" fontId="25" fillId="0" borderId="14" xfId="51" applyFont="1" applyBorder="1"/>
    <xf numFmtId="3" fontId="25" fillId="0" borderId="26" xfId="51" applyNumberFormat="1" applyFont="1" applyBorder="1"/>
    <xf numFmtId="3" fontId="25" fillId="0" borderId="20" xfId="51" applyNumberFormat="1" applyFont="1" applyBorder="1"/>
    <xf numFmtId="0" fontId="45" fillId="0" borderId="11" xfId="51" applyFont="1" applyBorder="1" applyAlignment="1">
      <alignment horizontal="justify"/>
    </xf>
    <xf numFmtId="3" fontId="45" fillId="0" borderId="53" xfId="51" applyNumberFormat="1" applyFont="1" applyBorder="1"/>
    <xf numFmtId="3" fontId="45" fillId="0" borderId="19" xfId="51" applyNumberFormat="1" applyFont="1" applyBorder="1"/>
    <xf numFmtId="0" fontId="62" fillId="0" borderId="0" xfId="51" applyFont="1"/>
    <xf numFmtId="0" fontId="25" fillId="0" borderId="26" xfId="51" applyFont="1" applyBorder="1" applyAlignment="1">
      <alignment horizontal="justify"/>
    </xf>
    <xf numFmtId="0" fontId="9" fillId="0" borderId="10" xfId="0" applyFont="1" applyBorder="1" applyAlignment="1">
      <alignment horizontal="center"/>
    </xf>
    <xf numFmtId="0" fontId="9" fillId="0" borderId="61" xfId="0" applyFont="1" applyBorder="1" applyAlignment="1">
      <alignment horizontal="center" wrapText="1"/>
    </xf>
    <xf numFmtId="0" fontId="9" fillId="0" borderId="62" xfId="0" applyFont="1" applyBorder="1" applyAlignment="1">
      <alignment horizontal="center" wrapText="1"/>
    </xf>
    <xf numFmtId="0" fontId="9" fillId="0" borderId="14" xfId="0" applyFont="1" applyBorder="1"/>
    <xf numFmtId="0" fontId="14" fillId="0" borderId="63" xfId="0" applyFont="1" applyBorder="1"/>
    <xf numFmtId="0" fontId="9" fillId="0" borderId="63" xfId="0" applyFont="1" applyBorder="1"/>
    <xf numFmtId="0" fontId="9" fillId="0" borderId="64" xfId="0" applyFont="1" applyBorder="1"/>
    <xf numFmtId="4" fontId="9" fillId="0" borderId="0" xfId="0" applyNumberFormat="1" applyFont="1"/>
    <xf numFmtId="3" fontId="45" fillId="0" borderId="58" xfId="0" applyNumberFormat="1" applyFont="1" applyBorder="1"/>
    <xf numFmtId="3" fontId="45" fillId="0" borderId="65" xfId="0" applyNumberFormat="1" applyFont="1" applyBorder="1"/>
    <xf numFmtId="3" fontId="45" fillId="0" borderId="65" xfId="0" applyNumberFormat="1" applyFont="1" applyBorder="1" applyAlignment="1">
      <alignment horizontal="right"/>
    </xf>
    <xf numFmtId="3" fontId="45" fillId="0" borderId="66" xfId="0" applyNumberFormat="1" applyFont="1" applyBorder="1"/>
    <xf numFmtId="3" fontId="45" fillId="0" borderId="43" xfId="0" applyNumberFormat="1" applyFont="1" applyBorder="1"/>
    <xf numFmtId="3" fontId="45" fillId="0" borderId="33" xfId="0" applyNumberFormat="1" applyFont="1" applyBorder="1"/>
    <xf numFmtId="3" fontId="45" fillId="0" borderId="67" xfId="0" applyNumberFormat="1" applyFont="1" applyBorder="1"/>
    <xf numFmtId="3" fontId="45" fillId="0" borderId="12" xfId="0" applyNumberFormat="1" applyFont="1" applyBorder="1"/>
    <xf numFmtId="3" fontId="45" fillId="0" borderId="68" xfId="0" applyNumberFormat="1" applyFont="1" applyBorder="1"/>
    <xf numFmtId="3" fontId="45" fillId="0" borderId="68" xfId="0" applyNumberFormat="1" applyFont="1" applyBorder="1" applyAlignment="1">
      <alignment horizontal="right"/>
    </xf>
    <xf numFmtId="3" fontId="45" fillId="0" borderId="69" xfId="0" applyNumberFormat="1" applyFont="1" applyBorder="1"/>
    <xf numFmtId="3" fontId="25" fillId="0" borderId="14" xfId="0" applyNumberFormat="1" applyFont="1" applyBorder="1"/>
    <xf numFmtId="3" fontId="45" fillId="0" borderId="63" xfId="0" applyNumberFormat="1" applyFont="1" applyBorder="1"/>
    <xf numFmtId="3" fontId="25" fillId="0" borderId="63" xfId="0" applyNumberFormat="1" applyFont="1" applyBorder="1" applyAlignment="1">
      <alignment horizontal="right"/>
    </xf>
    <xf numFmtId="3" fontId="45" fillId="0" borderId="64" xfId="0" applyNumberFormat="1" applyFont="1" applyBorder="1"/>
    <xf numFmtId="3" fontId="50" fillId="0" borderId="40" xfId="0" applyNumberFormat="1" applyFont="1" applyBorder="1" applyAlignment="1">
      <alignment horizontal="justify"/>
    </xf>
    <xf numFmtId="0" fontId="12" fillId="0" borderId="40" xfId="0" applyFont="1" applyBorder="1" applyAlignment="1">
      <alignment wrapText="1"/>
    </xf>
    <xf numFmtId="165" fontId="9" fillId="0" borderId="0" xfId="36" applyNumberFormat="1" applyFont="1"/>
    <xf numFmtId="0" fontId="5" fillId="0" borderId="32" xfId="0" applyFont="1" applyBorder="1" applyAlignment="1">
      <alignment horizontal="justify" wrapText="1"/>
    </xf>
    <xf numFmtId="3" fontId="14" fillId="0" borderId="25" xfId="0" applyNumberFormat="1" applyFont="1" applyBorder="1" applyAlignment="1">
      <alignment horizontal="center"/>
    </xf>
    <xf numFmtId="0" fontId="12" fillId="0" borderId="32" xfId="49" applyFont="1" applyBorder="1" applyAlignment="1">
      <alignment wrapText="1"/>
    </xf>
    <xf numFmtId="0" fontId="13" fillId="0" borderId="37" xfId="0" applyFont="1" applyBorder="1" applyAlignment="1">
      <alignment horizontal="left"/>
    </xf>
    <xf numFmtId="0" fontId="5" fillId="25" borderId="41" xfId="0" applyFont="1" applyFill="1" applyBorder="1"/>
    <xf numFmtId="3" fontId="12" fillId="25" borderId="41" xfId="0" applyNumberFormat="1" applyFont="1" applyFill="1" applyBorder="1"/>
    <xf numFmtId="0" fontId="5" fillId="0" borderId="27" xfId="0" applyFont="1" applyBorder="1" applyAlignment="1">
      <alignment wrapText="1" shrinkToFit="1"/>
    </xf>
    <xf numFmtId="0" fontId="4" fillId="0" borderId="28" xfId="49" applyFont="1" applyBorder="1" applyAlignment="1">
      <alignment horizontal="left"/>
    </xf>
    <xf numFmtId="0" fontId="12" fillId="0" borderId="14" xfId="49" applyFont="1" applyBorder="1" applyAlignment="1">
      <alignment horizontal="right"/>
    </xf>
    <xf numFmtId="0" fontId="12" fillId="0" borderId="70" xfId="0" applyFont="1" applyBorder="1" applyAlignment="1">
      <alignment wrapText="1"/>
    </xf>
    <xf numFmtId="3" fontId="12" fillId="0" borderId="26" xfId="0" applyNumberFormat="1" applyFont="1" applyBorder="1" applyAlignment="1">
      <alignment horizontal="right"/>
    </xf>
    <xf numFmtId="0" fontId="11" fillId="0" borderId="13" xfId="49" applyFont="1" applyBorder="1"/>
    <xf numFmtId="3" fontId="42" fillId="0" borderId="0" xfId="0" applyNumberFormat="1" applyFont="1" applyProtection="1">
      <protection locked="0"/>
    </xf>
    <xf numFmtId="3" fontId="42" fillId="0" borderId="19" xfId="0" applyNumberFormat="1" applyFont="1" applyBorder="1" applyProtection="1">
      <protection locked="0"/>
    </xf>
    <xf numFmtId="3" fontId="24" fillId="0" borderId="0" xfId="0" applyNumberFormat="1" applyFont="1"/>
    <xf numFmtId="0" fontId="52" fillId="0" borderId="49" xfId="0" applyFont="1" applyBorder="1" applyAlignment="1">
      <alignment horizontal="justify"/>
    </xf>
    <xf numFmtId="0" fontId="5" fillId="25" borderId="71" xfId="0" applyFont="1" applyFill="1" applyBorder="1"/>
    <xf numFmtId="3" fontId="5" fillId="25" borderId="72" xfId="0" applyNumberFormat="1" applyFont="1" applyFill="1" applyBorder="1"/>
    <xf numFmtId="0" fontId="12" fillId="0" borderId="15" xfId="0" applyFont="1" applyBorder="1" applyAlignment="1">
      <alignment wrapText="1"/>
    </xf>
    <xf numFmtId="0" fontId="39" fillId="0" borderId="32" xfId="0" applyFont="1" applyBorder="1" applyAlignment="1">
      <alignment wrapText="1"/>
    </xf>
    <xf numFmtId="0" fontId="5" fillId="25" borderId="17" xfId="0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24" fillId="0" borderId="19" xfId="0" applyNumberFormat="1" applyFont="1" applyBorder="1" applyAlignment="1">
      <alignment horizontal="left"/>
    </xf>
    <xf numFmtId="3" fontId="9" fillId="0" borderId="21" xfId="0" applyNumberFormat="1" applyFont="1" applyBorder="1"/>
    <xf numFmtId="3" fontId="22" fillId="0" borderId="19" xfId="0" applyNumberFormat="1" applyFont="1" applyBorder="1" applyAlignment="1">
      <alignment horizontal="justify"/>
    </xf>
    <xf numFmtId="3" fontId="6" fillId="0" borderId="19" xfId="0" applyNumberFormat="1" applyFont="1" applyBorder="1"/>
    <xf numFmtId="3" fontId="11" fillId="0" borderId="28" xfId="0" applyNumberFormat="1" applyFont="1" applyBorder="1" applyAlignment="1">
      <alignment horizontal="center"/>
    </xf>
    <xf numFmtId="3" fontId="24" fillId="0" borderId="19" xfId="0" applyNumberFormat="1" applyFont="1" applyBorder="1" applyAlignment="1">
      <alignment horizontal="left" wrapText="1"/>
    </xf>
    <xf numFmtId="3" fontId="24" fillId="0" borderId="28" xfId="0" applyNumberFormat="1" applyFont="1" applyBorder="1" applyAlignment="1">
      <alignment horizontal="left"/>
    </xf>
    <xf numFmtId="3" fontId="14" fillId="0" borderId="28" xfId="0" applyNumberFormat="1" applyFont="1" applyBorder="1" applyAlignment="1">
      <alignment horizontal="center"/>
    </xf>
    <xf numFmtId="3" fontId="22" fillId="0" borderId="21" xfId="0" applyNumberFormat="1" applyFont="1" applyBorder="1" applyAlignment="1">
      <alignment horizontal="justify"/>
    </xf>
    <xf numFmtId="3" fontId="22" fillId="0" borderId="23" xfId="0" applyNumberFormat="1" applyFont="1" applyBorder="1" applyAlignment="1">
      <alignment horizontal="justify"/>
    </xf>
    <xf numFmtId="3" fontId="22" fillId="0" borderId="27" xfId="0" applyNumberFormat="1" applyFont="1" applyBorder="1" applyAlignment="1">
      <alignment horizontal="justify"/>
    </xf>
    <xf numFmtId="3" fontId="4" fillId="0" borderId="11" xfId="0" applyNumberFormat="1" applyFont="1" applyBorder="1"/>
    <xf numFmtId="0" fontId="11" fillId="0" borderId="56" xfId="49" applyFont="1" applyBorder="1"/>
    <xf numFmtId="0" fontId="39" fillId="0" borderId="48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0" borderId="19" xfId="0" applyFont="1" applyBorder="1" applyAlignment="1">
      <alignment horizontal="justify"/>
    </xf>
    <xf numFmtId="0" fontId="54" fillId="0" borderId="19" xfId="0" applyFont="1" applyBorder="1"/>
    <xf numFmtId="0" fontId="5" fillId="0" borderId="33" xfId="0" applyFont="1" applyBorder="1"/>
    <xf numFmtId="3" fontId="14" fillId="0" borderId="33" xfId="0" applyNumberFormat="1" applyFont="1" applyBorder="1"/>
    <xf numFmtId="3" fontId="12" fillId="0" borderId="0" xfId="49" applyNumberFormat="1" applyFont="1" applyAlignment="1">
      <alignment wrapText="1"/>
    </xf>
    <xf numFmtId="3" fontId="25" fillId="0" borderId="0" xfId="49" applyNumberFormat="1" applyFont="1"/>
    <xf numFmtId="0" fontId="5" fillId="25" borderId="11" xfId="0" applyFont="1" applyFill="1" applyBorder="1" applyAlignment="1">
      <alignment wrapText="1"/>
    </xf>
    <xf numFmtId="0" fontId="11" fillId="0" borderId="17" xfId="49" applyFont="1" applyBorder="1"/>
    <xf numFmtId="0" fontId="12" fillId="0" borderId="17" xfId="49" applyFont="1" applyBorder="1" applyAlignment="1">
      <alignment horizontal="right"/>
    </xf>
    <xf numFmtId="0" fontId="14" fillId="0" borderId="21" xfId="0" applyFont="1" applyBorder="1" applyAlignment="1">
      <alignment horizontal="justify" wrapText="1"/>
    </xf>
    <xf numFmtId="3" fontId="12" fillId="0" borderId="0" xfId="0" applyNumberFormat="1" applyFont="1" applyAlignment="1">
      <alignment horizontal="right"/>
    </xf>
    <xf numFmtId="0" fontId="11" fillId="0" borderId="10" xfId="0" applyFont="1" applyBorder="1" applyAlignment="1">
      <alignment horizontal="left"/>
    </xf>
    <xf numFmtId="3" fontId="11" fillId="0" borderId="18" xfId="0" applyNumberFormat="1" applyFont="1" applyBorder="1" applyAlignment="1">
      <alignment horizontal="left"/>
    </xf>
    <xf numFmtId="3" fontId="12" fillId="0" borderId="18" xfId="0" applyNumberFormat="1" applyFont="1" applyBorder="1"/>
    <xf numFmtId="0" fontId="11" fillId="0" borderId="11" xfId="0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4" fillId="0" borderId="19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Continuous"/>
    </xf>
    <xf numFmtId="3" fontId="11" fillId="0" borderId="15" xfId="0" applyNumberFormat="1" applyFont="1" applyBorder="1" applyAlignment="1">
      <alignment horizontal="centerContinuous"/>
    </xf>
    <xf numFmtId="3" fontId="11" fillId="0" borderId="26" xfId="0" applyNumberFormat="1" applyFont="1" applyBorder="1" applyAlignment="1">
      <alignment horizontal="right"/>
    </xf>
    <xf numFmtId="0" fontId="12" fillId="0" borderId="15" xfId="0" applyFont="1" applyBorder="1"/>
    <xf numFmtId="3" fontId="11" fillId="0" borderId="15" xfId="0" applyNumberFormat="1" applyFont="1" applyBorder="1" applyAlignment="1">
      <alignment horizontal="right"/>
    </xf>
    <xf numFmtId="0" fontId="12" fillId="0" borderId="42" xfId="0" applyFont="1" applyBorder="1"/>
    <xf numFmtId="0" fontId="12" fillId="0" borderId="73" xfId="0" applyFont="1" applyBorder="1"/>
    <xf numFmtId="3" fontId="43" fillId="0" borderId="24" xfId="0" applyNumberFormat="1" applyFont="1" applyBorder="1"/>
    <xf numFmtId="3" fontId="11" fillId="0" borderId="73" xfId="0" applyNumberFormat="1" applyFont="1" applyBorder="1" applyAlignment="1">
      <alignment horizontal="right"/>
    </xf>
    <xf numFmtId="3" fontId="43" fillId="0" borderId="24" xfId="0" applyNumberFormat="1" applyFont="1" applyBorder="1" applyAlignment="1">
      <alignment horizontal="right"/>
    </xf>
    <xf numFmtId="0" fontId="12" fillId="0" borderId="17" xfId="0" applyFont="1" applyBorder="1"/>
    <xf numFmtId="3" fontId="43" fillId="0" borderId="21" xfId="0" applyNumberFormat="1" applyFont="1" applyBorder="1"/>
    <xf numFmtId="3" fontId="43" fillId="0" borderId="21" xfId="0" applyNumberFormat="1" applyFont="1" applyBorder="1" applyAlignment="1">
      <alignment horizontal="right"/>
    </xf>
    <xf numFmtId="0" fontId="12" fillId="0" borderId="16" xfId="0" applyFont="1" applyBorder="1"/>
    <xf numFmtId="3" fontId="43" fillId="0" borderId="23" xfId="0" applyNumberFormat="1" applyFont="1" applyBorder="1"/>
    <xf numFmtId="3" fontId="13" fillId="0" borderId="32" xfId="0" applyNumberFormat="1" applyFont="1" applyBorder="1" applyAlignment="1">
      <alignment horizontal="left"/>
    </xf>
    <xf numFmtId="3" fontId="43" fillId="0" borderId="23" xfId="0" applyNumberFormat="1" applyFont="1" applyBorder="1" applyAlignment="1">
      <alignment horizontal="right"/>
    </xf>
    <xf numFmtId="3" fontId="12" fillId="0" borderId="11" xfId="0" applyNumberFormat="1" applyFont="1" applyBorder="1"/>
    <xf numFmtId="3" fontId="43" fillId="0" borderId="19" xfId="0" applyNumberFormat="1" applyFont="1" applyBorder="1"/>
    <xf numFmtId="0" fontId="43" fillId="0" borderId="19" xfId="0" applyFont="1" applyBorder="1"/>
    <xf numFmtId="3" fontId="12" fillId="0" borderId="32" xfId="0" applyNumberFormat="1" applyFont="1" applyBorder="1" applyAlignment="1">
      <alignment horizontal="left"/>
    </xf>
    <xf numFmtId="0" fontId="12" fillId="0" borderId="19" xfId="0" applyFont="1" applyBorder="1"/>
    <xf numFmtId="0" fontId="12" fillId="0" borderId="48" xfId="0" applyFont="1" applyBorder="1"/>
    <xf numFmtId="3" fontId="11" fillId="0" borderId="11" xfId="0" applyNumberFormat="1" applyFont="1" applyBorder="1"/>
    <xf numFmtId="3" fontId="13" fillId="0" borderId="0" xfId="0" applyNumberFormat="1" applyFont="1"/>
    <xf numFmtId="3" fontId="13" fillId="0" borderId="19" xfId="0" applyNumberFormat="1" applyFont="1" applyBorder="1"/>
    <xf numFmtId="3" fontId="44" fillId="0" borderId="19" xfId="0" applyNumberFormat="1" applyFont="1" applyBorder="1"/>
    <xf numFmtId="3" fontId="11" fillId="0" borderId="58" xfId="0" applyNumberFormat="1" applyFont="1" applyBorder="1"/>
    <xf numFmtId="0" fontId="11" fillId="0" borderId="51" xfId="0" applyFont="1" applyBorder="1"/>
    <xf numFmtId="3" fontId="11" fillId="0" borderId="51" xfId="0" applyNumberFormat="1" applyFont="1" applyBorder="1"/>
    <xf numFmtId="3" fontId="11" fillId="0" borderId="53" xfId="0" applyNumberFormat="1" applyFont="1" applyBorder="1"/>
    <xf numFmtId="3" fontId="15" fillId="0" borderId="53" xfId="0" applyNumberFormat="1" applyFont="1" applyBorder="1"/>
    <xf numFmtId="0" fontId="57" fillId="0" borderId="31" xfId="0" applyFont="1" applyBorder="1"/>
    <xf numFmtId="3" fontId="57" fillId="0" borderId="74" xfId="0" applyNumberFormat="1" applyFont="1" applyBorder="1"/>
    <xf numFmtId="3" fontId="58" fillId="0" borderId="74" xfId="0" applyNumberFormat="1" applyFont="1" applyBorder="1"/>
    <xf numFmtId="3" fontId="11" fillId="0" borderId="12" xfId="0" applyNumberFormat="1" applyFont="1" applyBorder="1" applyAlignment="1">
      <alignment horizontal="left"/>
    </xf>
    <xf numFmtId="3" fontId="11" fillId="0" borderId="31" xfId="0" applyNumberFormat="1" applyFont="1" applyBorder="1" applyAlignment="1">
      <alignment horizontal="centerContinuous"/>
    </xf>
    <xf numFmtId="3" fontId="11" fillId="0" borderId="75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right"/>
    </xf>
    <xf numFmtId="3" fontId="15" fillId="0" borderId="20" xfId="0" applyNumberFormat="1" applyFont="1" applyBorder="1" applyAlignment="1">
      <alignment horizontal="right"/>
    </xf>
    <xf numFmtId="3" fontId="11" fillId="0" borderId="15" xfId="0" applyNumberFormat="1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3" fontId="12" fillId="0" borderId="11" xfId="0" applyNumberFormat="1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centerContinuous"/>
    </xf>
    <xf numFmtId="3" fontId="43" fillId="0" borderId="25" xfId="0" applyNumberFormat="1" applyFont="1" applyBorder="1" applyAlignment="1">
      <alignment horizontal="right"/>
    </xf>
    <xf numFmtId="0" fontId="11" fillId="0" borderId="18" xfId="0" applyFont="1" applyBorder="1"/>
    <xf numFmtId="3" fontId="11" fillId="0" borderId="18" xfId="0" applyNumberFormat="1" applyFont="1" applyBorder="1" applyAlignment="1">
      <alignment horizontal="right"/>
    </xf>
    <xf numFmtId="3" fontId="11" fillId="0" borderId="25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left"/>
    </xf>
    <xf numFmtId="3" fontId="12" fillId="0" borderId="32" xfId="0" applyNumberFormat="1" applyFont="1" applyBorder="1" applyAlignment="1">
      <alignment horizontal="centerContinuous"/>
    </xf>
    <xf numFmtId="3" fontId="11" fillId="0" borderId="40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centerContinuous"/>
    </xf>
    <xf numFmtId="3" fontId="12" fillId="0" borderId="19" xfId="0" applyNumberFormat="1" applyFont="1" applyBorder="1" applyAlignment="1">
      <alignment horizontal="centerContinuous"/>
    </xf>
    <xf numFmtId="3" fontId="43" fillId="0" borderId="19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Continuous"/>
    </xf>
    <xf numFmtId="3" fontId="11" fillId="0" borderId="0" xfId="0" applyNumberFormat="1" applyFont="1" applyAlignment="1">
      <alignment horizontal="centerContinuous"/>
    </xf>
    <xf numFmtId="3" fontId="11" fillId="0" borderId="19" xfId="0" applyNumberFormat="1" applyFont="1" applyBorder="1" applyAlignment="1">
      <alignment horizontal="centerContinuous"/>
    </xf>
    <xf numFmtId="3" fontId="15" fillId="0" borderId="19" xfId="0" applyNumberFormat="1" applyFont="1" applyBorder="1" applyAlignment="1">
      <alignment horizontal="right"/>
    </xf>
    <xf numFmtId="0" fontId="11" fillId="0" borderId="38" xfId="0" applyFont="1" applyBorder="1"/>
    <xf numFmtId="3" fontId="11" fillId="0" borderId="38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left"/>
    </xf>
    <xf numFmtId="3" fontId="12" fillId="0" borderId="0" xfId="0" applyNumberFormat="1" applyFont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0" fontId="12" fillId="0" borderId="0" xfId="49" applyFont="1" applyAlignment="1">
      <alignment horizontal="left"/>
    </xf>
    <xf numFmtId="3" fontId="12" fillId="0" borderId="26" xfId="0" applyNumberFormat="1" applyFont="1" applyBorder="1" applyAlignment="1">
      <alignment horizontal="center"/>
    </xf>
    <xf numFmtId="3" fontId="43" fillId="0" borderId="26" xfId="0" applyNumberFormat="1" applyFont="1" applyBorder="1" applyAlignment="1">
      <alignment horizontal="center"/>
    </xf>
    <xf numFmtId="0" fontId="11" fillId="0" borderId="46" xfId="0" applyFont="1" applyBorder="1"/>
    <xf numFmtId="3" fontId="11" fillId="0" borderId="46" xfId="0" applyNumberFormat="1" applyFont="1" applyBorder="1" applyAlignment="1">
      <alignment horizontal="right"/>
    </xf>
    <xf numFmtId="3" fontId="15" fillId="0" borderId="22" xfId="0" applyNumberFormat="1" applyFont="1" applyBorder="1"/>
    <xf numFmtId="3" fontId="11" fillId="0" borderId="13" xfId="0" applyNumberFormat="1" applyFont="1" applyBorder="1"/>
    <xf numFmtId="3" fontId="11" fillId="0" borderId="38" xfId="0" applyNumberFormat="1" applyFont="1" applyBorder="1"/>
    <xf numFmtId="3" fontId="15" fillId="0" borderId="20" xfId="0" applyNumberFormat="1" applyFont="1" applyBorder="1"/>
    <xf numFmtId="3" fontId="11" fillId="0" borderId="38" xfId="0" applyNumberFormat="1" applyFont="1" applyBorder="1" applyAlignment="1">
      <alignment horizontal="left"/>
    </xf>
    <xf numFmtId="3" fontId="11" fillId="0" borderId="18" xfId="0" applyNumberFormat="1" applyFont="1" applyBorder="1"/>
    <xf numFmtId="3" fontId="11" fillId="0" borderId="76" xfId="0" applyNumberFormat="1" applyFont="1" applyBorder="1"/>
    <xf numFmtId="3" fontId="11" fillId="0" borderId="61" xfId="0" applyNumberFormat="1" applyFont="1" applyBorder="1"/>
    <xf numFmtId="3" fontId="11" fillId="0" borderId="77" xfId="0" applyNumberFormat="1" applyFont="1" applyBorder="1"/>
    <xf numFmtId="3" fontId="11" fillId="0" borderId="25" xfId="0" applyNumberFormat="1" applyFont="1" applyBorder="1"/>
    <xf numFmtId="3" fontId="11" fillId="0" borderId="77" xfId="0" applyNumberFormat="1" applyFont="1" applyBorder="1" applyAlignment="1">
      <alignment horizontal="left"/>
    </xf>
    <xf numFmtId="3" fontId="11" fillId="0" borderId="25" xfId="0" applyNumberFormat="1" applyFont="1" applyBorder="1" applyAlignment="1">
      <alignment horizontal="left"/>
    </xf>
    <xf numFmtId="0" fontId="12" fillId="0" borderId="40" xfId="49" applyFont="1" applyBorder="1" applyAlignment="1">
      <alignment horizontal="justify"/>
    </xf>
    <xf numFmtId="3" fontId="43" fillId="0" borderId="21" xfId="49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left"/>
    </xf>
    <xf numFmtId="3" fontId="11" fillId="0" borderId="19" xfId="0" applyNumberFormat="1" applyFont="1" applyBorder="1" applyAlignment="1">
      <alignment horizontal="left"/>
    </xf>
    <xf numFmtId="0" fontId="13" fillId="0" borderId="13" xfId="0" applyFont="1" applyBorder="1"/>
    <xf numFmtId="3" fontId="15" fillId="0" borderId="36" xfId="0" applyNumberFormat="1" applyFont="1" applyBorder="1"/>
    <xf numFmtId="3" fontId="13" fillId="0" borderId="38" xfId="0" applyNumberFormat="1" applyFont="1" applyBorder="1" applyAlignment="1">
      <alignment horizontal="centerContinuous"/>
    </xf>
    <xf numFmtId="3" fontId="11" fillId="0" borderId="38" xfId="0" applyNumberFormat="1" applyFont="1" applyBorder="1" applyAlignment="1">
      <alignment horizontal="centerContinuous"/>
    </xf>
    <xf numFmtId="3" fontId="11" fillId="0" borderId="14" xfId="0" applyNumberFormat="1" applyFont="1" applyBorder="1"/>
    <xf numFmtId="3" fontId="12" fillId="0" borderId="15" xfId="0" applyNumberFormat="1" applyFont="1" applyBorder="1"/>
    <xf numFmtId="0" fontId="12" fillId="0" borderId="15" xfId="0" applyFont="1" applyBorder="1" applyAlignment="1">
      <alignment horizontal="left"/>
    </xf>
    <xf numFmtId="0" fontId="13" fillId="0" borderId="14" xfId="0" applyFont="1" applyBorder="1"/>
    <xf numFmtId="0" fontId="63" fillId="0" borderId="0" xfId="0" applyFont="1"/>
    <xf numFmtId="0" fontId="63" fillId="0" borderId="33" xfId="0" applyFont="1" applyBorder="1"/>
    <xf numFmtId="0" fontId="64" fillId="0" borderId="78" xfId="0" applyFont="1" applyBorder="1" applyAlignment="1">
      <alignment horizontal="center"/>
    </xf>
    <xf numFmtId="0" fontId="64" fillId="0" borderId="79" xfId="0" applyFont="1" applyBorder="1" applyAlignment="1">
      <alignment horizontal="center"/>
    </xf>
    <xf numFmtId="0" fontId="63" fillId="0" borderId="80" xfId="0" applyFont="1" applyBorder="1"/>
    <xf numFmtId="0" fontId="63" fillId="0" borderId="67" xfId="0" applyFont="1" applyBorder="1"/>
    <xf numFmtId="0" fontId="63" fillId="0" borderId="67" xfId="0" applyFont="1" applyBorder="1" applyAlignment="1">
      <alignment wrapText="1"/>
    </xf>
    <xf numFmtId="0" fontId="63" fillId="0" borderId="81" xfId="0" applyFont="1" applyBorder="1"/>
    <xf numFmtId="0" fontId="63" fillId="0" borderId="69" xfId="0" applyFont="1" applyBorder="1"/>
    <xf numFmtId="0" fontId="63" fillId="0" borderId="0" xfId="0" applyFont="1"/>
    <xf numFmtId="3" fontId="42" fillId="0" borderId="53" xfId="0" applyNumberFormat="1" applyFont="1" applyBorder="1" applyProtection="1">
      <protection locked="0"/>
    </xf>
    <xf numFmtId="3" fontId="42" fillId="0" borderId="23" xfId="0" applyNumberFormat="1" applyFont="1" applyBorder="1" applyProtection="1">
      <protection locked="0"/>
    </xf>
    <xf numFmtId="3" fontId="5" fillId="25" borderId="25" xfId="0" applyNumberFormat="1" applyFont="1" applyFill="1" applyBorder="1"/>
    <xf numFmtId="3" fontId="9" fillId="25" borderId="23" xfId="0" applyNumberFormat="1" applyFont="1" applyFill="1" applyBorder="1" applyAlignment="1">
      <alignment horizontal="right"/>
    </xf>
    <xf numFmtId="3" fontId="49" fillId="0" borderId="27" xfId="49" applyNumberFormat="1" applyFont="1" applyBorder="1"/>
    <xf numFmtId="3" fontId="12" fillId="27" borderId="55" xfId="49" applyNumberFormat="1" applyFont="1" applyFill="1" applyBorder="1"/>
    <xf numFmtId="3" fontId="5" fillId="0" borderId="25" xfId="0" applyNumberFormat="1" applyFont="1" applyBorder="1"/>
    <xf numFmtId="0" fontId="24" fillId="0" borderId="25" xfId="0" applyFont="1" applyBorder="1" applyAlignment="1">
      <alignment horizontal="left"/>
    </xf>
    <xf numFmtId="3" fontId="5" fillId="0" borderId="21" xfId="0" applyNumberFormat="1" applyFont="1" applyFill="1" applyBorder="1"/>
    <xf numFmtId="0" fontId="12" fillId="0" borderId="0" xfId="0" applyFont="1" applyBorder="1"/>
    <xf numFmtId="3" fontId="12" fillId="27" borderId="27" xfId="49" applyNumberFormat="1" applyFont="1" applyFill="1" applyBorder="1"/>
    <xf numFmtId="3" fontId="12" fillId="27" borderId="19" xfId="49" applyNumberFormat="1" applyFont="1" applyFill="1" applyBorder="1"/>
    <xf numFmtId="0" fontId="12" fillId="0" borderId="0" xfId="49" applyFont="1" applyFill="1" applyAlignment="1">
      <alignment horizontal="justify"/>
    </xf>
    <xf numFmtId="3" fontId="43" fillId="0" borderId="55" xfId="49" applyNumberFormat="1" applyFont="1" applyFill="1" applyBorder="1" applyAlignment="1">
      <alignment horizontal="right"/>
    </xf>
    <xf numFmtId="3" fontId="43" fillId="0" borderId="21" xfId="49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justify"/>
    </xf>
    <xf numFmtId="0" fontId="5" fillId="0" borderId="0" xfId="0" applyFont="1" applyFill="1"/>
    <xf numFmtId="3" fontId="5" fillId="25" borderId="55" xfId="0" applyNumberFormat="1" applyFont="1" applyFill="1" applyBorder="1"/>
    <xf numFmtId="0" fontId="12" fillId="28" borderId="85" xfId="0" applyFont="1" applyFill="1" applyBorder="1"/>
    <xf numFmtId="0" fontId="12" fillId="28" borderId="16" xfId="0" applyFont="1" applyFill="1" applyBorder="1"/>
    <xf numFmtId="0" fontId="13" fillId="0" borderId="13" xfId="0" applyFont="1" applyBorder="1" applyAlignment="1">
      <alignment horizontal="left"/>
    </xf>
    <xf numFmtId="0" fontId="12" fillId="0" borderId="54" xfId="0" applyFont="1" applyBorder="1"/>
    <xf numFmtId="3" fontId="12" fillId="28" borderId="21" xfId="0" applyNumberFormat="1" applyFont="1" applyFill="1" applyBorder="1" applyProtection="1">
      <protection locked="0"/>
    </xf>
    <xf numFmtId="3" fontId="12" fillId="0" borderId="21" xfId="0" applyNumberFormat="1" applyFont="1" applyFill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3" fontId="12" fillId="0" borderId="55" xfId="0" applyNumberFormat="1" applyFont="1" applyBorder="1" applyProtection="1">
      <protection locked="0"/>
    </xf>
    <xf numFmtId="0" fontId="11" fillId="0" borderId="0" xfId="49" applyFont="1" applyAlignment="1"/>
    <xf numFmtId="0" fontId="5" fillId="0" borderId="23" xfId="0" applyFont="1" applyFill="1" applyBorder="1" applyAlignment="1">
      <alignment wrapText="1"/>
    </xf>
    <xf numFmtId="3" fontId="12" fillId="0" borderId="21" xfId="0" applyNumberFormat="1" applyFont="1" applyFill="1" applyBorder="1"/>
    <xf numFmtId="3" fontId="5" fillId="0" borderId="0" xfId="0" applyNumberFormat="1" applyFont="1" applyFill="1"/>
    <xf numFmtId="3" fontId="5" fillId="0" borderId="21" xfId="0" applyNumberFormat="1" applyFont="1" applyFill="1" applyBorder="1" applyAlignment="1">
      <alignment horizontal="justify"/>
    </xf>
    <xf numFmtId="3" fontId="8" fillId="0" borderId="30" xfId="52" applyNumberFormat="1" applyFont="1" applyFill="1" applyBorder="1" applyAlignment="1">
      <alignment horizontal="justify" vertical="top" wrapText="1"/>
    </xf>
    <xf numFmtId="3" fontId="9" fillId="0" borderId="19" xfId="0" applyNumberFormat="1" applyFont="1" applyBorder="1"/>
    <xf numFmtId="3" fontId="12" fillId="27" borderId="21" xfId="49" applyNumberFormat="1" applyFont="1" applyFill="1" applyBorder="1" applyAlignment="1">
      <alignment horizontal="right"/>
    </xf>
    <xf numFmtId="3" fontId="12" fillId="0" borderId="0" xfId="49" applyNumberFormat="1" applyFont="1" applyBorder="1"/>
    <xf numFmtId="0" fontId="12" fillId="0" borderId="0" xfId="49" applyFont="1" applyBorder="1"/>
    <xf numFmtId="0" fontId="12" fillId="28" borderId="24" xfId="0" applyFont="1" applyFill="1" applyBorder="1"/>
    <xf numFmtId="0" fontId="11" fillId="0" borderId="37" xfId="0" applyFont="1" applyBorder="1" applyAlignment="1">
      <alignment horizontal="left"/>
    </xf>
    <xf numFmtId="0" fontId="5" fillId="0" borderId="0" xfId="0" applyFont="1" applyBorder="1"/>
    <xf numFmtId="0" fontId="42" fillId="0" borderId="0" xfId="0" applyFont="1" applyBorder="1" applyAlignment="1">
      <alignment horizontal="left"/>
    </xf>
    <xf numFmtId="0" fontId="45" fillId="0" borderId="40" xfId="0" applyFont="1" applyBorder="1" applyAlignment="1">
      <alignment horizontal="left"/>
    </xf>
    <xf numFmtId="0" fontId="42" fillId="0" borderId="40" xfId="0" applyFont="1" applyBorder="1" applyAlignment="1">
      <alignment horizontal="left"/>
    </xf>
    <xf numFmtId="0" fontId="12" fillId="0" borderId="0" xfId="49" applyFont="1" applyBorder="1" applyAlignment="1">
      <alignment horizontal="justify"/>
    </xf>
    <xf numFmtId="3" fontId="12" fillId="27" borderId="19" xfId="49" applyNumberFormat="1" applyFont="1" applyFill="1" applyBorder="1" applyAlignment="1">
      <alignment horizontal="right"/>
    </xf>
    <xf numFmtId="0" fontId="14" fillId="0" borderId="22" xfId="0" applyFont="1" applyBorder="1" applyAlignment="1">
      <alignment horizontal="left" wrapText="1"/>
    </xf>
    <xf numFmtId="0" fontId="42" fillId="0" borderId="11" xfId="0" applyFont="1" applyFill="1" applyBorder="1" applyProtection="1"/>
    <xf numFmtId="0" fontId="42" fillId="0" borderId="0" xfId="0" applyFont="1" applyFill="1" applyBorder="1" applyProtection="1"/>
    <xf numFmtId="3" fontId="12" fillId="0" borderId="40" xfId="0" applyNumberFormat="1" applyFont="1" applyFill="1" applyBorder="1"/>
    <xf numFmtId="0" fontId="24" fillId="0" borderId="0" xfId="0" applyFont="1" applyFill="1" applyBorder="1"/>
    <xf numFmtId="3" fontId="12" fillId="25" borderId="19" xfId="0" applyNumberFormat="1" applyFont="1" applyFill="1" applyBorder="1"/>
    <xf numFmtId="0" fontId="5" fillId="0" borderId="11" xfId="0" applyFont="1" applyFill="1" applyBorder="1" applyAlignment="1">
      <alignment horizontal="justify"/>
    </xf>
    <xf numFmtId="3" fontId="5" fillId="0" borderId="19" xfId="0" applyNumberFormat="1" applyFont="1" applyFill="1" applyBorder="1"/>
    <xf numFmtId="0" fontId="50" fillId="0" borderId="51" xfId="0" applyFont="1" applyBorder="1"/>
    <xf numFmtId="3" fontId="50" fillId="0" borderId="53" xfId="0" applyNumberFormat="1" applyFont="1" applyBorder="1"/>
    <xf numFmtId="3" fontId="12" fillId="0" borderId="41" xfId="0" applyNumberFormat="1" applyFont="1" applyBorder="1" applyProtection="1">
      <protection locked="0"/>
    </xf>
    <xf numFmtId="3" fontId="8" fillId="0" borderId="11" xfId="52" applyNumberFormat="1" applyFont="1" applyBorder="1" applyAlignment="1">
      <alignment horizontal="justify" vertical="top" wrapText="1"/>
    </xf>
    <xf numFmtId="0" fontId="26" fillId="0" borderId="23" xfId="0" applyFont="1" applyBorder="1"/>
    <xf numFmtId="3" fontId="45" fillId="0" borderId="0" xfId="0" applyNumberFormat="1" applyFont="1" applyBorder="1"/>
    <xf numFmtId="3" fontId="5" fillId="25" borderId="23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justify"/>
    </xf>
    <xf numFmtId="3" fontId="5" fillId="0" borderId="23" xfId="0" applyNumberFormat="1" applyFont="1" applyFill="1" applyBorder="1"/>
    <xf numFmtId="0" fontId="5" fillId="25" borderId="11" xfId="0" applyFont="1" applyFill="1" applyBorder="1" applyAlignment="1">
      <alignment horizontal="left"/>
    </xf>
    <xf numFmtId="3" fontId="12" fillId="25" borderId="19" xfId="0" applyNumberFormat="1" applyFont="1" applyFill="1" applyBorder="1" applyProtection="1">
      <protection locked="0"/>
    </xf>
    <xf numFmtId="0" fontId="12" fillId="0" borderId="16" xfId="0" applyFont="1" applyBorder="1" applyAlignment="1">
      <alignment wrapText="1"/>
    </xf>
    <xf numFmtId="0" fontId="12" fillId="0" borderId="16" xfId="0" applyFont="1" applyFill="1" applyBorder="1"/>
    <xf numFmtId="0" fontId="66" fillId="0" borderId="0" xfId="57" applyFont="1"/>
    <xf numFmtId="0" fontId="67" fillId="0" borderId="0" xfId="58" applyFont="1"/>
    <xf numFmtId="0" fontId="60" fillId="0" borderId="0" xfId="57" applyFont="1" applyAlignment="1">
      <alignment horizontal="center"/>
    </xf>
    <xf numFmtId="0" fontId="11" fillId="0" borderId="0" xfId="57" applyFont="1"/>
    <xf numFmtId="0" fontId="59" fillId="0" borderId="0" xfId="58"/>
    <xf numFmtId="0" fontId="66" fillId="0" borderId="25" xfId="57" applyFont="1" applyBorder="1"/>
    <xf numFmtId="0" fontId="69" fillId="0" borderId="0" xfId="58" applyFont="1"/>
    <xf numFmtId="3" fontId="66" fillId="0" borderId="19" xfId="59" applyNumberFormat="1" applyFont="1" applyBorder="1" applyAlignment="1">
      <alignment horizontal="center"/>
    </xf>
    <xf numFmtId="4" fontId="66" fillId="0" borderId="37" xfId="57" applyNumberFormat="1" applyFont="1" applyBorder="1" applyAlignment="1">
      <alignment horizontal="center"/>
    </xf>
    <xf numFmtId="3" fontId="66" fillId="0" borderId="26" xfId="59" applyNumberFormat="1" applyFont="1" applyBorder="1" applyAlignment="1">
      <alignment horizontal="left"/>
    </xf>
    <xf numFmtId="4" fontId="66" fillId="0" borderId="26" xfId="57" applyNumberFormat="1" applyFont="1" applyBorder="1" applyAlignment="1">
      <alignment horizontal="center"/>
    </xf>
    <xf numFmtId="3" fontId="66" fillId="0" borderId="26" xfId="57" applyNumberFormat="1" applyFont="1" applyBorder="1" applyAlignment="1">
      <alignment horizontal="center"/>
    </xf>
    <xf numFmtId="4" fontId="66" fillId="0" borderId="20" xfId="57" applyNumberFormat="1" applyFont="1" applyBorder="1" applyAlignment="1">
      <alignment horizontal="center"/>
    </xf>
    <xf numFmtId="3" fontId="66" fillId="0" borderId="20" xfId="57" applyNumberFormat="1" applyFont="1" applyBorder="1" applyAlignment="1">
      <alignment horizontal="center"/>
    </xf>
    <xf numFmtId="4" fontId="70" fillId="0" borderId="19" xfId="57" applyNumberFormat="1" applyFont="1" applyBorder="1" applyAlignment="1">
      <alignment horizontal="center"/>
    </xf>
    <xf numFmtId="4" fontId="15" fillId="0" borderId="56" xfId="57" applyNumberFormat="1" applyFont="1" applyBorder="1" applyAlignment="1">
      <alignment horizontal="justify"/>
    </xf>
    <xf numFmtId="0" fontId="60" fillId="0" borderId="25" xfId="57" applyFont="1" applyBorder="1" applyAlignment="1">
      <alignment horizontal="center" vertical="center" wrapText="1"/>
    </xf>
    <xf numFmtId="0" fontId="60" fillId="0" borderId="56" xfId="57" applyFont="1" applyBorder="1" applyAlignment="1">
      <alignment horizontal="center" vertical="center" wrapText="1"/>
    </xf>
    <xf numFmtId="0" fontId="15" fillId="0" borderId="0" xfId="57" applyFont="1" applyAlignment="1">
      <alignment horizontal="justify"/>
    </xf>
    <xf numFmtId="0" fontId="59" fillId="0" borderId="0" xfId="58" applyAlignment="1">
      <alignment horizontal="justify"/>
    </xf>
    <xf numFmtId="3" fontId="71" fillId="0" borderId="53" xfId="0" applyNumberFormat="1" applyFont="1" applyBorder="1" applyAlignment="1">
      <alignment horizontal="left"/>
    </xf>
    <xf numFmtId="4" fontId="68" fillId="0" borderId="37" xfId="57" applyNumberFormat="1" applyFont="1" applyBorder="1"/>
    <xf numFmtId="3" fontId="68" fillId="0" borderId="37" xfId="57" applyNumberFormat="1" applyFont="1" applyBorder="1"/>
    <xf numFmtId="4" fontId="68" fillId="0" borderId="19" xfId="57" applyNumberFormat="1" applyFont="1" applyBorder="1"/>
    <xf numFmtId="0" fontId="15" fillId="0" borderId="0" xfId="57" applyFont="1"/>
    <xf numFmtId="3" fontId="71" fillId="0" borderId="34" xfId="0" applyNumberFormat="1" applyFont="1" applyBorder="1" applyAlignment="1">
      <alignment horizontal="left"/>
    </xf>
    <xf numFmtId="4" fontId="68" fillId="0" borderId="34" xfId="57" applyNumberFormat="1" applyFont="1" applyBorder="1"/>
    <xf numFmtId="3" fontId="68" fillId="0" borderId="84" xfId="57" applyNumberFormat="1" applyFont="1" applyBorder="1"/>
    <xf numFmtId="4" fontId="68" fillId="0" borderId="28" xfId="57" applyNumberFormat="1" applyFont="1" applyBorder="1"/>
    <xf numFmtId="4" fontId="68" fillId="0" borderId="84" xfId="57" applyNumberFormat="1" applyFont="1" applyBorder="1"/>
    <xf numFmtId="3" fontId="68" fillId="0" borderId="83" xfId="57" applyNumberFormat="1" applyFont="1" applyBorder="1"/>
    <xf numFmtId="4" fontId="60" fillId="0" borderId="83" xfId="57" applyNumberFormat="1" applyFont="1" applyBorder="1"/>
    <xf numFmtId="4" fontId="60" fillId="0" borderId="34" xfId="57" applyNumberFormat="1" applyFont="1" applyBorder="1"/>
    <xf numFmtId="4" fontId="68" fillId="0" borderId="83" xfId="57" applyNumberFormat="1" applyFont="1" applyBorder="1"/>
    <xf numFmtId="4" fontId="68" fillId="0" borderId="84" xfId="57" applyNumberFormat="1" applyFont="1" applyBorder="1" applyAlignment="1">
      <alignment horizontal="justify"/>
    </xf>
    <xf numFmtId="4" fontId="68" fillId="0" borderId="28" xfId="57" applyNumberFormat="1" applyFont="1" applyBorder="1" applyAlignment="1">
      <alignment horizontal="justify"/>
    </xf>
    <xf numFmtId="4" fontId="72" fillId="0" borderId="34" xfId="57" applyNumberFormat="1" applyFont="1" applyBorder="1"/>
    <xf numFmtId="3" fontId="68" fillId="0" borderId="34" xfId="57" applyNumberFormat="1" applyFont="1" applyBorder="1"/>
    <xf numFmtId="4" fontId="68" fillId="0" borderId="53" xfId="57" applyNumberFormat="1" applyFont="1" applyBorder="1"/>
    <xf numFmtId="4" fontId="68" fillId="0" borderId="82" xfId="57" applyNumberFormat="1" applyFont="1" applyBorder="1"/>
    <xf numFmtId="3" fontId="68" fillId="0" borderId="82" xfId="57" applyNumberFormat="1" applyFont="1" applyBorder="1"/>
    <xf numFmtId="3" fontId="71" fillId="0" borderId="19" xfId="0" applyNumberFormat="1" applyFont="1" applyBorder="1" applyAlignment="1">
      <alignment horizontal="left"/>
    </xf>
    <xf numFmtId="4" fontId="72" fillId="0" borderId="26" xfId="57" applyNumberFormat="1" applyFont="1" applyBorder="1"/>
    <xf numFmtId="4" fontId="68" fillId="0" borderId="26" xfId="57" applyNumberFormat="1" applyFont="1" applyBorder="1"/>
    <xf numFmtId="4" fontId="66" fillId="0" borderId="20" xfId="57" applyNumberFormat="1" applyFont="1" applyBorder="1"/>
    <xf numFmtId="4" fontId="68" fillId="0" borderId="20" xfId="57" applyNumberFormat="1" applyFont="1" applyBorder="1"/>
    <xf numFmtId="3" fontId="68" fillId="0" borderId="20" xfId="57" applyNumberFormat="1" applyFont="1" applyBorder="1"/>
    <xf numFmtId="4" fontId="68" fillId="0" borderId="36" xfId="57" applyNumberFormat="1" applyFont="1" applyBorder="1"/>
    <xf numFmtId="3" fontId="68" fillId="0" borderId="36" xfId="57" applyNumberFormat="1" applyFont="1" applyBorder="1"/>
    <xf numFmtId="4" fontId="70" fillId="0" borderId="25" xfId="57" applyNumberFormat="1" applyFont="1" applyBorder="1" applyAlignment="1">
      <alignment horizontal="center"/>
    </xf>
    <xf numFmtId="4" fontId="68" fillId="0" borderId="25" xfId="57" applyNumberFormat="1" applyFont="1" applyBorder="1"/>
    <xf numFmtId="4" fontId="68" fillId="0" borderId="0" xfId="57" applyNumberFormat="1" applyFont="1"/>
    <xf numFmtId="3" fontId="68" fillId="0" borderId="53" xfId="57" applyNumberFormat="1" applyFont="1" applyBorder="1"/>
    <xf numFmtId="3" fontId="68" fillId="0" borderId="0" xfId="57" applyNumberFormat="1" applyFont="1"/>
    <xf numFmtId="3" fontId="68" fillId="0" borderId="46" xfId="57" applyNumberFormat="1" applyFont="1" applyBorder="1"/>
    <xf numFmtId="4" fontId="68" fillId="0" borderId="43" xfId="57" applyNumberFormat="1" applyFont="1" applyBorder="1"/>
    <xf numFmtId="3" fontId="71" fillId="0" borderId="22" xfId="0" applyNumberFormat="1" applyFont="1" applyBorder="1" applyAlignment="1">
      <alignment horizontal="left"/>
    </xf>
    <xf numFmtId="4" fontId="68" fillId="0" borderId="22" xfId="57" applyNumberFormat="1" applyFont="1" applyBorder="1"/>
    <xf numFmtId="4" fontId="68" fillId="0" borderId="56" xfId="57" applyNumberFormat="1" applyFont="1" applyBorder="1"/>
    <xf numFmtId="3" fontId="71" fillId="0" borderId="21" xfId="0" applyNumberFormat="1" applyFont="1" applyBorder="1" applyAlignment="1">
      <alignment horizontal="left" wrapText="1"/>
    </xf>
    <xf numFmtId="3" fontId="72" fillId="0" borderId="37" xfId="57" applyNumberFormat="1" applyFont="1" applyBorder="1"/>
    <xf numFmtId="3" fontId="71" fillId="0" borderId="21" xfId="0" applyNumberFormat="1" applyFont="1" applyBorder="1" applyAlignment="1">
      <alignment horizontal="left"/>
    </xf>
    <xf numFmtId="3" fontId="68" fillId="0" borderId="57" xfId="57" applyNumberFormat="1" applyFont="1" applyBorder="1"/>
    <xf numFmtId="4" fontId="68" fillId="0" borderId="57" xfId="57" applyNumberFormat="1" applyFont="1" applyBorder="1"/>
    <xf numFmtId="4" fontId="72" fillId="0" borderId="37" xfId="57" applyNumberFormat="1" applyFont="1" applyBorder="1"/>
    <xf numFmtId="0" fontId="71" fillId="0" borderId="34" xfId="0" applyFont="1" applyBorder="1" applyAlignment="1">
      <alignment horizontal="left"/>
    </xf>
    <xf numFmtId="4" fontId="66" fillId="0" borderId="26" xfId="57" applyNumberFormat="1" applyFont="1" applyBorder="1"/>
    <xf numFmtId="4" fontId="66" fillId="0" borderId="26" xfId="57" applyNumberFormat="1" applyFont="1" applyBorder="1" applyAlignment="1">
      <alignment horizontal="left"/>
    </xf>
    <xf numFmtId="0" fontId="73" fillId="0" borderId="0" xfId="58" applyFont="1"/>
    <xf numFmtId="0" fontId="74" fillId="0" borderId="0" xfId="47" applyFont="1"/>
    <xf numFmtId="3" fontId="74" fillId="0" borderId="0" xfId="47" applyNumberFormat="1" applyFont="1"/>
    <xf numFmtId="3" fontId="74" fillId="0" borderId="0" xfId="47" applyNumberFormat="1" applyFont="1" applyAlignment="1">
      <alignment horizontal="right"/>
    </xf>
    <xf numFmtId="3" fontId="74" fillId="0" borderId="0" xfId="47" applyNumberFormat="1" applyFont="1" applyAlignment="1">
      <alignment horizontal="center"/>
    </xf>
    <xf numFmtId="3" fontId="74" fillId="0" borderId="25" xfId="47" applyNumberFormat="1" applyFont="1" applyBorder="1" applyAlignment="1">
      <alignment horizontal="center" vertical="center" wrapText="1"/>
    </xf>
    <xf numFmtId="3" fontId="74" fillId="0" borderId="10" xfId="47" applyNumberFormat="1" applyFont="1" applyBorder="1" applyAlignment="1">
      <alignment horizontal="center" vertical="center" wrapText="1"/>
    </xf>
    <xf numFmtId="3" fontId="74" fillId="0" borderId="0" xfId="47" applyNumberFormat="1" applyFont="1" applyAlignment="1">
      <alignment horizontal="justify"/>
    </xf>
    <xf numFmtId="3" fontId="74" fillId="0" borderId="19" xfId="47" applyNumberFormat="1" applyFont="1" applyBorder="1" applyAlignment="1">
      <alignment horizontal="center" vertical="center" wrapText="1"/>
    </xf>
    <xf numFmtId="3" fontId="74" fillId="0" borderId="14" xfId="47" applyNumberFormat="1" applyFont="1" applyBorder="1"/>
    <xf numFmtId="3" fontId="74" fillId="0" borderId="15" xfId="47" applyNumberFormat="1" applyFont="1" applyBorder="1"/>
    <xf numFmtId="3" fontId="74" fillId="0" borderId="57" xfId="47" applyNumberFormat="1" applyFont="1" applyBorder="1"/>
    <xf numFmtId="3" fontId="74" fillId="0" borderId="15" xfId="47" applyNumberFormat="1" applyFont="1" applyBorder="1" applyAlignment="1">
      <alignment horizontal="center"/>
    </xf>
    <xf numFmtId="3" fontId="74" fillId="0" borderId="11" xfId="47" applyNumberFormat="1" applyFont="1" applyBorder="1" applyAlignment="1">
      <alignment horizontal="center" vertical="center" wrapText="1"/>
    </xf>
    <xf numFmtId="3" fontId="74" fillId="0" borderId="26" xfId="47" applyNumberFormat="1" applyFont="1" applyBorder="1" applyAlignment="1">
      <alignment vertical="center" wrapText="1"/>
    </xf>
    <xf numFmtId="3" fontId="76" fillId="0" borderId="26" xfId="47" applyNumberFormat="1" applyFont="1" applyBorder="1" applyAlignment="1">
      <alignment horizontal="center" wrapText="1"/>
    </xf>
    <xf numFmtId="3" fontId="74" fillId="0" borderId="25" xfId="47" applyNumberFormat="1" applyFont="1" applyBorder="1" applyAlignment="1">
      <alignment horizontal="center" vertical="center"/>
    </xf>
    <xf numFmtId="3" fontId="74" fillId="0" borderId="25" xfId="47" applyNumberFormat="1" applyFont="1" applyBorder="1" applyAlignment="1">
      <alignment horizontal="right"/>
    </xf>
    <xf numFmtId="3" fontId="74" fillId="0" borderId="25" xfId="47" applyNumberFormat="1" applyFont="1" applyBorder="1" applyAlignment="1">
      <alignment horizontal="center"/>
    </xf>
    <xf numFmtId="3" fontId="74" fillId="0" borderId="53" xfId="47" applyNumberFormat="1" applyFont="1" applyBorder="1" applyAlignment="1">
      <alignment horizontal="left"/>
    </xf>
    <xf numFmtId="3" fontId="74" fillId="0" borderId="53" xfId="47" applyNumberFormat="1" applyFont="1" applyBorder="1" applyAlignment="1">
      <alignment horizontal="right"/>
    </xf>
    <xf numFmtId="3" fontId="74" fillId="0" borderId="34" xfId="47" applyNumberFormat="1" applyFont="1" applyBorder="1" applyAlignment="1">
      <alignment horizontal="left"/>
    </xf>
    <xf numFmtId="3" fontId="74" fillId="0" borderId="53" xfId="47" applyNumberFormat="1" applyFont="1" applyBorder="1" applyAlignment="1">
      <alignment horizontal="center"/>
    </xf>
    <xf numFmtId="3" fontId="74" fillId="0" borderId="53" xfId="47" applyNumberFormat="1" applyFont="1" applyBorder="1"/>
    <xf numFmtId="3" fontId="74" fillId="0" borderId="22" xfId="47" applyNumberFormat="1" applyFont="1" applyBorder="1" applyAlignment="1">
      <alignment horizontal="left"/>
    </xf>
    <xf numFmtId="3" fontId="74" fillId="0" borderId="19" xfId="47" applyNumberFormat="1" applyFont="1" applyBorder="1" applyAlignment="1">
      <alignment horizontal="right"/>
    </xf>
    <xf numFmtId="3" fontId="74" fillId="0" borderId="22" xfId="47" applyNumberFormat="1" applyFont="1" applyBorder="1" applyAlignment="1">
      <alignment horizontal="right"/>
    </xf>
    <xf numFmtId="3" fontId="74" fillId="0" borderId="14" xfId="47" applyNumberFormat="1" applyFont="1" applyBorder="1" applyAlignment="1">
      <alignment horizontal="left"/>
    </xf>
    <xf numFmtId="3" fontId="74" fillId="0" borderId="20" xfId="47" applyNumberFormat="1" applyFont="1" applyBorder="1" applyAlignment="1">
      <alignment horizontal="right"/>
    </xf>
    <xf numFmtId="3" fontId="74" fillId="0" borderId="14" xfId="47" applyNumberFormat="1" applyFont="1" applyBorder="1" applyAlignment="1">
      <alignment horizontal="right"/>
    </xf>
    <xf numFmtId="3" fontId="74" fillId="0" borderId="12" xfId="47" applyNumberFormat="1" applyFont="1" applyBorder="1" applyAlignment="1">
      <alignment horizontal="left"/>
    </xf>
    <xf numFmtId="3" fontId="74" fillId="0" borderId="13" xfId="47" applyNumberFormat="1" applyFont="1" applyBorder="1" applyAlignment="1">
      <alignment horizontal="right"/>
    </xf>
    <xf numFmtId="3" fontId="74" fillId="0" borderId="19" xfId="47" applyNumberFormat="1" applyFont="1" applyBorder="1" applyAlignment="1">
      <alignment horizontal="center" vertical="center"/>
    </xf>
    <xf numFmtId="3" fontId="77" fillId="0" borderId="19" xfId="47" applyNumberFormat="1" applyFont="1" applyBorder="1" applyAlignment="1">
      <alignment horizontal="center"/>
    </xf>
    <xf numFmtId="3" fontId="74" fillId="0" borderId="19" xfId="47" applyNumberFormat="1" applyFont="1" applyBorder="1" applyAlignment="1">
      <alignment horizontal="left"/>
    </xf>
    <xf numFmtId="3" fontId="74" fillId="0" borderId="34" xfId="47" applyNumberFormat="1" applyFont="1" applyBorder="1" applyAlignment="1">
      <alignment horizontal="right"/>
    </xf>
    <xf numFmtId="3" fontId="74" fillId="0" borderId="28" xfId="47" applyNumberFormat="1" applyFont="1" applyBorder="1" applyAlignment="1">
      <alignment horizontal="right"/>
    </xf>
    <xf numFmtId="3" fontId="74" fillId="0" borderId="20" xfId="47" applyNumberFormat="1" applyFont="1" applyBorder="1" applyAlignment="1">
      <alignment horizontal="left"/>
    </xf>
    <xf numFmtId="3" fontId="77" fillId="0" borderId="25" xfId="47" applyNumberFormat="1" applyFont="1" applyBorder="1" applyAlignment="1">
      <alignment horizontal="center"/>
    </xf>
    <xf numFmtId="3" fontId="74" fillId="0" borderId="19" xfId="47" applyNumberFormat="1" applyFont="1" applyBorder="1" applyAlignment="1">
      <alignment horizontal="justify"/>
    </xf>
    <xf numFmtId="3" fontId="74" fillId="0" borderId="26" xfId="47" applyNumberFormat="1" applyFont="1" applyBorder="1" applyAlignment="1">
      <alignment horizontal="right"/>
    </xf>
    <xf numFmtId="3" fontId="74" fillId="0" borderId="10" xfId="47" applyNumberFormat="1" applyFont="1" applyBorder="1" applyAlignment="1">
      <alignment horizontal="right"/>
    </xf>
    <xf numFmtId="3" fontId="74" fillId="0" borderId="56" xfId="47" applyNumberFormat="1" applyFont="1" applyBorder="1" applyAlignment="1">
      <alignment horizontal="right"/>
    </xf>
    <xf numFmtId="3" fontId="74" fillId="0" borderId="21" xfId="47" applyNumberFormat="1" applyFont="1" applyBorder="1" applyAlignment="1">
      <alignment horizontal="left"/>
    </xf>
    <xf numFmtId="3" fontId="74" fillId="0" borderId="57" xfId="47" applyNumberFormat="1" applyFont="1" applyBorder="1" applyAlignment="1">
      <alignment horizontal="right"/>
    </xf>
    <xf numFmtId="3" fontId="74" fillId="0" borderId="26" xfId="47" applyNumberFormat="1" applyFont="1" applyBorder="1" applyAlignment="1">
      <alignment horizontal="left"/>
    </xf>
    <xf numFmtId="3" fontId="74" fillId="0" borderId="11" xfId="47" applyNumberFormat="1" applyFont="1" applyBorder="1" applyAlignment="1">
      <alignment horizontal="right"/>
    </xf>
    <xf numFmtId="3" fontId="74" fillId="0" borderId="37" xfId="47" applyNumberFormat="1" applyFont="1" applyBorder="1" applyAlignment="1">
      <alignment horizontal="right"/>
    </xf>
    <xf numFmtId="3" fontId="74" fillId="0" borderId="53" xfId="47" applyNumberFormat="1" applyFont="1" applyBorder="1" applyAlignment="1">
      <alignment horizontal="justify"/>
    </xf>
    <xf numFmtId="3" fontId="74" fillId="0" borderId="66" xfId="47" applyNumberFormat="1" applyFont="1" applyBorder="1" applyAlignment="1">
      <alignment horizontal="right"/>
    </xf>
    <xf numFmtId="3" fontId="74" fillId="0" borderId="34" xfId="47" applyNumberFormat="1" applyFont="1" applyBorder="1" applyAlignment="1">
      <alignment horizontal="left" vertical="center"/>
    </xf>
    <xf numFmtId="3" fontId="74" fillId="0" borderId="46" xfId="47" applyNumberFormat="1" applyFont="1" applyBorder="1" applyAlignment="1">
      <alignment horizontal="right"/>
    </xf>
    <xf numFmtId="3" fontId="74" fillId="0" borderId="22" xfId="47" applyNumberFormat="1" applyFont="1" applyBorder="1" applyAlignment="1">
      <alignment horizontal="left" vertical="center"/>
    </xf>
    <xf numFmtId="3" fontId="74" fillId="0" borderId="31" xfId="47" applyNumberFormat="1" applyFont="1" applyBorder="1" applyAlignment="1">
      <alignment horizontal="right"/>
    </xf>
    <xf numFmtId="3" fontId="74" fillId="0" borderId="20" xfId="47" applyNumberFormat="1" applyFont="1" applyBorder="1" applyAlignment="1">
      <alignment horizontal="left" vertical="center"/>
    </xf>
    <xf numFmtId="3" fontId="74" fillId="0" borderId="26" xfId="47" applyNumberFormat="1" applyFont="1" applyBorder="1" applyAlignment="1">
      <alignment horizontal="left" vertical="center"/>
    </xf>
    <xf numFmtId="3" fontId="74" fillId="0" borderId="15" xfId="47" applyNumberFormat="1" applyFont="1" applyBorder="1" applyAlignment="1">
      <alignment horizontal="right"/>
    </xf>
    <xf numFmtId="3" fontId="78" fillId="0" borderId="0" xfId="47" applyNumberFormat="1" applyFont="1" applyAlignment="1">
      <alignment horizontal="right"/>
    </xf>
    <xf numFmtId="3" fontId="79" fillId="0" borderId="0" xfId="47" applyNumberFormat="1" applyFont="1"/>
    <xf numFmtId="3" fontId="78" fillId="0" borderId="0" xfId="47" applyNumberFormat="1" applyFont="1"/>
    <xf numFmtId="3" fontId="79" fillId="0" borderId="0" xfId="47" applyNumberFormat="1" applyFont="1" applyAlignment="1">
      <alignment horizontal="center"/>
    </xf>
    <xf numFmtId="3" fontId="79" fillId="0" borderId="0" xfId="47" applyNumberFormat="1" applyFont="1" applyAlignment="1">
      <alignment horizontal="justify"/>
    </xf>
    <xf numFmtId="3" fontId="74" fillId="0" borderId="26" xfId="47" applyNumberFormat="1" applyFont="1" applyBorder="1" applyAlignment="1">
      <alignment vertical="center"/>
    </xf>
    <xf numFmtId="3" fontId="79" fillId="0" borderId="25" xfId="47" applyNumberFormat="1" applyFont="1" applyBorder="1" applyAlignment="1">
      <alignment horizontal="right"/>
    </xf>
    <xf numFmtId="3" fontId="79" fillId="0" borderId="25" xfId="47" applyNumberFormat="1" applyFont="1" applyBorder="1" applyAlignment="1">
      <alignment horizontal="center" vertical="center"/>
    </xf>
    <xf numFmtId="3" fontId="79" fillId="0" borderId="53" xfId="47" applyNumberFormat="1" applyFont="1" applyBorder="1" applyAlignment="1">
      <alignment horizontal="right"/>
    </xf>
    <xf numFmtId="3" fontId="79" fillId="0" borderId="53" xfId="47" applyNumberFormat="1" applyFont="1" applyBorder="1"/>
    <xf numFmtId="3" fontId="79" fillId="0" borderId="19" xfId="47" applyNumberFormat="1" applyFont="1" applyBorder="1" applyAlignment="1">
      <alignment horizontal="right"/>
    </xf>
    <xf numFmtId="3" fontId="79" fillId="0" borderId="22" xfId="47" applyNumberFormat="1" applyFont="1" applyBorder="1" applyAlignment="1">
      <alignment horizontal="right"/>
    </xf>
    <xf numFmtId="3" fontId="79" fillId="0" borderId="20" xfId="47" applyNumberFormat="1" applyFont="1" applyBorder="1" applyAlignment="1">
      <alignment horizontal="right"/>
    </xf>
    <xf numFmtId="3" fontId="79" fillId="0" borderId="26" xfId="47" applyNumberFormat="1" applyFont="1" applyBorder="1" applyAlignment="1">
      <alignment horizontal="right"/>
    </xf>
    <xf numFmtId="3" fontId="79" fillId="0" borderId="34" xfId="47" applyNumberFormat="1" applyFont="1" applyBorder="1" applyAlignment="1">
      <alignment horizontal="right"/>
    </xf>
    <xf numFmtId="3" fontId="80" fillId="0" borderId="53" xfId="47" applyNumberFormat="1" applyFont="1" applyBorder="1" applyAlignment="1">
      <alignment horizontal="right"/>
    </xf>
    <xf numFmtId="3" fontId="79" fillId="0" borderId="46" xfId="47" applyNumberFormat="1" applyFont="1" applyBorder="1" applyAlignment="1">
      <alignment horizontal="right"/>
    </xf>
    <xf numFmtId="3" fontId="79" fillId="0" borderId="34" xfId="47" applyNumberFormat="1" applyFont="1" applyBorder="1" applyAlignment="1">
      <alignment horizontal="right" vertical="center"/>
    </xf>
    <xf numFmtId="3" fontId="79" fillId="0" borderId="31" xfId="47" applyNumberFormat="1" applyFont="1" applyBorder="1" applyAlignment="1">
      <alignment horizontal="right"/>
    </xf>
    <xf numFmtId="3" fontId="79" fillId="0" borderId="22" xfId="47" applyNumberFormat="1" applyFont="1" applyBorder="1" applyAlignment="1">
      <alignment horizontal="right" vertical="center"/>
    </xf>
    <xf numFmtId="0" fontId="5" fillId="0" borderId="0" xfId="60" applyFont="1"/>
    <xf numFmtId="0" fontId="5" fillId="0" borderId="0" xfId="60" applyFont="1" applyAlignment="1">
      <alignment horizontal="center"/>
    </xf>
    <xf numFmtId="0" fontId="5" fillId="0" borderId="0" xfId="60" applyFont="1" applyAlignment="1">
      <alignment horizontal="right"/>
    </xf>
    <xf numFmtId="0" fontId="4" fillId="0" borderId="10" xfId="60" applyFont="1" applyBorder="1" applyAlignment="1">
      <alignment horizontal="center"/>
    </xf>
    <xf numFmtId="0" fontId="4" fillId="0" borderId="25" xfId="60" applyFont="1" applyBorder="1" applyAlignment="1">
      <alignment horizontal="center"/>
    </xf>
    <xf numFmtId="0" fontId="5" fillId="0" borderId="11" xfId="60" applyFont="1" applyBorder="1"/>
    <xf numFmtId="3" fontId="4" fillId="0" borderId="19" xfId="61" applyNumberFormat="1" applyFont="1" applyBorder="1" applyAlignment="1">
      <alignment horizontal="center"/>
    </xf>
    <xf numFmtId="0" fontId="5" fillId="0" borderId="14" xfId="60" applyFont="1" applyBorder="1"/>
    <xf numFmtId="14" fontId="4" fillId="0" borderId="26" xfId="61" applyNumberFormat="1" applyFont="1" applyBorder="1" applyAlignment="1">
      <alignment horizontal="center"/>
    </xf>
    <xf numFmtId="0" fontId="6" fillId="0" borderId="11" xfId="60" applyFont="1" applyBorder="1"/>
    <xf numFmtId="3" fontId="43" fillId="0" borderId="25" xfId="61" applyNumberFormat="1" applyFont="1" applyBorder="1" applyAlignment="1">
      <alignment horizontal="right"/>
    </xf>
    <xf numFmtId="0" fontId="5" fillId="29" borderId="11" xfId="60" applyFont="1" applyFill="1" applyBorder="1" applyAlignment="1">
      <alignment horizontal="justify"/>
    </xf>
    <xf numFmtId="3" fontId="43" fillId="29" borderId="19" xfId="60" applyNumberFormat="1" applyFont="1" applyFill="1" applyBorder="1" applyAlignment="1">
      <alignment horizontal="right"/>
    </xf>
    <xf numFmtId="0" fontId="5" fillId="29" borderId="12" xfId="60" applyFont="1" applyFill="1" applyBorder="1" applyAlignment="1">
      <alignment horizontal="justify"/>
    </xf>
    <xf numFmtId="3" fontId="43" fillId="29" borderId="22" xfId="60" applyNumberFormat="1" applyFont="1" applyFill="1" applyBorder="1" applyAlignment="1">
      <alignment horizontal="right"/>
    </xf>
    <xf numFmtId="0" fontId="4" fillId="0" borderId="13" xfId="60" applyFont="1" applyBorder="1" applyAlignment="1">
      <alignment horizontal="justify"/>
    </xf>
    <xf numFmtId="3" fontId="15" fillId="0" borderId="20" xfId="60" applyNumberFormat="1" applyFont="1" applyBorder="1" applyAlignment="1">
      <alignment horizontal="right"/>
    </xf>
    <xf numFmtId="3" fontId="5" fillId="0" borderId="0" xfId="60" applyNumberFormat="1" applyFont="1"/>
    <xf numFmtId="0" fontId="4" fillId="0" borderId="0" xfId="60" applyFont="1"/>
    <xf numFmtId="0" fontId="6" fillId="0" borderId="10" xfId="60" applyFont="1" applyBorder="1" applyAlignment="1">
      <alignment horizontal="justify"/>
    </xf>
    <xf numFmtId="3" fontId="43" fillId="0" borderId="25" xfId="60" applyNumberFormat="1" applyFont="1" applyBorder="1" applyAlignment="1">
      <alignment horizontal="right"/>
    </xf>
    <xf numFmtId="0" fontId="26" fillId="0" borderId="11" xfId="60" applyFont="1" applyBorder="1" applyAlignment="1">
      <alignment horizontal="justify"/>
    </xf>
    <xf numFmtId="3" fontId="43" fillId="0" borderId="19" xfId="60" applyNumberFormat="1" applyFont="1" applyBorder="1" applyAlignment="1">
      <alignment horizontal="right"/>
    </xf>
    <xf numFmtId="0" fontId="5" fillId="0" borderId="58" xfId="60" applyFont="1" applyBorder="1" applyAlignment="1">
      <alignment horizontal="justify"/>
    </xf>
    <xf numFmtId="3" fontId="43" fillId="0" borderId="53" xfId="60" applyNumberFormat="1" applyFont="1" applyBorder="1" applyAlignment="1">
      <alignment horizontal="right"/>
    </xf>
    <xf numFmtId="0" fontId="26" fillId="0" borderId="58" xfId="60" applyFont="1" applyBorder="1" applyAlignment="1">
      <alignment horizontal="justify"/>
    </xf>
    <xf numFmtId="0" fontId="26" fillId="0" borderId="58" xfId="60" applyFont="1" applyBorder="1" applyAlignment="1">
      <alignment wrapText="1"/>
    </xf>
    <xf numFmtId="0" fontId="26" fillId="0" borderId="11" xfId="60" applyFont="1" applyBorder="1" applyAlignment="1">
      <alignment wrapText="1"/>
    </xf>
    <xf numFmtId="0" fontId="14" fillId="29" borderId="13" xfId="60" applyFont="1" applyFill="1" applyBorder="1" applyAlignment="1">
      <alignment horizontal="justify"/>
    </xf>
    <xf numFmtId="3" fontId="15" fillId="29" borderId="20" xfId="60" applyNumberFormat="1" applyFont="1" applyFill="1" applyBorder="1" applyAlignment="1">
      <alignment horizontal="right"/>
    </xf>
    <xf numFmtId="0" fontId="6" fillId="0" borderId="25" xfId="60" applyFont="1" applyBorder="1" applyAlignment="1">
      <alignment horizontal="justify"/>
    </xf>
    <xf numFmtId="3" fontId="15" fillId="0" borderId="25" xfId="60" applyNumberFormat="1" applyFont="1" applyBorder="1" applyAlignment="1">
      <alignment horizontal="right"/>
    </xf>
    <xf numFmtId="0" fontId="6" fillId="29" borderId="19" xfId="60" applyFont="1" applyFill="1" applyBorder="1" applyAlignment="1">
      <alignment horizontal="justify"/>
    </xf>
    <xf numFmtId="3" fontId="15" fillId="29" borderId="19" xfId="60" applyNumberFormat="1" applyFont="1" applyFill="1" applyBorder="1" applyAlignment="1">
      <alignment horizontal="right"/>
    </xf>
    <xf numFmtId="3" fontId="46" fillId="29" borderId="19" xfId="60" applyNumberFormat="1" applyFont="1" applyFill="1" applyBorder="1" applyAlignment="1">
      <alignment horizontal="right"/>
    </xf>
    <xf numFmtId="0" fontId="24" fillId="0" borderId="19" xfId="60" applyFont="1" applyBorder="1" applyAlignment="1">
      <alignment horizontal="justify"/>
    </xf>
    <xf numFmtId="3" fontId="15" fillId="0" borderId="19" xfId="60" applyNumberFormat="1" applyFont="1" applyBorder="1" applyAlignment="1">
      <alignment horizontal="right"/>
    </xf>
    <xf numFmtId="0" fontId="5" fillId="0" borderId="53" xfId="60" applyFont="1" applyBorder="1" applyAlignment="1">
      <alignment horizontal="justify"/>
    </xf>
    <xf numFmtId="0" fontId="5" fillId="0" borderId="43" xfId="60" applyFont="1" applyBorder="1" applyAlignment="1">
      <alignment horizontal="justify"/>
    </xf>
    <xf numFmtId="0" fontId="5" fillId="0" borderId="11" xfId="60" applyFont="1" applyBorder="1" applyAlignment="1">
      <alignment horizontal="justify"/>
    </xf>
    <xf numFmtId="0" fontId="4" fillId="29" borderId="34" xfId="60" applyFont="1" applyFill="1" applyBorder="1" applyAlignment="1">
      <alignment horizontal="justify"/>
    </xf>
    <xf numFmtId="3" fontId="46" fillId="29" borderId="53" xfId="60" applyNumberFormat="1" applyFont="1" applyFill="1" applyBorder="1" applyAlignment="1">
      <alignment horizontal="right"/>
    </xf>
    <xf numFmtId="0" fontId="24" fillId="0" borderId="35" xfId="60" applyFont="1" applyBorder="1" applyAlignment="1">
      <alignment horizontal="justify"/>
    </xf>
    <xf numFmtId="3" fontId="43" fillId="0" borderId="34" xfId="60" applyNumberFormat="1" applyFont="1" applyBorder="1" applyAlignment="1">
      <alignment horizontal="right"/>
    </xf>
    <xf numFmtId="0" fontId="4" fillId="29" borderId="11" xfId="60" applyFont="1" applyFill="1" applyBorder="1" applyAlignment="1">
      <alignment horizontal="justify"/>
    </xf>
    <xf numFmtId="0" fontId="14" fillId="0" borderId="35" xfId="60" applyFont="1" applyBorder="1" applyAlignment="1">
      <alignment horizontal="justify"/>
    </xf>
    <xf numFmtId="0" fontId="9" fillId="0" borderId="58" xfId="60" applyFont="1" applyBorder="1" applyAlignment="1">
      <alignment horizontal="justify"/>
    </xf>
    <xf numFmtId="0" fontId="4" fillId="0" borderId="25" xfId="60" applyFont="1" applyBorder="1" applyAlignment="1">
      <alignment horizontal="left" wrapText="1"/>
    </xf>
    <xf numFmtId="3" fontId="46" fillId="0" borderId="25" xfId="60" applyNumberFormat="1" applyFont="1" applyBorder="1" applyAlignment="1">
      <alignment horizontal="right"/>
    </xf>
    <xf numFmtId="0" fontId="4" fillId="0" borderId="19" xfId="60" applyFont="1" applyBorder="1" applyAlignment="1">
      <alignment horizontal="left" wrapText="1"/>
    </xf>
    <xf numFmtId="3" fontId="46" fillId="0" borderId="19" xfId="60" applyNumberFormat="1" applyFont="1" applyBorder="1" applyAlignment="1">
      <alignment horizontal="right"/>
    </xf>
    <xf numFmtId="0" fontId="4" fillId="0" borderId="53" xfId="60" applyFont="1" applyBorder="1" applyAlignment="1">
      <alignment horizontal="left" wrapText="1"/>
    </xf>
    <xf numFmtId="3" fontId="46" fillId="0" borderId="53" xfId="60" applyNumberFormat="1" applyFont="1" applyBorder="1" applyAlignment="1">
      <alignment horizontal="right"/>
    </xf>
    <xf numFmtId="0" fontId="4" fillId="0" borderId="43" xfId="60" applyFont="1" applyBorder="1" applyAlignment="1">
      <alignment horizontal="left" wrapText="1"/>
    </xf>
    <xf numFmtId="3" fontId="46" fillId="0" borderId="34" xfId="60" applyNumberFormat="1" applyFont="1" applyBorder="1" applyAlignment="1">
      <alignment horizontal="right"/>
    </xf>
    <xf numFmtId="0" fontId="4" fillId="29" borderId="11" xfId="60" applyFont="1" applyFill="1" applyBorder="1" applyAlignment="1">
      <alignment horizontal="left" wrapText="1"/>
    </xf>
    <xf numFmtId="3" fontId="46" fillId="29" borderId="26" xfId="60" applyNumberFormat="1" applyFont="1" applyFill="1" applyBorder="1" applyAlignment="1">
      <alignment horizontal="right"/>
    </xf>
    <xf numFmtId="3" fontId="46" fillId="29" borderId="34" xfId="60" applyNumberFormat="1" applyFont="1" applyFill="1" applyBorder="1" applyAlignment="1">
      <alignment horizontal="right"/>
    </xf>
    <xf numFmtId="0" fontId="6" fillId="30" borderId="13" xfId="60" applyFont="1" applyFill="1" applyBorder="1" applyAlignment="1">
      <alignment horizontal="justify"/>
    </xf>
    <xf numFmtId="3" fontId="44" fillId="31" borderId="20" xfId="60" applyNumberFormat="1" applyFont="1" applyFill="1" applyBorder="1" applyAlignment="1">
      <alignment horizontal="right"/>
    </xf>
    <xf numFmtId="0" fontId="6" fillId="30" borderId="14" xfId="60" applyFont="1" applyFill="1" applyBorder="1" applyAlignment="1">
      <alignment horizontal="justify"/>
    </xf>
    <xf numFmtId="0" fontId="15" fillId="30" borderId="14" xfId="60" applyFont="1" applyFill="1" applyBorder="1" applyAlignment="1">
      <alignment horizontal="justify"/>
    </xf>
    <xf numFmtId="3" fontId="44" fillId="30" borderId="20" xfId="60" applyNumberFormat="1" applyFont="1" applyFill="1" applyBorder="1" applyAlignment="1">
      <alignment horizontal="right"/>
    </xf>
    <xf numFmtId="0" fontId="55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74" fillId="0" borderId="38" xfId="47" applyNumberFormat="1" applyFont="1" applyBorder="1" applyAlignment="1">
      <alignment horizontal="center"/>
    </xf>
    <xf numFmtId="3" fontId="74" fillId="0" borderId="36" xfId="47" applyNumberFormat="1" applyFont="1" applyBorder="1" applyAlignment="1">
      <alignment horizontal="center"/>
    </xf>
    <xf numFmtId="3" fontId="74" fillId="0" borderId="13" xfId="47" applyNumberFormat="1" applyFont="1" applyBorder="1" applyAlignment="1">
      <alignment horizontal="center"/>
    </xf>
    <xf numFmtId="3" fontId="74" fillId="0" borderId="14" xfId="47" applyNumberFormat="1" applyFont="1" applyBorder="1" applyAlignment="1">
      <alignment horizontal="center"/>
    </xf>
    <xf numFmtId="3" fontId="74" fillId="0" borderId="15" xfId="47" applyNumberFormat="1" applyFont="1" applyBorder="1" applyAlignment="1">
      <alignment horizontal="center"/>
    </xf>
    <xf numFmtId="3" fontId="74" fillId="0" borderId="57" xfId="47" applyNumberFormat="1" applyFont="1" applyBorder="1" applyAlignment="1">
      <alignment horizontal="center"/>
    </xf>
    <xf numFmtId="3" fontId="74" fillId="0" borderId="10" xfId="47" applyNumberFormat="1" applyFont="1" applyBorder="1" applyAlignment="1">
      <alignment horizontal="center" wrapText="1"/>
    </xf>
    <xf numFmtId="3" fontId="74" fillId="0" borderId="18" xfId="47" applyNumberFormat="1" applyFont="1" applyBorder="1" applyAlignment="1">
      <alignment horizontal="center" wrapText="1"/>
    </xf>
    <xf numFmtId="3" fontId="74" fillId="0" borderId="56" xfId="47" applyNumberFormat="1" applyFont="1" applyBorder="1" applyAlignment="1">
      <alignment horizontal="center" wrapText="1"/>
    </xf>
    <xf numFmtId="3" fontId="75" fillId="0" borderId="14" xfId="47" applyNumberFormat="1" applyFont="1" applyBorder="1" applyAlignment="1">
      <alignment horizontal="center"/>
    </xf>
    <xf numFmtId="3" fontId="75" fillId="0" borderId="15" xfId="47" applyNumberFormat="1" applyFont="1" applyBorder="1" applyAlignment="1">
      <alignment horizontal="center"/>
    </xf>
    <xf numFmtId="3" fontId="75" fillId="0" borderId="57" xfId="47" applyNumberFormat="1" applyFont="1" applyBorder="1" applyAlignment="1">
      <alignment horizontal="center"/>
    </xf>
    <xf numFmtId="3" fontId="74" fillId="0" borderId="10" xfId="47" applyNumberFormat="1" applyFont="1" applyBorder="1" applyAlignment="1">
      <alignment horizontal="center"/>
    </xf>
    <xf numFmtId="3" fontId="74" fillId="0" borderId="18" xfId="47" applyNumberFormat="1" applyFont="1" applyBorder="1" applyAlignment="1">
      <alignment horizontal="center"/>
    </xf>
    <xf numFmtId="3" fontId="74" fillId="0" borderId="56" xfId="47" applyNumberFormat="1" applyFont="1" applyBorder="1" applyAlignment="1">
      <alignment horizontal="center"/>
    </xf>
    <xf numFmtId="0" fontId="74" fillId="0" borderId="0" xfId="47" applyFont="1" applyAlignment="1">
      <alignment horizontal="center"/>
    </xf>
    <xf numFmtId="3" fontId="74" fillId="0" borderId="0" xfId="47" applyNumberFormat="1" applyFont="1" applyAlignment="1">
      <alignment horizontal="center"/>
    </xf>
    <xf numFmtId="0" fontId="4" fillId="0" borderId="0" xfId="60" applyFont="1" applyAlignment="1">
      <alignment horizontal="center"/>
    </xf>
    <xf numFmtId="3" fontId="79" fillId="0" borderId="10" xfId="47" applyNumberFormat="1" applyFont="1" applyBorder="1" applyAlignment="1">
      <alignment horizontal="center" vertical="center"/>
    </xf>
    <xf numFmtId="3" fontId="79" fillId="0" borderId="18" xfId="47" applyNumberFormat="1" applyFont="1" applyBorder="1" applyAlignment="1">
      <alignment horizontal="center" vertical="center"/>
    </xf>
    <xf numFmtId="3" fontId="79" fillId="0" borderId="56" xfId="47" applyNumberFormat="1" applyFont="1" applyBorder="1" applyAlignment="1">
      <alignment horizontal="center" vertical="center"/>
    </xf>
    <xf numFmtId="3" fontId="79" fillId="0" borderId="11" xfId="47" applyNumberFormat="1" applyFont="1" applyBorder="1" applyAlignment="1">
      <alignment horizontal="center" vertical="center"/>
    </xf>
    <xf numFmtId="3" fontId="79" fillId="0" borderId="0" xfId="47" applyNumberFormat="1" applyFont="1" applyAlignment="1">
      <alignment horizontal="center" vertical="center"/>
    </xf>
    <xf numFmtId="3" fontId="79" fillId="0" borderId="37" xfId="47" applyNumberFormat="1" applyFont="1" applyBorder="1" applyAlignment="1">
      <alignment horizontal="center" vertical="center"/>
    </xf>
    <xf numFmtId="3" fontId="79" fillId="0" borderId="14" xfId="47" applyNumberFormat="1" applyFont="1" applyBorder="1" applyAlignment="1">
      <alignment horizontal="center" vertical="center"/>
    </xf>
    <xf numFmtId="3" fontId="79" fillId="0" borderId="15" xfId="47" applyNumberFormat="1" applyFont="1" applyBorder="1" applyAlignment="1">
      <alignment horizontal="center" vertical="center"/>
    </xf>
    <xf numFmtId="3" fontId="79" fillId="0" borderId="57" xfId="47" applyNumberFormat="1" applyFont="1" applyBorder="1" applyAlignment="1">
      <alignment horizontal="center" vertical="center"/>
    </xf>
    <xf numFmtId="3" fontId="74" fillId="0" borderId="25" xfId="47" applyNumberFormat="1" applyFont="1" applyBorder="1" applyAlignment="1">
      <alignment horizontal="center" vertical="center"/>
    </xf>
    <xf numFmtId="3" fontId="74" fillId="0" borderId="19" xfId="47" applyNumberFormat="1" applyFont="1" applyBorder="1" applyAlignment="1">
      <alignment horizontal="center" vertical="center"/>
    </xf>
    <xf numFmtId="3" fontId="79" fillId="0" borderId="10" xfId="47" applyNumberFormat="1" applyFont="1" applyBorder="1" applyAlignment="1">
      <alignment horizontal="center" vertical="center" wrapText="1"/>
    </xf>
    <xf numFmtId="3" fontId="79" fillId="0" borderId="18" xfId="47" applyNumberFormat="1" applyFont="1" applyBorder="1" applyAlignment="1">
      <alignment horizontal="center" vertical="center" wrapText="1"/>
    </xf>
    <xf numFmtId="3" fontId="79" fillId="0" borderId="56" xfId="47" applyNumberFormat="1" applyFont="1" applyBorder="1" applyAlignment="1">
      <alignment horizontal="center" vertical="center" wrapText="1"/>
    </xf>
    <xf numFmtId="3" fontId="79" fillId="0" borderId="11" xfId="47" applyNumberFormat="1" applyFont="1" applyBorder="1" applyAlignment="1">
      <alignment horizontal="center" vertical="center" wrapText="1"/>
    </xf>
    <xf numFmtId="3" fontId="79" fillId="0" borderId="0" xfId="47" applyNumberFormat="1" applyFont="1" applyAlignment="1">
      <alignment horizontal="center" vertical="center" wrapText="1"/>
    </xf>
    <xf numFmtId="3" fontId="79" fillId="0" borderId="37" xfId="47" applyNumberFormat="1" applyFont="1" applyBorder="1" applyAlignment="1">
      <alignment horizontal="center" vertical="center" wrapText="1"/>
    </xf>
    <xf numFmtId="3" fontId="79" fillId="0" borderId="14" xfId="47" applyNumberFormat="1" applyFont="1" applyBorder="1" applyAlignment="1">
      <alignment horizontal="center" vertical="center" wrapText="1"/>
    </xf>
    <xf numFmtId="3" fontId="79" fillId="0" borderId="15" xfId="47" applyNumberFormat="1" applyFont="1" applyBorder="1" applyAlignment="1">
      <alignment horizontal="center" vertical="center" wrapText="1"/>
    </xf>
    <xf numFmtId="3" fontId="79" fillId="0" borderId="57" xfId="47" applyNumberFormat="1" applyFont="1" applyBorder="1" applyAlignment="1">
      <alignment horizontal="center" vertical="center" wrapText="1"/>
    </xf>
    <xf numFmtId="3" fontId="79" fillId="0" borderId="0" xfId="47" applyNumberFormat="1" applyFont="1" applyAlignment="1">
      <alignment horizontal="center"/>
    </xf>
    <xf numFmtId="3" fontId="66" fillId="0" borderId="13" xfId="57" applyNumberFormat="1" applyFont="1" applyBorder="1" applyAlignment="1">
      <alignment horizontal="center" vertical="center" wrapText="1"/>
    </xf>
    <xf numFmtId="3" fontId="66" fillId="0" borderId="38" xfId="57" applyNumberFormat="1" applyFont="1" applyBorder="1" applyAlignment="1">
      <alignment horizontal="center" vertical="center" wrapText="1"/>
    </xf>
    <xf numFmtId="3" fontId="66" fillId="0" borderId="36" xfId="57" applyNumberFormat="1" applyFont="1" applyBorder="1" applyAlignment="1">
      <alignment horizontal="center" vertical="center" wrapText="1"/>
    </xf>
    <xf numFmtId="3" fontId="66" fillId="0" borderId="13" xfId="57" applyNumberFormat="1" applyFont="1" applyBorder="1" applyAlignment="1">
      <alignment horizontal="center"/>
    </xf>
    <xf numFmtId="3" fontId="66" fillId="0" borderId="38" xfId="57" applyNumberFormat="1" applyFont="1" applyBorder="1" applyAlignment="1">
      <alignment horizontal="center"/>
    </xf>
    <xf numFmtId="4" fontId="66" fillId="0" borderId="13" xfId="57" applyNumberFormat="1" applyFont="1" applyBorder="1" applyAlignment="1">
      <alignment horizontal="center" wrapText="1"/>
    </xf>
    <xf numFmtId="4" fontId="66" fillId="0" borderId="36" xfId="57" applyNumberFormat="1" applyFont="1" applyBorder="1" applyAlignment="1">
      <alignment horizontal="center" wrapText="1"/>
    </xf>
    <xf numFmtId="4" fontId="66" fillId="0" borderId="13" xfId="57" applyNumberFormat="1" applyFont="1" applyBorder="1" applyAlignment="1">
      <alignment horizontal="center"/>
    </xf>
    <xf numFmtId="4" fontId="66" fillId="0" borderId="38" xfId="57" applyNumberFormat="1" applyFont="1" applyBorder="1" applyAlignment="1">
      <alignment horizontal="center"/>
    </xf>
    <xf numFmtId="4" fontId="66" fillId="0" borderId="36" xfId="57" applyNumberFormat="1" applyFont="1" applyBorder="1" applyAlignment="1">
      <alignment horizontal="center"/>
    </xf>
    <xf numFmtId="0" fontId="65" fillId="0" borderId="0" xfId="57" applyFont="1" applyAlignment="1">
      <alignment horizontal="center"/>
    </xf>
    <xf numFmtId="0" fontId="60" fillId="0" borderId="15" xfId="57" applyFont="1" applyBorder="1" applyAlignment="1">
      <alignment horizontal="center"/>
    </xf>
    <xf numFmtId="0" fontId="68" fillId="27" borderId="13" xfId="57" applyFont="1" applyFill="1" applyBorder="1" applyAlignment="1">
      <alignment horizontal="center" vertical="center"/>
    </xf>
    <xf numFmtId="0" fontId="68" fillId="27" borderId="38" xfId="57" applyFont="1" applyFill="1" applyBorder="1" applyAlignment="1">
      <alignment horizontal="center" vertical="center"/>
    </xf>
    <xf numFmtId="0" fontId="68" fillId="27" borderId="36" xfId="57" applyFont="1" applyFill="1" applyBorder="1" applyAlignment="1">
      <alignment horizontal="center" vertical="center"/>
    </xf>
    <xf numFmtId="0" fontId="66" fillId="0" borderId="10" xfId="57" applyFont="1" applyBorder="1" applyAlignment="1">
      <alignment horizontal="center" wrapText="1"/>
    </xf>
    <xf numFmtId="0" fontId="66" fillId="0" borderId="56" xfId="57" applyFont="1" applyBorder="1" applyAlignment="1">
      <alignment horizontal="center" wrapText="1"/>
    </xf>
    <xf numFmtId="0" fontId="66" fillId="0" borderId="14" xfId="57" applyFont="1" applyBorder="1" applyAlignment="1">
      <alignment horizontal="center" wrapText="1"/>
    </xf>
    <xf numFmtId="0" fontId="66" fillId="0" borderId="57" xfId="57" applyFont="1" applyBorder="1" applyAlignment="1">
      <alignment horizontal="center" wrapText="1"/>
    </xf>
    <xf numFmtId="0" fontId="4" fillId="0" borderId="12" xfId="49" applyFont="1" applyBorder="1" applyAlignment="1">
      <alignment horizontal="left"/>
    </xf>
    <xf numFmtId="0" fontId="4" fillId="0" borderId="31" xfId="49" applyFont="1" applyBorder="1" applyAlignment="1">
      <alignment horizontal="left"/>
    </xf>
    <xf numFmtId="0" fontId="4" fillId="0" borderId="43" xfId="49" applyFont="1" applyBorder="1" applyAlignment="1">
      <alignment horizontal="left"/>
    </xf>
    <xf numFmtId="0" fontId="4" fillId="0" borderId="46" xfId="49" applyFont="1" applyBorder="1" applyAlignment="1">
      <alignment horizontal="left"/>
    </xf>
    <xf numFmtId="0" fontId="4" fillId="0" borderId="13" xfId="49" applyFont="1" applyBorder="1" applyAlignment="1">
      <alignment horizontal="left"/>
    </xf>
    <xf numFmtId="0" fontId="4" fillId="0" borderId="38" xfId="49" applyFont="1" applyBorder="1" applyAlignment="1">
      <alignment horizontal="left"/>
    </xf>
    <xf numFmtId="0" fontId="11" fillId="0" borderId="0" xfId="49" applyFont="1" applyAlignment="1">
      <alignment horizontal="center"/>
    </xf>
    <xf numFmtId="0" fontId="11" fillId="0" borderId="10" xfId="49" applyFont="1" applyBorder="1" applyAlignment="1">
      <alignment horizontal="center"/>
    </xf>
    <xf numFmtId="0" fontId="11" fillId="0" borderId="18" xfId="49" applyFont="1" applyBorder="1" applyAlignment="1">
      <alignment horizontal="center"/>
    </xf>
    <xf numFmtId="0" fontId="42" fillId="0" borderId="11" xfId="49" applyFont="1" applyBorder="1" applyAlignment="1">
      <alignment horizontal="left"/>
    </xf>
    <xf numFmtId="0" fontId="42" fillId="0" borderId="0" xfId="49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14" fillId="0" borderId="0" xfId="51" applyFont="1" applyAlignment="1">
      <alignment horizontal="center"/>
    </xf>
    <xf numFmtId="3" fontId="9" fillId="0" borderId="0" xfId="51" applyNumberFormat="1" applyFont="1" applyFill="1"/>
  </cellXfs>
  <cellStyles count="63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62" xr:uid="{0DA4D9DB-A007-4A79-B06A-29F8D748A88F}"/>
    <cellStyle name="Normál_2003-05K" xfId="48" xr:uid="{00000000-0005-0000-0000-000032000000}"/>
    <cellStyle name="Normál_99LETSZ_LETSZ02" xfId="57" xr:uid="{D30C592E-4BFE-4264-9285-D98E27E1CF88}"/>
    <cellStyle name="Normál_GUCIFEJL" xfId="49" xr:uid="{00000000-0005-0000-0000-000033000000}"/>
    <cellStyle name="Normál_IKÖZI" xfId="60" xr:uid="{4445FD9F-27A1-4A06-BFF5-B307148F3E1B}"/>
    <cellStyle name="Normál_kiemelt eik 2013" xfId="50" xr:uid="{00000000-0005-0000-0000-000034000000}"/>
    <cellStyle name="Normál_LETSZ06" xfId="59" xr:uid="{25041E6F-48C4-4CC8-B240-E395B6C51806}"/>
    <cellStyle name="Normál_letsz2011" xfId="58" xr:uid="{2D81527D-8C3F-4DEE-8BB7-30188C02A33B}"/>
    <cellStyle name="Normál_módIV12önk" xfId="51" xr:uid="{00000000-0005-0000-0000-000035000000}"/>
    <cellStyle name="Normál_Munkafüzet2" xfId="52" xr:uid="{00000000-0005-0000-0000-000036000000}"/>
    <cellStyle name="Normál_össz 97 norma kerekítés_1_98 évi norma tény (2)" xfId="61" xr:uid="{9B46FE65-2A29-4178-BA2A-F48C2BF785E4}"/>
    <cellStyle name="Összesen" xfId="53" xr:uid="{00000000-0005-0000-0000-000037000000}"/>
    <cellStyle name="Rossz" xfId="54" xr:uid="{00000000-0005-0000-0000-000038000000}"/>
    <cellStyle name="Semleges" xfId="55" xr:uid="{00000000-0005-0000-0000-000039000000}"/>
    <cellStyle name="Számítás" xfId="56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9\Rendeletm&#243;dos&#237;t&#225;s\INTrend.m&#243;d.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19\Rendeletm&#243;dos&#237;t&#225;s\Int.l&#233;tsz&#225;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>
        <row r="10">
          <cell r="D10">
            <v>1001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512</v>
          </cell>
          <cell r="AM10">
            <v>154964</v>
          </cell>
          <cell r="AP10">
            <v>11401</v>
          </cell>
        </row>
        <row r="11">
          <cell r="D11">
            <v>1009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467</v>
          </cell>
          <cell r="AM11">
            <v>105803</v>
          </cell>
          <cell r="AP11">
            <v>3828</v>
          </cell>
        </row>
        <row r="12">
          <cell r="D12">
            <v>1373</v>
          </cell>
          <cell r="G12">
            <v>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422</v>
          </cell>
          <cell r="AM12">
            <v>99032</v>
          </cell>
          <cell r="AP12">
            <v>3280</v>
          </cell>
        </row>
        <row r="13">
          <cell r="D13">
            <v>958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623</v>
          </cell>
          <cell r="AM13">
            <v>141442</v>
          </cell>
          <cell r="AP13">
            <v>2979</v>
          </cell>
        </row>
        <row r="14">
          <cell r="D14">
            <v>1338</v>
          </cell>
          <cell r="G14">
            <v>0</v>
          </cell>
          <cell r="J14">
            <v>269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382</v>
          </cell>
          <cell r="AM14">
            <v>118147</v>
          </cell>
          <cell r="AP14">
            <v>2057</v>
          </cell>
        </row>
        <row r="15">
          <cell r="D15">
            <v>1269</v>
          </cell>
          <cell r="G15">
            <v>0</v>
          </cell>
          <cell r="J15">
            <v>0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1654</v>
          </cell>
          <cell r="AM15">
            <v>97533</v>
          </cell>
          <cell r="AP15">
            <v>2203</v>
          </cell>
        </row>
        <row r="16">
          <cell r="D16">
            <v>790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452</v>
          </cell>
          <cell r="AM16">
            <v>79976</v>
          </cell>
          <cell r="AP16">
            <v>121</v>
          </cell>
        </row>
        <row r="17">
          <cell r="D17">
            <v>958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58</v>
          </cell>
          <cell r="AM17">
            <v>87145</v>
          </cell>
          <cell r="AP17">
            <v>15358</v>
          </cell>
        </row>
        <row r="18">
          <cell r="D18">
            <v>805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245</v>
          </cell>
          <cell r="AM18">
            <v>124753</v>
          </cell>
          <cell r="AP18">
            <v>0</v>
          </cell>
        </row>
        <row r="19">
          <cell r="D19">
            <v>1220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708</v>
          </cell>
          <cell r="AM19">
            <v>135617</v>
          </cell>
          <cell r="AP19">
            <v>22226</v>
          </cell>
        </row>
        <row r="20">
          <cell r="D20">
            <v>532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63</v>
          </cell>
          <cell r="AM20">
            <v>72705</v>
          </cell>
          <cell r="AP20">
            <v>10</v>
          </cell>
        </row>
        <row r="21">
          <cell r="D21">
            <v>782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144</v>
          </cell>
          <cell r="AM21">
            <v>53557</v>
          </cell>
          <cell r="AP21">
            <v>9807</v>
          </cell>
        </row>
        <row r="22">
          <cell r="D22">
            <v>460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112</v>
          </cell>
          <cell r="AM22">
            <v>77434</v>
          </cell>
          <cell r="AP22">
            <v>17223</v>
          </cell>
        </row>
        <row r="23">
          <cell r="D23">
            <v>720</v>
          </cell>
          <cell r="G23">
            <v>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203</v>
          </cell>
          <cell r="AM23">
            <v>98221</v>
          </cell>
          <cell r="AP23">
            <v>17</v>
          </cell>
        </row>
        <row r="24">
          <cell r="D24">
            <v>1360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417</v>
          </cell>
          <cell r="AM24">
            <v>122342</v>
          </cell>
          <cell r="AP24">
            <v>530</v>
          </cell>
        </row>
        <row r="25">
          <cell r="D25">
            <v>1007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289</v>
          </cell>
          <cell r="AM25">
            <v>116762</v>
          </cell>
          <cell r="AP25">
            <v>220</v>
          </cell>
        </row>
        <row r="26">
          <cell r="D26">
            <v>647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155</v>
          </cell>
          <cell r="AM26">
            <v>78243</v>
          </cell>
          <cell r="AP26">
            <v>16237</v>
          </cell>
        </row>
        <row r="27">
          <cell r="D27">
            <v>689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97</v>
          </cell>
          <cell r="AM27">
            <v>55893</v>
          </cell>
          <cell r="AP27">
            <v>214</v>
          </cell>
        </row>
        <row r="29">
          <cell r="D29">
            <v>425332</v>
          </cell>
          <cell r="G29">
            <v>759</v>
          </cell>
          <cell r="J29">
            <v>0</v>
          </cell>
          <cell r="M29">
            <v>0</v>
          </cell>
          <cell r="T29">
            <v>0</v>
          </cell>
          <cell r="W29">
            <v>0</v>
          </cell>
          <cell r="Z29">
            <v>0</v>
          </cell>
          <cell r="AJ29">
            <v>9225</v>
          </cell>
          <cell r="AM29">
            <v>1189008</v>
          </cell>
          <cell r="AP29">
            <v>56441</v>
          </cell>
        </row>
        <row r="33">
          <cell r="D33">
            <v>287126</v>
          </cell>
          <cell r="G33">
            <v>130348</v>
          </cell>
          <cell r="J33">
            <v>0</v>
          </cell>
          <cell r="M33">
            <v>0</v>
          </cell>
          <cell r="T33">
            <v>0</v>
          </cell>
          <cell r="W33">
            <v>2000</v>
          </cell>
          <cell r="Z33">
            <v>0</v>
          </cell>
          <cell r="AJ33">
            <v>1040</v>
          </cell>
          <cell r="AM33">
            <v>125380</v>
          </cell>
          <cell r="AP33">
            <v>18858</v>
          </cell>
        </row>
        <row r="34">
          <cell r="D34">
            <v>33830</v>
          </cell>
          <cell r="G34">
            <v>990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9666</v>
          </cell>
          <cell r="AM34">
            <v>107080</v>
          </cell>
          <cell r="AP34">
            <v>0</v>
          </cell>
        </row>
        <row r="35">
          <cell r="D35">
            <v>87000</v>
          </cell>
          <cell r="G35">
            <v>800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12675</v>
          </cell>
          <cell r="AM35">
            <v>478604</v>
          </cell>
          <cell r="AP35">
            <v>20327</v>
          </cell>
        </row>
        <row r="36">
          <cell r="D36">
            <v>24000</v>
          </cell>
          <cell r="G36">
            <v>0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38946</v>
          </cell>
          <cell r="AM36">
            <v>358334</v>
          </cell>
          <cell r="AP36">
            <v>21335</v>
          </cell>
        </row>
        <row r="37">
          <cell r="D37">
            <v>178083</v>
          </cell>
          <cell r="G37">
            <v>2300</v>
          </cell>
          <cell r="J37">
            <v>0</v>
          </cell>
          <cell r="M37">
            <v>0</v>
          </cell>
          <cell r="T37">
            <v>0</v>
          </cell>
          <cell r="W37">
            <v>6100</v>
          </cell>
          <cell r="Z37">
            <v>0</v>
          </cell>
          <cell r="AJ37">
            <v>28106</v>
          </cell>
          <cell r="AM37">
            <v>376056</v>
          </cell>
          <cell r="AP37">
            <v>7785</v>
          </cell>
        </row>
        <row r="40">
          <cell r="D40">
            <v>94499</v>
          </cell>
          <cell r="G40">
            <v>0</v>
          </cell>
          <cell r="J40">
            <v>0</v>
          </cell>
          <cell r="M40">
            <v>0</v>
          </cell>
          <cell r="T40">
            <v>0</v>
          </cell>
          <cell r="W40">
            <v>0</v>
          </cell>
          <cell r="Z40">
            <v>0</v>
          </cell>
          <cell r="AJ40">
            <v>10384</v>
          </cell>
          <cell r="AM40">
            <v>804384</v>
          </cell>
          <cell r="AP40">
            <v>14606</v>
          </cell>
        </row>
        <row r="42">
          <cell r="D42">
            <v>27393</v>
          </cell>
          <cell r="G42">
            <v>334241</v>
          </cell>
          <cell r="J42">
            <v>0</v>
          </cell>
          <cell r="M42">
            <v>0</v>
          </cell>
          <cell r="T42">
            <v>0</v>
          </cell>
          <cell r="W42">
            <v>1990</v>
          </cell>
          <cell r="AJ42">
            <v>38212</v>
          </cell>
          <cell r="AM42">
            <v>329403</v>
          </cell>
          <cell r="AP42">
            <v>43123</v>
          </cell>
        </row>
        <row r="44">
          <cell r="D44">
            <v>53475</v>
          </cell>
          <cell r="G44">
            <v>0</v>
          </cell>
          <cell r="J44">
            <v>0</v>
          </cell>
          <cell r="M44">
            <v>0</v>
          </cell>
          <cell r="T44">
            <v>0</v>
          </cell>
          <cell r="W44">
            <v>0</v>
          </cell>
          <cell r="Z44">
            <v>0</v>
          </cell>
          <cell r="AJ44">
            <v>803</v>
          </cell>
          <cell r="AM44">
            <v>752754</v>
          </cell>
          <cell r="AP44">
            <v>29847</v>
          </cell>
        </row>
        <row r="46">
          <cell r="D46">
            <v>139534</v>
          </cell>
          <cell r="G46">
            <v>0</v>
          </cell>
          <cell r="J46">
            <v>0</v>
          </cell>
          <cell r="M46">
            <v>0</v>
          </cell>
          <cell r="T46">
            <v>0</v>
          </cell>
          <cell r="W46">
            <v>0</v>
          </cell>
          <cell r="Z46">
            <v>0</v>
          </cell>
          <cell r="AJ46">
            <v>12380</v>
          </cell>
          <cell r="AM46">
            <v>1452</v>
          </cell>
          <cell r="AP46">
            <v>0</v>
          </cell>
        </row>
        <row r="47">
          <cell r="D47">
            <v>14550</v>
          </cell>
          <cell r="G47">
            <v>15582</v>
          </cell>
          <cell r="J47">
            <v>0</v>
          </cell>
          <cell r="M47">
            <v>1300</v>
          </cell>
          <cell r="T47">
            <v>0</v>
          </cell>
          <cell r="W47">
            <v>0</v>
          </cell>
          <cell r="Z47">
            <v>0</v>
          </cell>
          <cell r="AJ47">
            <v>5492</v>
          </cell>
          <cell r="AM47">
            <v>1979633</v>
          </cell>
          <cell r="AP47">
            <v>41243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  <cell r="T48">
            <v>0</v>
          </cell>
          <cell r="W48">
            <v>0</v>
          </cell>
          <cell r="Z48">
            <v>0</v>
          </cell>
          <cell r="AJ48">
            <v>366</v>
          </cell>
          <cell r="AM48">
            <v>203698</v>
          </cell>
          <cell r="AP48">
            <v>682</v>
          </cell>
        </row>
      </sheetData>
      <sheetData sheetId="5">
        <row r="10">
          <cell r="D10">
            <v>125118</v>
          </cell>
          <cell r="G10">
            <v>26813</v>
          </cell>
          <cell r="J10">
            <v>4546</v>
          </cell>
          <cell r="N10">
            <v>0</v>
          </cell>
          <cell r="Q10">
            <v>0</v>
          </cell>
          <cell r="X10">
            <v>11401</v>
          </cell>
          <cell r="AA10">
            <v>0</v>
          </cell>
          <cell r="AD10">
            <v>0</v>
          </cell>
        </row>
        <row r="11">
          <cell r="D11">
            <v>86802</v>
          </cell>
          <cell r="G11">
            <v>17215</v>
          </cell>
          <cell r="J11">
            <v>3262</v>
          </cell>
          <cell r="N11">
            <v>0</v>
          </cell>
          <cell r="Q11">
            <v>0</v>
          </cell>
          <cell r="X11">
            <v>300</v>
          </cell>
          <cell r="AA11">
            <v>3528</v>
          </cell>
          <cell r="AD11">
            <v>0</v>
          </cell>
        </row>
        <row r="12">
          <cell r="D12">
            <v>80999</v>
          </cell>
          <cell r="G12">
            <v>15900</v>
          </cell>
          <cell r="J12">
            <v>3928</v>
          </cell>
          <cell r="N12">
            <v>0</v>
          </cell>
          <cell r="Q12">
            <v>0</v>
          </cell>
          <cell r="X12">
            <v>203</v>
          </cell>
          <cell r="AA12">
            <v>3077</v>
          </cell>
          <cell r="AD12">
            <v>0</v>
          </cell>
        </row>
        <row r="13">
          <cell r="D13">
            <v>110489</v>
          </cell>
          <cell r="G13">
            <v>23888</v>
          </cell>
          <cell r="J13">
            <v>8646</v>
          </cell>
          <cell r="N13">
            <v>0</v>
          </cell>
          <cell r="Q13">
            <v>0</v>
          </cell>
          <cell r="X13">
            <v>0</v>
          </cell>
          <cell r="AA13">
            <v>2979</v>
          </cell>
          <cell r="AD13">
            <v>0</v>
          </cell>
        </row>
        <row r="14">
          <cell r="D14">
            <v>91771</v>
          </cell>
          <cell r="G14">
            <v>19871</v>
          </cell>
          <cell r="J14">
            <v>8494</v>
          </cell>
          <cell r="N14">
            <v>0</v>
          </cell>
          <cell r="Q14">
            <v>0</v>
          </cell>
          <cell r="X14">
            <v>917</v>
          </cell>
          <cell r="AA14">
            <v>1140</v>
          </cell>
          <cell r="AD14">
            <v>0</v>
          </cell>
        </row>
        <row r="15">
          <cell r="D15">
            <v>80019</v>
          </cell>
          <cell r="G15">
            <v>16279</v>
          </cell>
          <cell r="J15">
            <v>4158</v>
          </cell>
          <cell r="N15">
            <v>0</v>
          </cell>
          <cell r="Q15">
            <v>0</v>
          </cell>
          <cell r="X15">
            <v>309</v>
          </cell>
          <cell r="AA15">
            <v>1894</v>
          </cell>
          <cell r="AD15">
            <v>0</v>
          </cell>
        </row>
        <row r="16">
          <cell r="D16">
            <v>65490</v>
          </cell>
          <cell r="G16">
            <v>12948</v>
          </cell>
          <cell r="J16">
            <v>2780</v>
          </cell>
          <cell r="N16">
            <v>0</v>
          </cell>
          <cell r="Q16">
            <v>0</v>
          </cell>
          <cell r="X16">
            <v>121</v>
          </cell>
          <cell r="AA16">
            <v>0</v>
          </cell>
          <cell r="AD16">
            <v>0</v>
          </cell>
        </row>
        <row r="17">
          <cell r="D17">
            <v>69207</v>
          </cell>
          <cell r="G17">
            <v>13761</v>
          </cell>
          <cell r="J17">
            <v>5193</v>
          </cell>
          <cell r="N17">
            <v>0</v>
          </cell>
          <cell r="Q17">
            <v>0</v>
          </cell>
          <cell r="X17">
            <v>6411</v>
          </cell>
          <cell r="AA17">
            <v>8947</v>
          </cell>
          <cell r="AD17">
            <v>0</v>
          </cell>
        </row>
        <row r="18">
          <cell r="D18">
            <v>100106</v>
          </cell>
          <cell r="G18">
            <v>21512</v>
          </cell>
          <cell r="J18">
            <v>4185</v>
          </cell>
          <cell r="N18">
            <v>0</v>
          </cell>
          <cell r="Q18">
            <v>0</v>
          </cell>
          <cell r="X18">
            <v>0</v>
          </cell>
          <cell r="AA18">
            <v>0</v>
          </cell>
          <cell r="AD18">
            <v>0</v>
          </cell>
        </row>
        <row r="19">
          <cell r="D19">
            <v>109151</v>
          </cell>
          <cell r="G19">
            <v>23488</v>
          </cell>
          <cell r="J19">
            <v>4906</v>
          </cell>
          <cell r="N19">
            <v>0</v>
          </cell>
          <cell r="Q19">
            <v>0</v>
          </cell>
          <cell r="X19">
            <v>435</v>
          </cell>
          <cell r="AA19">
            <v>21791</v>
          </cell>
          <cell r="AD19">
            <v>0</v>
          </cell>
        </row>
        <row r="20">
          <cell r="D20">
            <v>59200</v>
          </cell>
          <cell r="G20">
            <v>11517</v>
          </cell>
          <cell r="J20">
            <v>2583</v>
          </cell>
          <cell r="N20">
            <v>0</v>
          </cell>
          <cell r="Q20">
            <v>0</v>
          </cell>
          <cell r="X20">
            <v>10</v>
          </cell>
          <cell r="AA20">
            <v>0</v>
          </cell>
          <cell r="AD20">
            <v>0</v>
          </cell>
        </row>
        <row r="21">
          <cell r="D21">
            <v>43098</v>
          </cell>
          <cell r="G21">
            <v>8504</v>
          </cell>
          <cell r="J21">
            <v>2881</v>
          </cell>
          <cell r="N21">
            <v>0</v>
          </cell>
          <cell r="Q21">
            <v>0</v>
          </cell>
          <cell r="X21">
            <v>53</v>
          </cell>
          <cell r="AA21">
            <v>9754</v>
          </cell>
          <cell r="AD21">
            <v>0</v>
          </cell>
        </row>
        <row r="22">
          <cell r="D22">
            <v>62666</v>
          </cell>
          <cell r="G22">
            <v>12568</v>
          </cell>
          <cell r="J22">
            <v>2772</v>
          </cell>
          <cell r="N22">
            <v>0</v>
          </cell>
          <cell r="Q22">
            <v>0</v>
          </cell>
          <cell r="X22">
            <v>951</v>
          </cell>
          <cell r="AA22">
            <v>16272</v>
          </cell>
          <cell r="AD22">
            <v>0</v>
          </cell>
        </row>
        <row r="23">
          <cell r="D23">
            <v>79944</v>
          </cell>
          <cell r="G23">
            <v>15774</v>
          </cell>
          <cell r="J23">
            <v>3426</v>
          </cell>
          <cell r="N23">
            <v>0</v>
          </cell>
          <cell r="Q23">
            <v>0</v>
          </cell>
          <cell r="X23">
            <v>17</v>
          </cell>
          <cell r="AA23">
            <v>0</v>
          </cell>
          <cell r="AD23">
            <v>0</v>
          </cell>
        </row>
        <row r="24">
          <cell r="D24">
            <v>97856</v>
          </cell>
          <cell r="G24">
            <v>21316</v>
          </cell>
          <cell r="J24">
            <v>4947</v>
          </cell>
          <cell r="N24">
            <v>0</v>
          </cell>
          <cell r="Q24">
            <v>0</v>
          </cell>
          <cell r="X24">
            <v>530</v>
          </cell>
          <cell r="AA24">
            <v>0</v>
          </cell>
          <cell r="AD24">
            <v>0</v>
          </cell>
        </row>
        <row r="25">
          <cell r="D25">
            <v>94895</v>
          </cell>
          <cell r="G25">
            <v>18721</v>
          </cell>
          <cell r="J25">
            <v>4442</v>
          </cell>
          <cell r="N25">
            <v>0</v>
          </cell>
          <cell r="Q25">
            <v>0</v>
          </cell>
          <cell r="X25">
            <v>220</v>
          </cell>
          <cell r="AA25">
            <v>0</v>
          </cell>
          <cell r="AD25">
            <v>0</v>
          </cell>
        </row>
        <row r="26">
          <cell r="D26">
            <v>63467</v>
          </cell>
          <cell r="G26">
            <v>12500</v>
          </cell>
          <cell r="J26">
            <v>3078</v>
          </cell>
          <cell r="N26">
            <v>0</v>
          </cell>
          <cell r="Q26">
            <v>0</v>
          </cell>
          <cell r="X26">
            <v>7373</v>
          </cell>
          <cell r="AA26">
            <v>8864</v>
          </cell>
          <cell r="AD26">
            <v>0</v>
          </cell>
        </row>
        <row r="27">
          <cell r="D27">
            <v>45656</v>
          </cell>
          <cell r="G27">
            <v>8862</v>
          </cell>
          <cell r="J27">
            <v>2161</v>
          </cell>
          <cell r="N27">
            <v>0</v>
          </cell>
          <cell r="Q27">
            <v>0</v>
          </cell>
          <cell r="X27">
            <v>214</v>
          </cell>
          <cell r="AA27">
            <v>0</v>
          </cell>
          <cell r="AD27">
            <v>0</v>
          </cell>
        </row>
        <row r="29">
          <cell r="D29">
            <v>234219</v>
          </cell>
          <cell r="G29">
            <v>49524</v>
          </cell>
          <cell r="J29">
            <v>1340581</v>
          </cell>
          <cell r="N29">
            <v>0</v>
          </cell>
          <cell r="Q29">
            <v>0</v>
          </cell>
          <cell r="X29">
            <v>46478</v>
          </cell>
          <cell r="AA29">
            <v>9963</v>
          </cell>
          <cell r="AD29">
            <v>0</v>
          </cell>
        </row>
        <row r="33">
          <cell r="D33">
            <v>204169</v>
          </cell>
          <cell r="G33">
            <v>42231</v>
          </cell>
          <cell r="J33">
            <v>297494</v>
          </cell>
          <cell r="N33">
            <v>0</v>
          </cell>
          <cell r="Q33">
            <v>0</v>
          </cell>
          <cell r="X33">
            <v>20858</v>
          </cell>
          <cell r="AA33">
            <v>0</v>
          </cell>
          <cell r="AD33">
            <v>0</v>
          </cell>
        </row>
        <row r="34">
          <cell r="D34">
            <v>82471</v>
          </cell>
          <cell r="G34">
            <v>16005</v>
          </cell>
          <cell r="J34">
            <v>53090</v>
          </cell>
          <cell r="N34">
            <v>0</v>
          </cell>
          <cell r="Q34">
            <v>0</v>
          </cell>
          <cell r="X34">
            <v>0</v>
          </cell>
          <cell r="AA34">
            <v>0</v>
          </cell>
          <cell r="AD34">
            <v>0</v>
          </cell>
        </row>
        <row r="35">
          <cell r="D35">
            <v>338807</v>
          </cell>
          <cell r="G35">
            <v>63775</v>
          </cell>
          <cell r="J35">
            <v>176497</v>
          </cell>
          <cell r="N35">
            <v>0</v>
          </cell>
          <cell r="Q35">
            <v>0</v>
          </cell>
          <cell r="X35">
            <v>20327</v>
          </cell>
          <cell r="AA35">
            <v>0</v>
          </cell>
          <cell r="AD35">
            <v>0</v>
          </cell>
        </row>
        <row r="36">
          <cell r="D36">
            <v>190045</v>
          </cell>
          <cell r="G36">
            <v>36112</v>
          </cell>
          <cell r="J36">
            <v>195123</v>
          </cell>
          <cell r="N36">
            <v>0</v>
          </cell>
          <cell r="Q36">
            <v>0</v>
          </cell>
          <cell r="X36">
            <v>21335</v>
          </cell>
          <cell r="AA36">
            <v>0</v>
          </cell>
          <cell r="AD36">
            <v>0</v>
          </cell>
        </row>
        <row r="37">
          <cell r="D37">
            <v>353442</v>
          </cell>
          <cell r="G37">
            <v>63621</v>
          </cell>
          <cell r="J37">
            <v>167482</v>
          </cell>
          <cell r="N37">
            <v>0</v>
          </cell>
          <cell r="Q37">
            <v>0</v>
          </cell>
          <cell r="X37">
            <v>13885</v>
          </cell>
          <cell r="AA37">
            <v>0</v>
          </cell>
          <cell r="AD37">
            <v>0</v>
          </cell>
        </row>
        <row r="40">
          <cell r="D40">
            <v>544707</v>
          </cell>
          <cell r="G40">
            <v>121144</v>
          </cell>
          <cell r="J40">
            <v>243416</v>
          </cell>
          <cell r="N40">
            <v>0</v>
          </cell>
          <cell r="Q40">
            <v>0</v>
          </cell>
          <cell r="X40">
            <v>4839</v>
          </cell>
          <cell r="AA40">
            <v>9767</v>
          </cell>
          <cell r="AD40">
            <v>0</v>
          </cell>
        </row>
        <row r="42">
          <cell r="D42">
            <v>408421</v>
          </cell>
          <cell r="G42">
            <v>82901</v>
          </cell>
          <cell r="J42">
            <v>237927</v>
          </cell>
          <cell r="N42">
            <v>0</v>
          </cell>
          <cell r="Q42">
            <v>0</v>
          </cell>
          <cell r="X42">
            <v>34066</v>
          </cell>
          <cell r="AA42">
            <v>11047</v>
          </cell>
          <cell r="AD42">
            <v>0</v>
          </cell>
        </row>
        <row r="44">
          <cell r="D44">
            <v>530826</v>
          </cell>
          <cell r="G44">
            <v>118946</v>
          </cell>
          <cell r="J44">
            <v>157260</v>
          </cell>
          <cell r="N44">
            <v>0</v>
          </cell>
          <cell r="Q44">
            <v>0</v>
          </cell>
          <cell r="X44">
            <v>28323</v>
          </cell>
          <cell r="AA44">
            <v>1524</v>
          </cell>
          <cell r="AD44">
            <v>0</v>
          </cell>
        </row>
        <row r="46">
          <cell r="D46">
            <v>50830</v>
          </cell>
          <cell r="G46">
            <v>10114</v>
          </cell>
          <cell r="J46">
            <v>53833</v>
          </cell>
          <cell r="N46">
            <v>0</v>
          </cell>
          <cell r="Q46">
            <v>30000</v>
          </cell>
          <cell r="X46">
            <v>8589</v>
          </cell>
          <cell r="AA46">
            <v>0</v>
          </cell>
          <cell r="AD46">
            <v>0</v>
          </cell>
        </row>
        <row r="47">
          <cell r="D47">
            <v>1349447</v>
          </cell>
          <cell r="G47">
            <v>291302</v>
          </cell>
          <cell r="J47">
            <v>373058</v>
          </cell>
          <cell r="N47">
            <v>0</v>
          </cell>
          <cell r="Q47">
            <v>2750</v>
          </cell>
          <cell r="X47">
            <v>35243</v>
          </cell>
          <cell r="AA47">
            <v>6000</v>
          </cell>
          <cell r="AD47">
            <v>0</v>
          </cell>
        </row>
        <row r="48">
          <cell r="D48">
            <v>140787</v>
          </cell>
          <cell r="G48">
            <v>29600</v>
          </cell>
          <cell r="J48">
            <v>33677</v>
          </cell>
          <cell r="N48">
            <v>0</v>
          </cell>
          <cell r="Q48">
            <v>0</v>
          </cell>
          <cell r="X48">
            <v>682</v>
          </cell>
          <cell r="AA48">
            <v>0</v>
          </cell>
          <cell r="AD48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 ei mód 2018-2019eltérés"/>
      <sheetName val="2019 évi nyitó létszám"/>
      <sheetName val="létszám ei mód RM I."/>
      <sheetName val="létszám ei mód RM II."/>
      <sheetName val="létszám ei mód RM III."/>
      <sheetName val="létszám ei mód RM IV."/>
      <sheetName val="létszám ei mód RM V. "/>
    </sheetNames>
    <sheetDataSet>
      <sheetData sheetId="0"/>
      <sheetData sheetId="1"/>
      <sheetData sheetId="2"/>
      <sheetData sheetId="3">
        <row r="9">
          <cell r="H9">
            <v>33</v>
          </cell>
          <cell r="I9">
            <v>33</v>
          </cell>
          <cell r="N9">
            <v>1</v>
          </cell>
          <cell r="O9">
            <v>1</v>
          </cell>
        </row>
        <row r="10">
          <cell r="H10">
            <v>22</v>
          </cell>
          <cell r="I10">
            <v>22</v>
          </cell>
          <cell r="N10">
            <v>1</v>
          </cell>
          <cell r="O10">
            <v>1</v>
          </cell>
        </row>
        <row r="11">
          <cell r="H11">
            <v>22</v>
          </cell>
          <cell r="I11">
            <v>22</v>
          </cell>
          <cell r="N11">
            <v>1</v>
          </cell>
          <cell r="O11">
            <v>1</v>
          </cell>
        </row>
        <row r="12">
          <cell r="H12">
            <v>27</v>
          </cell>
          <cell r="I12">
            <v>27</v>
          </cell>
          <cell r="N12">
            <v>1</v>
          </cell>
          <cell r="O12">
            <v>1</v>
          </cell>
        </row>
        <row r="13">
          <cell r="H13">
            <v>25</v>
          </cell>
          <cell r="I13">
            <v>25</v>
          </cell>
          <cell r="N13">
            <v>1</v>
          </cell>
          <cell r="O13">
            <v>1</v>
          </cell>
        </row>
        <row r="14">
          <cell r="H14">
            <v>22</v>
          </cell>
          <cell r="I14">
            <v>22</v>
          </cell>
          <cell r="N14">
            <v>1</v>
          </cell>
          <cell r="O14">
            <v>1</v>
          </cell>
        </row>
        <row r="15">
          <cell r="H15">
            <v>18</v>
          </cell>
          <cell r="I15">
            <v>18</v>
          </cell>
          <cell r="N15">
            <v>1</v>
          </cell>
          <cell r="O15">
            <v>1</v>
          </cell>
        </row>
        <row r="16">
          <cell r="H16">
            <v>18</v>
          </cell>
          <cell r="I16">
            <v>18</v>
          </cell>
          <cell r="N16">
            <v>1</v>
          </cell>
          <cell r="O16">
            <v>1</v>
          </cell>
        </row>
        <row r="17">
          <cell r="H17">
            <v>25</v>
          </cell>
          <cell r="I17">
            <v>25</v>
          </cell>
          <cell r="N17">
            <v>1</v>
          </cell>
          <cell r="O17">
            <v>1</v>
          </cell>
        </row>
        <row r="18">
          <cell r="H18">
            <v>28</v>
          </cell>
          <cell r="I18">
            <v>28</v>
          </cell>
          <cell r="N18">
            <v>1</v>
          </cell>
          <cell r="O18">
            <v>1</v>
          </cell>
        </row>
        <row r="19">
          <cell r="H19">
            <v>15</v>
          </cell>
          <cell r="I19">
            <v>15</v>
          </cell>
          <cell r="N19">
            <v>1</v>
          </cell>
          <cell r="O19">
            <v>1</v>
          </cell>
        </row>
        <row r="20">
          <cell r="H20">
            <v>11.5</v>
          </cell>
          <cell r="I20">
            <v>11</v>
          </cell>
          <cell r="N20">
            <v>1</v>
          </cell>
          <cell r="O20">
            <v>1</v>
          </cell>
        </row>
        <row r="21">
          <cell r="H21">
            <v>18</v>
          </cell>
          <cell r="I21">
            <v>18</v>
          </cell>
          <cell r="N21">
            <v>1</v>
          </cell>
          <cell r="O21">
            <v>1</v>
          </cell>
        </row>
        <row r="22">
          <cell r="H22">
            <v>20</v>
          </cell>
          <cell r="I22">
            <v>20</v>
          </cell>
          <cell r="N22">
            <v>1</v>
          </cell>
          <cell r="O22">
            <v>1</v>
          </cell>
        </row>
        <row r="23">
          <cell r="H23">
            <v>28</v>
          </cell>
          <cell r="I23">
            <v>28</v>
          </cell>
          <cell r="N23">
            <v>1</v>
          </cell>
          <cell r="O23">
            <v>1</v>
          </cell>
        </row>
        <row r="24">
          <cell r="H24">
            <v>22</v>
          </cell>
          <cell r="I24">
            <v>22</v>
          </cell>
          <cell r="N24">
            <v>1</v>
          </cell>
          <cell r="O24">
            <v>1</v>
          </cell>
        </row>
        <row r="25">
          <cell r="H25">
            <v>16</v>
          </cell>
          <cell r="I25">
            <v>16</v>
          </cell>
          <cell r="N25">
            <v>1</v>
          </cell>
          <cell r="O25">
            <v>1</v>
          </cell>
        </row>
        <row r="26">
          <cell r="H26">
            <v>11.5</v>
          </cell>
          <cell r="I26">
            <v>12</v>
          </cell>
          <cell r="N26">
            <v>1.5</v>
          </cell>
          <cell r="O26">
            <v>1</v>
          </cell>
        </row>
        <row r="28">
          <cell r="H28">
            <v>0</v>
          </cell>
          <cell r="I28">
            <v>0</v>
          </cell>
          <cell r="N28">
            <v>44</v>
          </cell>
          <cell r="O28">
            <v>44</v>
          </cell>
        </row>
        <row r="32">
          <cell r="H32">
            <v>21.5</v>
          </cell>
          <cell r="I32">
            <v>21</v>
          </cell>
          <cell r="N32">
            <v>15.5</v>
          </cell>
          <cell r="O32">
            <v>16</v>
          </cell>
        </row>
        <row r="33">
          <cell r="H33">
            <v>18</v>
          </cell>
          <cell r="I33">
            <v>18</v>
          </cell>
          <cell r="N33">
            <v>1</v>
          </cell>
          <cell r="O33">
            <v>1</v>
          </cell>
        </row>
        <row r="34">
          <cell r="H34">
            <v>77</v>
          </cell>
          <cell r="I34">
            <v>77</v>
          </cell>
          <cell r="N34">
            <v>7.5</v>
          </cell>
          <cell r="O34">
            <v>7</v>
          </cell>
        </row>
        <row r="35">
          <cell r="H35">
            <v>35</v>
          </cell>
          <cell r="I35">
            <v>35</v>
          </cell>
          <cell r="N35">
            <v>11</v>
          </cell>
          <cell r="O35">
            <v>11</v>
          </cell>
        </row>
        <row r="36">
          <cell r="H36">
            <v>64.5</v>
          </cell>
          <cell r="I36">
            <v>65</v>
          </cell>
          <cell r="N36">
            <v>30.25</v>
          </cell>
          <cell r="O36">
            <v>30</v>
          </cell>
        </row>
        <row r="39">
          <cell r="H39">
            <v>166.25</v>
          </cell>
          <cell r="I39">
            <v>166</v>
          </cell>
          <cell r="N39">
            <v>19</v>
          </cell>
          <cell r="O39">
            <v>19</v>
          </cell>
        </row>
        <row r="41">
          <cell r="H41">
            <v>65</v>
          </cell>
          <cell r="I41">
            <v>65</v>
          </cell>
          <cell r="N41">
            <v>34</v>
          </cell>
          <cell r="O41">
            <v>34</v>
          </cell>
        </row>
        <row r="43">
          <cell r="H43">
            <v>132.76</v>
          </cell>
          <cell r="I43">
            <v>133</v>
          </cell>
          <cell r="N43">
            <v>40.99499999999999</v>
          </cell>
          <cell r="O43">
            <v>41</v>
          </cell>
        </row>
        <row r="45">
          <cell r="H45">
            <v>1</v>
          </cell>
          <cell r="I45">
            <v>1</v>
          </cell>
          <cell r="N45">
            <v>15</v>
          </cell>
          <cell r="O45">
            <v>15</v>
          </cell>
        </row>
        <row r="46">
          <cell r="H46">
            <v>230.5</v>
          </cell>
          <cell r="I46">
            <v>231</v>
          </cell>
          <cell r="N46">
            <v>0</v>
          </cell>
          <cell r="O46">
            <v>0</v>
          </cell>
        </row>
        <row r="47">
          <cell r="H47">
            <v>30</v>
          </cell>
          <cell r="I47">
            <v>30</v>
          </cell>
          <cell r="N47">
            <v>0</v>
          </cell>
          <cell r="O47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zoomScale="65" zoomScaleNormal="65" workbookViewId="0">
      <selection activeCell="I27" sqref="I27"/>
    </sheetView>
  </sheetViews>
  <sheetFormatPr defaultColWidth="9.33203125" defaultRowHeight="15.75" x14ac:dyDescent="0.25"/>
  <cols>
    <col min="1" max="1" width="10.83203125" style="416" customWidth="1"/>
    <col min="2" max="2" width="102.83203125" style="416" customWidth="1"/>
    <col min="3" max="3" width="31.33203125" style="416" customWidth="1"/>
    <col min="4" max="6" width="27" style="416" customWidth="1"/>
    <col min="7" max="7" width="27.5" style="418" customWidth="1"/>
    <col min="8" max="8" width="14" style="418" customWidth="1"/>
    <col min="9" max="9" width="86.1640625" style="416" customWidth="1"/>
    <col min="10" max="13" width="27" style="416" customWidth="1"/>
    <col min="14" max="14" width="27" style="418" customWidth="1"/>
    <col min="15" max="16384" width="9.33203125" style="416"/>
  </cols>
  <sheetData>
    <row r="1" spans="1:14" ht="29.25" customHeight="1" x14ac:dyDescent="0.25">
      <c r="B1" s="960" t="s">
        <v>389</v>
      </c>
      <c r="C1" s="960"/>
      <c r="D1" s="960"/>
      <c r="E1" s="960"/>
      <c r="F1" s="960"/>
      <c r="G1" s="960"/>
      <c r="H1"/>
      <c r="I1" s="960" t="s">
        <v>389</v>
      </c>
      <c r="J1" s="960"/>
      <c r="K1" s="960"/>
      <c r="L1" s="960"/>
      <c r="M1" s="960"/>
      <c r="N1" s="960"/>
    </row>
    <row r="2" spans="1:14" ht="36" customHeight="1" x14ac:dyDescent="0.25">
      <c r="B2" s="960" t="s">
        <v>702</v>
      </c>
      <c r="C2" s="960"/>
      <c r="D2" s="960"/>
      <c r="E2" s="960"/>
      <c r="F2" s="960"/>
      <c r="G2" s="960"/>
      <c r="H2"/>
      <c r="I2" s="960" t="s">
        <v>703</v>
      </c>
      <c r="J2" s="960"/>
      <c r="K2" s="960"/>
      <c r="L2" s="960"/>
      <c r="M2" s="960"/>
      <c r="N2" s="960"/>
    </row>
    <row r="3" spans="1:14" ht="16.5" thickBot="1" x14ac:dyDescent="0.3">
      <c r="A3" s="417"/>
      <c r="G3" s="419" t="s">
        <v>380</v>
      </c>
      <c r="N3" s="419" t="s">
        <v>380</v>
      </c>
    </row>
    <row r="4" spans="1:14" ht="33.75" customHeight="1" x14ac:dyDescent="0.25">
      <c r="A4" s="420"/>
      <c r="B4" s="421" t="s">
        <v>374</v>
      </c>
      <c r="C4" s="420" t="s">
        <v>595</v>
      </c>
      <c r="D4" s="422" t="s">
        <v>596</v>
      </c>
      <c r="E4" s="420" t="s">
        <v>596</v>
      </c>
      <c r="F4" s="422" t="s">
        <v>596</v>
      </c>
      <c r="G4" s="422" t="s">
        <v>402</v>
      </c>
      <c r="H4" s="423"/>
      <c r="I4" s="421" t="s">
        <v>410</v>
      </c>
      <c r="J4" s="420" t="s">
        <v>595</v>
      </c>
      <c r="K4" s="422" t="s">
        <v>596</v>
      </c>
      <c r="L4" s="420" t="s">
        <v>596</v>
      </c>
      <c r="M4" s="422" t="s">
        <v>596</v>
      </c>
      <c r="N4" s="422" t="s">
        <v>402</v>
      </c>
    </row>
    <row r="5" spans="1:14" ht="20.100000000000001" customHeight="1" x14ac:dyDescent="0.25">
      <c r="A5" s="424"/>
      <c r="B5" s="425"/>
      <c r="C5" s="424" t="s">
        <v>597</v>
      </c>
      <c r="D5" s="426"/>
      <c r="E5" s="424"/>
      <c r="F5" s="426" t="s">
        <v>402</v>
      </c>
      <c r="G5" s="426" t="s">
        <v>403</v>
      </c>
      <c r="H5" s="427"/>
      <c r="I5" s="425"/>
      <c r="J5" s="424" t="s">
        <v>598</v>
      </c>
      <c r="K5" s="426"/>
      <c r="L5" s="424"/>
      <c r="M5" s="426" t="s">
        <v>402</v>
      </c>
      <c r="N5" s="426" t="s">
        <v>411</v>
      </c>
    </row>
    <row r="6" spans="1:14" ht="88.5" customHeight="1" thickBot="1" x14ac:dyDescent="0.3">
      <c r="A6" s="428"/>
      <c r="B6" s="429"/>
      <c r="C6" s="430" t="s">
        <v>350</v>
      </c>
      <c r="D6" s="431" t="s">
        <v>599</v>
      </c>
      <c r="E6" s="432" t="s">
        <v>600</v>
      </c>
      <c r="F6" s="431"/>
      <c r="G6" s="433"/>
      <c r="H6" s="434"/>
      <c r="I6" s="429"/>
      <c r="J6" s="430" t="s">
        <v>350</v>
      </c>
      <c r="K6" s="431" t="s">
        <v>601</v>
      </c>
      <c r="L6" s="432" t="s">
        <v>600</v>
      </c>
      <c r="M6" s="431"/>
      <c r="N6" s="433"/>
    </row>
    <row r="7" spans="1:14" ht="24" customHeight="1" x14ac:dyDescent="0.25">
      <c r="A7" s="424"/>
      <c r="B7" s="435" t="s">
        <v>602</v>
      </c>
      <c r="C7" s="436"/>
      <c r="D7" s="437"/>
      <c r="E7" s="437"/>
      <c r="F7" s="437"/>
      <c r="G7" s="422"/>
      <c r="H7" s="427"/>
      <c r="I7" s="438" t="s">
        <v>603</v>
      </c>
      <c r="J7" s="436"/>
      <c r="K7" s="437"/>
      <c r="L7" s="437"/>
      <c r="M7" s="437"/>
      <c r="N7" s="422"/>
    </row>
    <row r="8" spans="1:14" ht="24" customHeight="1" x14ac:dyDescent="0.25">
      <c r="A8" s="439" t="s">
        <v>604</v>
      </c>
      <c r="B8" s="440" t="s">
        <v>429</v>
      </c>
      <c r="C8" s="441">
        <v>604694</v>
      </c>
      <c r="D8" s="442">
        <v>4468330</v>
      </c>
      <c r="E8" s="442">
        <v>1467269</v>
      </c>
      <c r="F8" s="442">
        <f>SUM(D8:E8)</f>
        <v>5935599</v>
      </c>
      <c r="G8" s="443">
        <f>SUM(C8+F8)</f>
        <v>6540293</v>
      </c>
      <c r="H8" s="444" t="s">
        <v>605</v>
      </c>
      <c r="I8" s="440" t="s">
        <v>430</v>
      </c>
      <c r="J8" s="445">
        <v>6060723</v>
      </c>
      <c r="K8" s="445">
        <v>235247</v>
      </c>
      <c r="L8" s="442">
        <v>475</v>
      </c>
      <c r="M8" s="442">
        <f>SUM(K8:L8)</f>
        <v>235722</v>
      </c>
      <c r="N8" s="443">
        <f>SUM(J8+M8)</f>
        <v>6296445</v>
      </c>
    </row>
    <row r="9" spans="1:14" ht="44.85" customHeight="1" x14ac:dyDescent="0.25">
      <c r="A9" s="446" t="s">
        <v>606</v>
      </c>
      <c r="B9" s="447" t="s">
        <v>341</v>
      </c>
      <c r="C9" s="441">
        <v>1300</v>
      </c>
      <c r="D9" s="442">
        <v>10795440</v>
      </c>
      <c r="E9" s="442"/>
      <c r="F9" s="442">
        <f>SUM(D9:E9)</f>
        <v>10795440</v>
      </c>
      <c r="G9" s="443">
        <f>SUM(C9+F9)</f>
        <v>10796740</v>
      </c>
      <c r="H9" s="448" t="s">
        <v>607</v>
      </c>
      <c r="I9" s="449" t="s">
        <v>431</v>
      </c>
      <c r="J9" s="450">
        <v>1216777</v>
      </c>
      <c r="K9" s="450">
        <v>50154</v>
      </c>
      <c r="L9" s="442">
        <v>83</v>
      </c>
      <c r="M9" s="442">
        <f>SUM(K9:L9)</f>
        <v>50237</v>
      </c>
      <c r="N9" s="443">
        <f>SUM(J9+M9)</f>
        <v>1267014</v>
      </c>
    </row>
    <row r="10" spans="1:14" ht="24" customHeight="1" x14ac:dyDescent="0.25">
      <c r="A10" s="439" t="s">
        <v>608</v>
      </c>
      <c r="B10" s="440" t="s">
        <v>609</v>
      </c>
      <c r="C10" s="441">
        <v>1416170</v>
      </c>
      <c r="D10" s="442">
        <v>2617185</v>
      </c>
      <c r="E10" s="442"/>
      <c r="F10" s="442">
        <f>SUM(D10:E10)</f>
        <v>2617185</v>
      </c>
      <c r="G10" s="443">
        <f>SUM(C10+F10)</f>
        <v>4033355</v>
      </c>
      <c r="H10" s="448" t="s">
        <v>610</v>
      </c>
      <c r="I10" s="447" t="s">
        <v>432</v>
      </c>
      <c r="J10" s="450">
        <v>3496222</v>
      </c>
      <c r="K10" s="450">
        <v>3684649</v>
      </c>
      <c r="L10" s="442">
        <v>2376833</v>
      </c>
      <c r="M10" s="442">
        <f>SUM(K10:L10)</f>
        <v>6061482</v>
      </c>
      <c r="N10" s="443">
        <f>SUM(J10+M10)</f>
        <v>9557704</v>
      </c>
    </row>
    <row r="11" spans="1:14" ht="24" customHeight="1" x14ac:dyDescent="0.25">
      <c r="A11" s="446" t="s">
        <v>611</v>
      </c>
      <c r="B11" s="447" t="s">
        <v>185</v>
      </c>
      <c r="C11" s="441">
        <v>2373</v>
      </c>
      <c r="D11" s="442">
        <v>579570</v>
      </c>
      <c r="E11" s="442"/>
      <c r="F11" s="442">
        <f>SUM(D11:E11)</f>
        <v>579570</v>
      </c>
      <c r="G11" s="443">
        <f>SUM(C11+F11)</f>
        <v>581943</v>
      </c>
      <c r="H11" s="451" t="s">
        <v>612</v>
      </c>
      <c r="I11" s="452" t="s">
        <v>433</v>
      </c>
      <c r="J11" s="450">
        <v>0</v>
      </c>
      <c r="K11" s="450">
        <v>205860</v>
      </c>
      <c r="L11" s="442">
        <v>0</v>
      </c>
      <c r="M11" s="442">
        <f>SUM(K11:L11)</f>
        <v>205860</v>
      </c>
      <c r="N11" s="443">
        <f>SUM(J11+M11)</f>
        <v>205860</v>
      </c>
    </row>
    <row r="12" spans="1:14" ht="24" customHeight="1" thickBot="1" x14ac:dyDescent="0.3">
      <c r="A12" s="439"/>
      <c r="B12" s="440"/>
      <c r="C12" s="453"/>
      <c r="D12" s="442"/>
      <c r="E12" s="445"/>
      <c r="F12" s="442">
        <f>SUM(D12:E12)</f>
        <v>0</v>
      </c>
      <c r="G12" s="443">
        <f>SUM(C12+F12)</f>
        <v>0</v>
      </c>
      <c r="H12" s="448" t="s">
        <v>613</v>
      </c>
      <c r="I12" s="447" t="s">
        <v>614</v>
      </c>
      <c r="J12" s="442">
        <v>40250</v>
      </c>
      <c r="K12" s="442">
        <v>5038679</v>
      </c>
      <c r="L12" s="442">
        <v>26104</v>
      </c>
      <c r="M12" s="442">
        <f>SUM(K12:L12)</f>
        <v>5064783</v>
      </c>
      <c r="N12" s="443">
        <f>SUM(J12+M12)</f>
        <v>5105033</v>
      </c>
    </row>
    <row r="13" spans="1:14" ht="24" customHeight="1" thickBot="1" x14ac:dyDescent="0.3">
      <c r="A13" s="454"/>
      <c r="B13" s="455" t="s">
        <v>405</v>
      </c>
      <c r="C13" s="456">
        <f>SUM(C8:C12)</f>
        <v>2024537</v>
      </c>
      <c r="D13" s="456">
        <f>SUM(D8:D12)</f>
        <v>18460525</v>
      </c>
      <c r="E13" s="456">
        <f>SUM(E8:E12)</f>
        <v>1467269</v>
      </c>
      <c r="F13" s="456">
        <f>SUM(F8:F12)</f>
        <v>19927794</v>
      </c>
      <c r="G13" s="456">
        <f>SUM(G8:G12)</f>
        <v>21952331</v>
      </c>
      <c r="H13" s="454"/>
      <c r="I13" s="455" t="s">
        <v>412</v>
      </c>
      <c r="J13" s="456">
        <f>SUM(J8:J12)</f>
        <v>10813972</v>
      </c>
      <c r="K13" s="456">
        <f>SUM(K8:K12)</f>
        <v>9214589</v>
      </c>
      <c r="L13" s="456">
        <f>SUM(L8:L12)</f>
        <v>2403495</v>
      </c>
      <c r="M13" s="456">
        <f>SUM(M8:M12)</f>
        <v>11618084</v>
      </c>
      <c r="N13" s="456">
        <f>SUM(N8:N12)</f>
        <v>22432056</v>
      </c>
    </row>
    <row r="14" spans="1:14" s="460" customFormat="1" ht="24" customHeight="1" x14ac:dyDescent="0.25">
      <c r="A14" s="439" t="s">
        <v>615</v>
      </c>
      <c r="B14" s="447" t="s">
        <v>124</v>
      </c>
      <c r="C14" s="441">
        <v>34377</v>
      </c>
      <c r="D14" s="442">
        <v>5141673</v>
      </c>
      <c r="E14" s="442">
        <v>-1467269</v>
      </c>
      <c r="F14" s="442">
        <f>SUM(D14:E14)</f>
        <v>3674404</v>
      </c>
      <c r="G14" s="443">
        <f>SUM(C14+F14)</f>
        <v>3708781</v>
      </c>
      <c r="H14" s="457" t="s">
        <v>616</v>
      </c>
      <c r="I14" s="458" t="s">
        <v>276</v>
      </c>
      <c r="J14" s="459">
        <v>376116</v>
      </c>
      <c r="K14" s="459">
        <v>6306243</v>
      </c>
      <c r="L14" s="459">
        <v>-945393</v>
      </c>
      <c r="M14" s="442">
        <f>SUM(K14:L14)</f>
        <v>5360850</v>
      </c>
      <c r="N14" s="443">
        <f>SUM(J14+M14)</f>
        <v>5736966</v>
      </c>
    </row>
    <row r="15" spans="1:14" ht="24" customHeight="1" x14ac:dyDescent="0.25">
      <c r="A15" s="439" t="s">
        <v>617</v>
      </c>
      <c r="B15" s="447" t="s">
        <v>123</v>
      </c>
      <c r="C15" s="441">
        <v>579</v>
      </c>
      <c r="D15" s="442">
        <v>200000</v>
      </c>
      <c r="E15" s="442"/>
      <c r="F15" s="442">
        <f>SUM(D15:E15)</f>
        <v>200000</v>
      </c>
      <c r="G15" s="443">
        <f>SUM(C15+F15)</f>
        <v>200579</v>
      </c>
      <c r="H15" s="461" t="s">
        <v>618</v>
      </c>
      <c r="I15" s="447" t="s">
        <v>434</v>
      </c>
      <c r="J15" s="450">
        <v>149800</v>
      </c>
      <c r="K15" s="450">
        <v>8895325</v>
      </c>
      <c r="L15" s="450">
        <v>-1431114</v>
      </c>
      <c r="M15" s="442">
        <f>SUM(K15:L15)</f>
        <v>7464211</v>
      </c>
      <c r="N15" s="443">
        <f>SUM(J15+M15)</f>
        <v>7614011</v>
      </c>
    </row>
    <row r="16" spans="1:14" ht="24" customHeight="1" thickBot="1" x14ac:dyDescent="0.3">
      <c r="A16" s="439" t="s">
        <v>619</v>
      </c>
      <c r="B16" s="447" t="s">
        <v>435</v>
      </c>
      <c r="C16" s="441">
        <v>0</v>
      </c>
      <c r="D16" s="442">
        <v>20000</v>
      </c>
      <c r="E16" s="445"/>
      <c r="F16" s="442">
        <f>SUM(D16:E16)</f>
        <v>20000</v>
      </c>
      <c r="G16" s="443">
        <f>SUM(C16+F16)</f>
        <v>20000</v>
      </c>
      <c r="H16" s="451" t="s">
        <v>620</v>
      </c>
      <c r="I16" s="462" t="s">
        <v>436</v>
      </c>
      <c r="J16" s="445">
        <v>0</v>
      </c>
      <c r="K16" s="445">
        <v>317576</v>
      </c>
      <c r="L16" s="442">
        <v>-26988</v>
      </c>
      <c r="M16" s="442">
        <f>SUM(K16:L16)</f>
        <v>290588</v>
      </c>
      <c r="N16" s="443">
        <f>SUM(J16+M16)</f>
        <v>290588</v>
      </c>
    </row>
    <row r="17" spans="1:14" ht="24" customHeight="1" thickBot="1" x14ac:dyDescent="0.3">
      <c r="A17" s="454"/>
      <c r="B17" s="455" t="s">
        <v>406</v>
      </c>
      <c r="C17" s="456">
        <f>SUM(C14:C16)</f>
        <v>34956</v>
      </c>
      <c r="D17" s="456">
        <f>SUM(D14:D16)</f>
        <v>5361673</v>
      </c>
      <c r="E17" s="456">
        <f>SUM(E14:E16)</f>
        <v>-1467269</v>
      </c>
      <c r="F17" s="456">
        <f>SUM(F14:F16)</f>
        <v>3894404</v>
      </c>
      <c r="G17" s="456">
        <f>SUM(G14:G16)</f>
        <v>3929360</v>
      </c>
      <c r="H17" s="454"/>
      <c r="I17" s="463" t="s">
        <v>413</v>
      </c>
      <c r="J17" s="456">
        <f>SUM(J14:J16)</f>
        <v>525916</v>
      </c>
      <c r="K17" s="456">
        <f>SUM(K14:K16)</f>
        <v>15519144</v>
      </c>
      <c r="L17" s="456">
        <f>SUM(L14:L16)</f>
        <v>-2403495</v>
      </c>
      <c r="M17" s="456">
        <f>SUM(M14:M16)</f>
        <v>13115649</v>
      </c>
      <c r="N17" s="456">
        <f>SUM(N14:N16)</f>
        <v>13641565</v>
      </c>
    </row>
    <row r="18" spans="1:14" ht="24" customHeight="1" thickBot="1" x14ac:dyDescent="0.3">
      <c r="A18" s="454"/>
      <c r="B18" s="463" t="s">
        <v>407</v>
      </c>
      <c r="C18" s="456">
        <f>+C13+C17</f>
        <v>2059493</v>
      </c>
      <c r="D18" s="456">
        <f>D13+D17</f>
        <v>23822198</v>
      </c>
      <c r="E18" s="456">
        <f>+E13+E17</f>
        <v>0</v>
      </c>
      <c r="F18" s="456">
        <f>F13+F17</f>
        <v>23822198</v>
      </c>
      <c r="G18" s="456">
        <f>SUM(G13+G17)</f>
        <v>25881691</v>
      </c>
      <c r="H18" s="454"/>
      <c r="I18" s="455" t="s">
        <v>414</v>
      </c>
      <c r="J18" s="456">
        <f>SUM(J17,J13)</f>
        <v>11339888</v>
      </c>
      <c r="K18" s="456">
        <f>SUM(K17,K13)</f>
        <v>24733733</v>
      </c>
      <c r="L18" s="456">
        <f>+L13+L17</f>
        <v>0</v>
      </c>
      <c r="M18" s="456">
        <f>SUM(M13+M17)</f>
        <v>24733733</v>
      </c>
      <c r="N18" s="456">
        <f>SUM(N17,N13)</f>
        <v>36073621</v>
      </c>
    </row>
    <row r="19" spans="1:14" ht="24" customHeight="1" thickBot="1" x14ac:dyDescent="0.3">
      <c r="A19" s="464" t="s">
        <v>621</v>
      </c>
      <c r="B19" s="465" t="s">
        <v>408</v>
      </c>
      <c r="C19" s="466">
        <v>174298</v>
      </c>
      <c r="D19" s="467">
        <v>10176193</v>
      </c>
      <c r="E19" s="467">
        <v>0</v>
      </c>
      <c r="F19" s="467">
        <f>SUM(D19:E19)</f>
        <v>10176193</v>
      </c>
      <c r="G19" s="443">
        <f>SUM(C19+F19)</f>
        <v>10350491</v>
      </c>
      <c r="H19" s="468" t="s">
        <v>622</v>
      </c>
      <c r="I19" s="469" t="s">
        <v>415</v>
      </c>
      <c r="J19" s="450"/>
      <c r="K19" s="450">
        <v>158561</v>
      </c>
      <c r="L19" s="470"/>
      <c r="M19" s="442">
        <f>SUM(K19:L19)</f>
        <v>158561</v>
      </c>
      <c r="N19" s="443">
        <f>SUM(J19+M19)</f>
        <v>158561</v>
      </c>
    </row>
    <row r="20" spans="1:14" ht="49.5" customHeight="1" thickBot="1" x14ac:dyDescent="0.3">
      <c r="A20" s="471"/>
      <c r="B20" s="472" t="s">
        <v>409</v>
      </c>
      <c r="C20" s="473">
        <f>SUM(C18:C19)</f>
        <v>2233791</v>
      </c>
      <c r="D20" s="473">
        <f>SUM(D18:D19)</f>
        <v>33998391</v>
      </c>
      <c r="E20" s="473">
        <f>+E18+E19</f>
        <v>0</v>
      </c>
      <c r="F20" s="473">
        <f>SUM(F18:F19)</f>
        <v>33998391</v>
      </c>
      <c r="G20" s="473">
        <f>SUM(G18:G19)</f>
        <v>36232182</v>
      </c>
      <c r="H20" s="471"/>
      <c r="I20" s="472" t="s">
        <v>416</v>
      </c>
      <c r="J20" s="473">
        <f>SUM(J18:J19)</f>
        <v>11339888</v>
      </c>
      <c r="K20" s="473">
        <f>SUM(K18:K19)</f>
        <v>24892294</v>
      </c>
      <c r="L20" s="473">
        <f>SUM(L18:L19)</f>
        <v>0</v>
      </c>
      <c r="M20" s="473">
        <f>SUM(M18:M19)</f>
        <v>24892294</v>
      </c>
      <c r="N20" s="456">
        <f>SUM(N18:N19)</f>
        <v>36232182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1. melléklet a …./2019. (…….) önkormányzati rendelethez
„1. melléklet a 5/2019. (IV. 1.) önkormányzati rendelethez”
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1"/>
  <dimension ref="B1:K56"/>
  <sheetViews>
    <sheetView zoomScale="96" zoomScaleNormal="96" workbookViewId="0">
      <selection activeCell="C120" sqref="C120"/>
    </sheetView>
  </sheetViews>
  <sheetFormatPr defaultColWidth="9.33203125" defaultRowHeight="15" customHeight="1" x14ac:dyDescent="0.2"/>
  <cols>
    <col min="1" max="1" width="18.33203125" style="5" customWidth="1"/>
    <col min="2" max="2" width="90.1640625" style="5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8" width="19.6640625" style="5" customWidth="1"/>
    <col min="9" max="9" width="20.5" style="5" customWidth="1"/>
    <col min="10" max="10" width="16.1640625" style="5" customWidth="1"/>
    <col min="11" max="11" width="16.5" style="5" customWidth="1"/>
    <col min="12" max="16384" width="9.33203125" style="5"/>
  </cols>
  <sheetData>
    <row r="1" spans="2:11" ht="15" customHeight="1" x14ac:dyDescent="0.25">
      <c r="B1" s="2"/>
      <c r="C1" s="2"/>
      <c r="D1" s="2"/>
      <c r="E1" s="2"/>
    </row>
    <row r="2" spans="2:11" ht="23.25" customHeight="1" x14ac:dyDescent="0.25">
      <c r="B2" s="962" t="s">
        <v>105</v>
      </c>
      <c r="C2" s="962"/>
      <c r="D2" s="962"/>
      <c r="E2" s="962"/>
    </row>
    <row r="3" spans="2:11" ht="15" customHeight="1" x14ac:dyDescent="0.25">
      <c r="B3" s="2"/>
      <c r="C3" s="2"/>
      <c r="D3" s="2"/>
      <c r="E3" s="2"/>
    </row>
    <row r="4" spans="2:11" ht="19.5" thickBot="1" x14ac:dyDescent="0.35">
      <c r="B4" s="74" t="s">
        <v>59</v>
      </c>
      <c r="C4" s="74"/>
      <c r="D4" s="74"/>
      <c r="E4" s="302" t="s">
        <v>380</v>
      </c>
    </row>
    <row r="5" spans="2:11" ht="20.100000000000001" customHeight="1" x14ac:dyDescent="0.25">
      <c r="B5" s="63" t="s">
        <v>303</v>
      </c>
      <c r="C5" s="529" t="s">
        <v>923</v>
      </c>
      <c r="D5" s="529" t="s">
        <v>863</v>
      </c>
      <c r="E5" s="529" t="s">
        <v>955</v>
      </c>
      <c r="F5" s="392"/>
      <c r="G5" s="392"/>
      <c r="H5" s="392"/>
      <c r="I5" s="392"/>
      <c r="J5" s="392"/>
      <c r="K5" s="392"/>
    </row>
    <row r="6" spans="2:11" ht="20.100000000000001" customHeight="1" thickBot="1" x14ac:dyDescent="0.3">
      <c r="B6" s="113"/>
      <c r="C6" s="395" t="s">
        <v>635</v>
      </c>
      <c r="D6" s="395" t="s">
        <v>864</v>
      </c>
      <c r="E6" s="395" t="s">
        <v>635</v>
      </c>
    </row>
    <row r="7" spans="2:11" ht="30" x14ac:dyDescent="0.2">
      <c r="B7" s="203" t="s">
        <v>171</v>
      </c>
      <c r="C7" s="199">
        <v>804384</v>
      </c>
      <c r="D7" s="199">
        <f>56471+2794+100+180+4082-4093-9527</f>
        <v>50007</v>
      </c>
      <c r="E7" s="689">
        <f>C7+D7</f>
        <v>854391</v>
      </c>
      <c r="F7" s="4"/>
      <c r="G7" s="4"/>
      <c r="H7" s="4"/>
      <c r="I7" s="4"/>
      <c r="J7" s="4"/>
      <c r="K7" s="4"/>
    </row>
    <row r="8" spans="2:11" ht="30" x14ac:dyDescent="0.2">
      <c r="B8" s="204" t="s">
        <v>157</v>
      </c>
      <c r="C8" s="88">
        <v>94499</v>
      </c>
      <c r="D8" s="88">
        <f>16043+9527</f>
        <v>25570</v>
      </c>
      <c r="E8" s="88">
        <f>C8+D8</f>
        <v>120069</v>
      </c>
      <c r="G8" s="4"/>
    </row>
    <row r="9" spans="2:11" ht="30" x14ac:dyDescent="0.2">
      <c r="B9" s="205" t="s">
        <v>892</v>
      </c>
      <c r="C9" s="192">
        <v>10384</v>
      </c>
      <c r="D9" s="192"/>
      <c r="E9" s="192">
        <f>C9+D9</f>
        <v>10384</v>
      </c>
    </row>
    <row r="10" spans="2:11" ht="41.25" customHeight="1" thickBot="1" x14ac:dyDescent="0.3">
      <c r="B10" s="60" t="s">
        <v>210</v>
      </c>
      <c r="C10" s="52">
        <f>SUM(C7:C9)</f>
        <v>909267</v>
      </c>
      <c r="D10" s="52">
        <f>SUM(D7:D9)</f>
        <v>75577</v>
      </c>
      <c r="E10" s="52">
        <f>SUM(E7:E9)</f>
        <v>984844</v>
      </c>
    </row>
    <row r="11" spans="2:11" ht="20.100000000000001" customHeight="1" x14ac:dyDescent="0.2">
      <c r="B11" s="34" t="s">
        <v>356</v>
      </c>
      <c r="C11" s="34"/>
      <c r="D11" s="34"/>
      <c r="E11" s="389"/>
    </row>
    <row r="12" spans="2:11" ht="20.100000000000001" customHeight="1" x14ac:dyDescent="0.2">
      <c r="B12" s="206" t="s">
        <v>331</v>
      </c>
      <c r="C12" s="213">
        <v>880</v>
      </c>
      <c r="D12" s="213">
        <v>322</v>
      </c>
      <c r="E12" s="89">
        <f>SUM(C12:D12)</f>
        <v>1202</v>
      </c>
    </row>
    <row r="13" spans="2:11" ht="20.100000000000001" customHeight="1" x14ac:dyDescent="0.2">
      <c r="B13" s="206" t="s">
        <v>983</v>
      </c>
      <c r="C13" s="89"/>
      <c r="D13" s="89">
        <v>4881</v>
      </c>
      <c r="E13" s="89">
        <f>SUM(C13:D13)</f>
        <v>4881</v>
      </c>
    </row>
    <row r="14" spans="2:11" ht="30.75" thickBot="1" x14ac:dyDescent="0.25">
      <c r="B14" s="571" t="s">
        <v>966</v>
      </c>
      <c r="C14" s="207">
        <v>2292</v>
      </c>
      <c r="D14" s="704"/>
      <c r="E14" s="207">
        <f>SUM(C14:D14)</f>
        <v>2292</v>
      </c>
    </row>
    <row r="15" spans="2:11" ht="19.5" customHeight="1" thickBot="1" x14ac:dyDescent="0.25">
      <c r="B15" s="31" t="s">
        <v>358</v>
      </c>
      <c r="C15" s="44">
        <f>SUM(C12:C14)</f>
        <v>3172</v>
      </c>
      <c r="D15" s="44">
        <f>SUM(D12:D14)</f>
        <v>5203</v>
      </c>
      <c r="E15" s="44">
        <f>SUM(E12:E14)</f>
        <v>8375</v>
      </c>
    </row>
    <row r="16" spans="2:11" ht="20.100000000000001" customHeight="1" x14ac:dyDescent="0.2">
      <c r="B16" s="34" t="s">
        <v>357</v>
      </c>
      <c r="C16" s="34"/>
      <c r="D16" s="34"/>
      <c r="E16" s="389"/>
    </row>
    <row r="17" spans="2:8" ht="20.100000000000001" customHeight="1" x14ac:dyDescent="0.2">
      <c r="B17" s="16" t="s">
        <v>273</v>
      </c>
      <c r="C17" s="44">
        <v>186998</v>
      </c>
      <c r="D17" s="44">
        <f>2445+2156-3200-490</f>
        <v>911</v>
      </c>
      <c r="E17" s="44">
        <f>C17+D17</f>
        <v>187909</v>
      </c>
      <c r="F17" s="4"/>
      <c r="H17" s="4"/>
    </row>
    <row r="18" spans="2:8" ht="20.100000000000001" customHeight="1" x14ac:dyDescent="0.2">
      <c r="B18" s="16" t="s">
        <v>79</v>
      </c>
      <c r="C18" s="44">
        <v>2000</v>
      </c>
      <c r="D18" s="44"/>
      <c r="E18" s="44">
        <f t="shared" ref="E18:E34" si="0">C18+D18</f>
        <v>2000</v>
      </c>
    </row>
    <row r="19" spans="2:8" x14ac:dyDescent="0.2">
      <c r="B19" s="205" t="s">
        <v>632</v>
      </c>
      <c r="C19" s="89">
        <v>123302</v>
      </c>
      <c r="D19" s="89">
        <v>490</v>
      </c>
      <c r="E19" s="89">
        <f t="shared" si="0"/>
        <v>123792</v>
      </c>
    </row>
    <row r="20" spans="2:8" ht="20.100000000000001" customHeight="1" x14ac:dyDescent="0.2">
      <c r="B20" s="15" t="s">
        <v>445</v>
      </c>
      <c r="C20" s="44">
        <v>2210</v>
      </c>
      <c r="D20" s="44"/>
      <c r="E20" s="44">
        <f t="shared" si="0"/>
        <v>2210</v>
      </c>
    </row>
    <row r="21" spans="2:8" ht="20.100000000000001" customHeight="1" x14ac:dyDescent="0.2">
      <c r="B21" s="15" t="s">
        <v>31</v>
      </c>
      <c r="C21" s="44">
        <v>2536</v>
      </c>
      <c r="D21" s="44">
        <v>60</v>
      </c>
      <c r="E21" s="44">
        <f t="shared" si="0"/>
        <v>2596</v>
      </c>
    </row>
    <row r="22" spans="2:8" ht="20.100000000000001" customHeight="1" x14ac:dyDescent="0.2">
      <c r="B22" s="15" t="s">
        <v>28</v>
      </c>
      <c r="C22" s="44">
        <v>3000</v>
      </c>
      <c r="D22" s="44"/>
      <c r="E22" s="44">
        <f t="shared" si="0"/>
        <v>3000</v>
      </c>
    </row>
    <row r="23" spans="2:8" ht="20.100000000000001" customHeight="1" x14ac:dyDescent="0.2">
      <c r="B23" s="15" t="s">
        <v>162</v>
      </c>
      <c r="C23" s="44">
        <v>5000</v>
      </c>
      <c r="D23" s="44"/>
      <c r="E23" s="44">
        <f t="shared" si="0"/>
        <v>5000</v>
      </c>
    </row>
    <row r="24" spans="2:8" ht="20.100000000000001" customHeight="1" x14ac:dyDescent="0.2">
      <c r="B24" s="15" t="s">
        <v>450</v>
      </c>
      <c r="C24" s="44">
        <v>2000</v>
      </c>
      <c r="D24" s="44"/>
      <c r="E24" s="44">
        <f t="shared" si="0"/>
        <v>2000</v>
      </c>
    </row>
    <row r="25" spans="2:8" ht="39" customHeight="1" x14ac:dyDescent="0.2">
      <c r="B25" s="352" t="s">
        <v>454</v>
      </c>
      <c r="C25" s="44">
        <v>5500</v>
      </c>
      <c r="D25" s="44"/>
      <c r="E25" s="44">
        <f t="shared" si="0"/>
        <v>5500</v>
      </c>
    </row>
    <row r="26" spans="2:8" x14ac:dyDescent="0.2">
      <c r="B26" s="15" t="s">
        <v>202</v>
      </c>
      <c r="C26" s="44">
        <v>14398</v>
      </c>
      <c r="D26" s="44"/>
      <c r="E26" s="44">
        <f t="shared" si="0"/>
        <v>14398</v>
      </c>
    </row>
    <row r="27" spans="2:8" ht="19.5" customHeight="1" x14ac:dyDescent="0.2">
      <c r="B27" s="35" t="s">
        <v>0</v>
      </c>
      <c r="C27" s="44">
        <v>54631</v>
      </c>
      <c r="D27" s="44"/>
      <c r="E27" s="44">
        <f t="shared" si="0"/>
        <v>54631</v>
      </c>
    </row>
    <row r="28" spans="2:8" x14ac:dyDescent="0.2">
      <c r="B28" s="133" t="s">
        <v>263</v>
      </c>
      <c r="C28" s="44">
        <v>1519</v>
      </c>
      <c r="D28" s="44">
        <v>-60</v>
      </c>
      <c r="E28" s="44">
        <f t="shared" si="0"/>
        <v>1459</v>
      </c>
    </row>
    <row r="29" spans="2:8" x14ac:dyDescent="0.2">
      <c r="B29" s="29" t="s">
        <v>441</v>
      </c>
      <c r="C29" s="44">
        <v>13371</v>
      </c>
      <c r="D29" s="44">
        <v>-4082</v>
      </c>
      <c r="E29" s="44">
        <f t="shared" si="0"/>
        <v>9289</v>
      </c>
    </row>
    <row r="30" spans="2:8" x14ac:dyDescent="0.2">
      <c r="B30" s="29" t="s">
        <v>453</v>
      </c>
      <c r="C30" s="44">
        <v>6000</v>
      </c>
      <c r="D30" s="44"/>
      <c r="E30" s="44">
        <f t="shared" si="0"/>
        <v>6000</v>
      </c>
    </row>
    <row r="31" spans="2:8" ht="45" x14ac:dyDescent="0.2">
      <c r="B31" s="29" t="s">
        <v>81</v>
      </c>
      <c r="C31" s="44">
        <v>19000</v>
      </c>
      <c r="D31" s="44"/>
      <c r="E31" s="44">
        <f t="shared" si="0"/>
        <v>19000</v>
      </c>
    </row>
    <row r="32" spans="2:8" x14ac:dyDescent="0.2">
      <c r="B32" s="29" t="s">
        <v>565</v>
      </c>
      <c r="C32" s="44">
        <v>5724</v>
      </c>
      <c r="D32" s="44"/>
      <c r="E32" s="44">
        <f t="shared" si="0"/>
        <v>5724</v>
      </c>
    </row>
    <row r="33" spans="2:5" s="703" customFormat="1" x14ac:dyDescent="0.2">
      <c r="B33" s="702" t="s">
        <v>910</v>
      </c>
      <c r="C33" s="695">
        <v>2620</v>
      </c>
      <c r="D33" s="695"/>
      <c r="E33" s="695">
        <f t="shared" si="0"/>
        <v>2620</v>
      </c>
    </row>
    <row r="34" spans="2:5" s="703" customFormat="1" ht="15.75" thickBot="1" x14ac:dyDescent="0.25">
      <c r="B34" s="737" t="s">
        <v>947</v>
      </c>
      <c r="C34" s="738">
        <v>7739</v>
      </c>
      <c r="D34" s="738">
        <v>259</v>
      </c>
      <c r="E34" s="695">
        <f t="shared" si="0"/>
        <v>7998</v>
      </c>
    </row>
    <row r="35" spans="2:5" ht="37.5" customHeight="1" thickBot="1" x14ac:dyDescent="0.25">
      <c r="B35" s="32" t="s">
        <v>22</v>
      </c>
      <c r="C35" s="50">
        <f>SUM(C16:C34)</f>
        <v>457548</v>
      </c>
      <c r="D35" s="50">
        <f>SUM(D16:D34)</f>
        <v>-2422</v>
      </c>
      <c r="E35" s="50">
        <f>SUM(E16:E34)</f>
        <v>455126</v>
      </c>
    </row>
    <row r="36" spans="2:5" ht="20.100000000000001" customHeight="1" thickBot="1" x14ac:dyDescent="0.3">
      <c r="B36" s="7" t="s">
        <v>211</v>
      </c>
      <c r="C36" s="45">
        <f>C15+C35</f>
        <v>460720</v>
      </c>
      <c r="D36" s="45">
        <f>D15+D35</f>
        <v>2781</v>
      </c>
      <c r="E36" s="45">
        <f>E15+E35</f>
        <v>463501</v>
      </c>
    </row>
    <row r="37" spans="2:5" s="9" customFormat="1" ht="20.100000000000001" customHeight="1" thickBot="1" x14ac:dyDescent="0.3">
      <c r="B37" s="11" t="s">
        <v>530</v>
      </c>
      <c r="C37" s="51">
        <f>+C10+C36</f>
        <v>1369987</v>
      </c>
      <c r="D37" s="51">
        <f>+D10+D36</f>
        <v>78358</v>
      </c>
      <c r="E37" s="51">
        <f>+E10+E36</f>
        <v>1448345</v>
      </c>
    </row>
    <row r="39" spans="2:5" ht="19.5" thickBot="1" x14ac:dyDescent="0.35">
      <c r="B39" s="74" t="s">
        <v>139</v>
      </c>
      <c r="C39" s="74"/>
      <c r="D39" s="74"/>
      <c r="E39" s="74"/>
    </row>
    <row r="40" spans="2:5" ht="15" customHeight="1" x14ac:dyDescent="0.25">
      <c r="B40" s="3" t="s">
        <v>303</v>
      </c>
      <c r="C40" s="529" t="s">
        <v>923</v>
      </c>
      <c r="D40" s="529" t="s">
        <v>863</v>
      </c>
      <c r="E40" s="529" t="s">
        <v>955</v>
      </c>
    </row>
    <row r="41" spans="2:5" ht="15" customHeight="1" thickBot="1" x14ac:dyDescent="0.3">
      <c r="B41" s="17"/>
      <c r="C41" s="395" t="s">
        <v>635</v>
      </c>
      <c r="D41" s="395" t="s">
        <v>864</v>
      </c>
      <c r="E41" s="395" t="s">
        <v>635</v>
      </c>
    </row>
    <row r="42" spans="2:5" ht="48" customHeight="1" x14ac:dyDescent="0.2">
      <c r="B42" s="133" t="s">
        <v>171</v>
      </c>
      <c r="C42" s="44">
        <v>14606</v>
      </c>
      <c r="D42" s="44">
        <f>500+120+150+3597+9527+700</f>
        <v>14594</v>
      </c>
      <c r="E42" s="44">
        <f>SUM(C42:D42)</f>
        <v>29200</v>
      </c>
    </row>
    <row r="43" spans="2:5" ht="30" x14ac:dyDescent="0.2">
      <c r="B43" s="204" t="s">
        <v>157</v>
      </c>
      <c r="C43" s="208"/>
      <c r="D43" s="745">
        <f>9527-9527</f>
        <v>0</v>
      </c>
      <c r="E43" s="349">
        <f>SUM(C43:D43)</f>
        <v>0</v>
      </c>
    </row>
    <row r="44" spans="2:5" ht="30.75" thickBot="1" x14ac:dyDescent="0.25">
      <c r="B44" s="204" t="s">
        <v>892</v>
      </c>
      <c r="C44" s="204"/>
      <c r="D44" s="548"/>
      <c r="E44" s="207">
        <f>SUM(C44:D44)</f>
        <v>0</v>
      </c>
    </row>
    <row r="45" spans="2:5" ht="16.5" thickBot="1" x14ac:dyDescent="0.3">
      <c r="B45" s="8" t="s">
        <v>531</v>
      </c>
      <c r="C45" s="50">
        <f>SUM(C42:C44)</f>
        <v>14606</v>
      </c>
      <c r="D45" s="50">
        <f>SUM(D42:D44)</f>
        <v>14594</v>
      </c>
      <c r="E45" s="50">
        <f>SUM(E42:E44)</f>
        <v>29200</v>
      </c>
    </row>
    <row r="46" spans="2:5" ht="15" customHeight="1" thickBot="1" x14ac:dyDescent="0.3">
      <c r="B46" s="8"/>
      <c r="C46" s="140"/>
      <c r="D46" s="140"/>
      <c r="E46" s="140"/>
    </row>
    <row r="47" spans="2:5" ht="18.75" thickBot="1" x14ac:dyDescent="0.3">
      <c r="B47" s="75" t="s">
        <v>532</v>
      </c>
      <c r="C47" s="138">
        <f>+C45+C37</f>
        <v>1384593</v>
      </c>
      <c r="D47" s="138">
        <f>+D45+D37</f>
        <v>92952</v>
      </c>
      <c r="E47" s="138">
        <f>+E45+E37</f>
        <v>1477545</v>
      </c>
    </row>
    <row r="49" spans="2:5" ht="15" customHeight="1" x14ac:dyDescent="0.25">
      <c r="B49" s="9" t="s">
        <v>129</v>
      </c>
      <c r="C49" s="9"/>
      <c r="D49" s="9"/>
      <c r="E49" s="297"/>
    </row>
    <row r="50" spans="2:5" ht="15" customHeight="1" x14ac:dyDescent="0.25">
      <c r="B50" s="9" t="s">
        <v>130</v>
      </c>
      <c r="C50" s="9"/>
      <c r="D50" s="9"/>
      <c r="E50" s="9"/>
    </row>
    <row r="55" spans="2:5" ht="15" customHeight="1" x14ac:dyDescent="0.25">
      <c r="B55" s="110" t="s">
        <v>257</v>
      </c>
      <c r="C55" s="110"/>
      <c r="D55" s="110"/>
      <c r="E55" s="110"/>
    </row>
    <row r="56" spans="2:5" ht="48.75" customHeight="1" x14ac:dyDescent="0.25">
      <c r="B56" s="141" t="s">
        <v>60</v>
      </c>
      <c r="C56" s="115">
        <f>C10+C45</f>
        <v>923873</v>
      </c>
      <c r="D56" s="115">
        <f>D10+D45</f>
        <v>90171</v>
      </c>
      <c r="E56" s="115">
        <f>E10+E45</f>
        <v>1014044</v>
      </c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3"/>
  <headerFooter alignWithMargins="0">
    <oddHeader xml:space="preserve">&amp;R&amp;"Times New Roman CE,Félkövér"&amp;12 10. melléklet a …./2019. (…….) önkormányzati rendelethez
„10. melléklet a 5/2019. (IV. 1.) önkormányzati rendelethez”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2"/>
  <dimension ref="A1:K47"/>
  <sheetViews>
    <sheetView zoomScaleNormal="100" workbookViewId="0">
      <selection activeCell="C120" sqref="C120"/>
    </sheetView>
  </sheetViews>
  <sheetFormatPr defaultColWidth="9.33203125" defaultRowHeight="15" customHeight="1" x14ac:dyDescent="0.25"/>
  <cols>
    <col min="1" max="1" width="19.83203125" style="33" customWidth="1"/>
    <col min="2" max="2" width="91.1640625" style="5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6" width="9.33203125" style="5"/>
    <col min="7" max="7" width="14.1640625" style="5" bestFit="1" customWidth="1"/>
    <col min="8" max="8" width="17.5" style="5" customWidth="1"/>
    <col min="9" max="9" width="19" style="5" customWidth="1"/>
    <col min="10" max="10" width="18.33203125" style="5" customWidth="1"/>
    <col min="11" max="11" width="25" style="5" customWidth="1"/>
    <col min="12" max="16384" width="9.33203125" style="5"/>
  </cols>
  <sheetData>
    <row r="1" spans="1:11" ht="15" customHeight="1" x14ac:dyDescent="0.25">
      <c r="B1" s="2"/>
      <c r="C1" s="2"/>
      <c r="D1" s="2"/>
      <c r="E1" s="2"/>
    </row>
    <row r="2" spans="1:11" ht="24" customHeight="1" x14ac:dyDescent="0.25">
      <c r="B2" s="962" t="s">
        <v>106</v>
      </c>
      <c r="C2" s="962"/>
      <c r="D2" s="962"/>
      <c r="E2" s="962"/>
    </row>
    <row r="3" spans="1:11" ht="15" customHeight="1" x14ac:dyDescent="0.25">
      <c r="B3" s="2"/>
      <c r="C3" s="2"/>
      <c r="D3" s="2"/>
      <c r="E3" s="2"/>
    </row>
    <row r="4" spans="1:11" ht="19.5" thickBot="1" x14ac:dyDescent="0.35">
      <c r="B4" s="74" t="s">
        <v>59</v>
      </c>
      <c r="C4" s="74"/>
      <c r="D4" s="74"/>
      <c r="E4" s="302" t="s">
        <v>380</v>
      </c>
    </row>
    <row r="5" spans="1:11" ht="20.100000000000001" customHeight="1" x14ac:dyDescent="0.25">
      <c r="B5" s="63" t="s">
        <v>303</v>
      </c>
      <c r="C5" s="529" t="s">
        <v>923</v>
      </c>
      <c r="D5" s="529" t="s">
        <v>863</v>
      </c>
      <c r="E5" s="529" t="s">
        <v>955</v>
      </c>
      <c r="H5" s="392"/>
      <c r="I5" s="392"/>
      <c r="J5" s="392"/>
      <c r="K5" s="392"/>
    </row>
    <row r="6" spans="1:11" ht="20.100000000000001" customHeight="1" thickBot="1" x14ac:dyDescent="0.3">
      <c r="B6" s="113"/>
      <c r="C6" s="395" t="s">
        <v>635</v>
      </c>
      <c r="D6" s="395" t="s">
        <v>864</v>
      </c>
      <c r="E6" s="395" t="s">
        <v>635</v>
      </c>
    </row>
    <row r="7" spans="1:11" s="9" customFormat="1" ht="41.25" customHeight="1" x14ac:dyDescent="0.25">
      <c r="A7" s="59"/>
      <c r="B7" s="209" t="s">
        <v>354</v>
      </c>
      <c r="C7" s="210">
        <v>330735</v>
      </c>
      <c r="D7" s="210">
        <f>155-7500+1740-38</f>
        <v>-5643</v>
      </c>
      <c r="E7" s="210">
        <f>C7+D7</f>
        <v>325092</v>
      </c>
      <c r="G7" s="18"/>
      <c r="H7" s="189"/>
      <c r="I7" s="189"/>
      <c r="J7" s="189"/>
      <c r="K7" s="189"/>
    </row>
    <row r="8" spans="1:11" s="9" customFormat="1" ht="47.25" customHeight="1" x14ac:dyDescent="0.25">
      <c r="A8" s="59"/>
      <c r="B8" s="209" t="s">
        <v>671</v>
      </c>
      <c r="C8" s="210">
        <v>361634</v>
      </c>
      <c r="D8" s="210">
        <f>24736</f>
        <v>24736</v>
      </c>
      <c r="E8" s="210">
        <f>C8+D8</f>
        <v>386370</v>
      </c>
      <c r="G8" s="18"/>
      <c r="H8" s="18"/>
    </row>
    <row r="9" spans="1:11" s="9" customFormat="1" ht="47.25" customHeight="1" thickBot="1" x14ac:dyDescent="0.3">
      <c r="A9" s="59"/>
      <c r="B9" s="211" t="s">
        <v>893</v>
      </c>
      <c r="C9" s="210">
        <v>36880</v>
      </c>
      <c r="D9" s="210"/>
      <c r="E9" s="210">
        <f>SUM(C9:D9)</f>
        <v>36880</v>
      </c>
      <c r="G9" s="18"/>
      <c r="H9" s="18"/>
    </row>
    <row r="10" spans="1:11" s="9" customFormat="1" ht="25.5" customHeight="1" thickBot="1" x14ac:dyDescent="0.3">
      <c r="A10" s="59"/>
      <c r="B10" s="58" t="s">
        <v>212</v>
      </c>
      <c r="C10" s="49">
        <f>SUM(C7:C9)</f>
        <v>729249</v>
      </c>
      <c r="D10" s="49">
        <f>SUM(D7:D9)</f>
        <v>19093</v>
      </c>
      <c r="E10" s="49">
        <f>SUM(E7:E9)</f>
        <v>748342</v>
      </c>
      <c r="G10" s="18"/>
    </row>
    <row r="11" spans="1:11" ht="15.75" x14ac:dyDescent="0.25">
      <c r="A11" s="59"/>
      <c r="B11" s="212" t="s">
        <v>342</v>
      </c>
      <c r="C11" s="199">
        <v>0</v>
      </c>
      <c r="D11" s="199"/>
      <c r="E11" s="199">
        <f>C11+D11</f>
        <v>0</v>
      </c>
      <c r="G11" s="18"/>
    </row>
    <row r="12" spans="1:11" ht="20.100000000000001" customHeight="1" x14ac:dyDescent="0.25">
      <c r="A12" s="59"/>
      <c r="B12" s="16" t="s">
        <v>375</v>
      </c>
      <c r="C12" s="44">
        <v>1000</v>
      </c>
      <c r="D12" s="44"/>
      <c r="E12" s="44">
        <f>C12+D12</f>
        <v>1000</v>
      </c>
      <c r="G12" s="18"/>
    </row>
    <row r="13" spans="1:11" ht="20.100000000000001" customHeight="1" x14ac:dyDescent="0.25">
      <c r="A13" s="59"/>
      <c r="B13" s="15" t="s">
        <v>78</v>
      </c>
      <c r="C13" s="46">
        <v>0</v>
      </c>
      <c r="D13" s="46"/>
      <c r="E13" s="44">
        <f t="shared" ref="E13:E23" si="0">C13+D13</f>
        <v>0</v>
      </c>
      <c r="G13" s="18"/>
    </row>
    <row r="14" spans="1:11" ht="20.100000000000001" customHeight="1" x14ac:dyDescent="0.25">
      <c r="A14" s="59"/>
      <c r="B14" s="15" t="s">
        <v>270</v>
      </c>
      <c r="C14" s="46">
        <v>0</v>
      </c>
      <c r="D14" s="46"/>
      <c r="E14" s="44">
        <f t="shared" si="0"/>
        <v>0</v>
      </c>
      <c r="G14" s="18"/>
    </row>
    <row r="15" spans="1:11" ht="15.75" x14ac:dyDescent="0.25">
      <c r="A15" s="59"/>
      <c r="B15" s="133" t="s">
        <v>623</v>
      </c>
      <c r="C15" s="46">
        <v>1503</v>
      </c>
      <c r="D15" s="46"/>
      <c r="E15" s="44">
        <f t="shared" si="0"/>
        <v>1503</v>
      </c>
      <c r="G15" s="18"/>
    </row>
    <row r="16" spans="1:11" ht="20.100000000000001" customHeight="1" x14ac:dyDescent="0.25">
      <c r="A16" s="59"/>
      <c r="B16" s="15" t="s">
        <v>442</v>
      </c>
      <c r="C16" s="46">
        <v>3000</v>
      </c>
      <c r="D16" s="46"/>
      <c r="E16" s="44">
        <f t="shared" si="0"/>
        <v>3000</v>
      </c>
      <c r="G16" s="18"/>
    </row>
    <row r="17" spans="1:7" ht="20.100000000000001" customHeight="1" x14ac:dyDescent="0.25">
      <c r="A17" s="59"/>
      <c r="B17" s="15" t="s">
        <v>277</v>
      </c>
      <c r="C17" s="46">
        <v>2000</v>
      </c>
      <c r="D17" s="46"/>
      <c r="E17" s="44">
        <f t="shared" si="0"/>
        <v>2000</v>
      </c>
      <c r="G17" s="18"/>
    </row>
    <row r="18" spans="1:7" ht="20.100000000000001" customHeight="1" x14ac:dyDescent="0.25">
      <c r="A18" s="59"/>
      <c r="B18" s="15" t="s">
        <v>271</v>
      </c>
      <c r="C18" s="46">
        <v>0</v>
      </c>
      <c r="D18" s="46"/>
      <c r="E18" s="44">
        <f t="shared" si="0"/>
        <v>0</v>
      </c>
      <c r="G18" s="18"/>
    </row>
    <row r="19" spans="1:7" ht="30.75" x14ac:dyDescent="0.25">
      <c r="A19" s="59"/>
      <c r="B19" s="29" t="s">
        <v>329</v>
      </c>
      <c r="C19" s="46">
        <v>2000</v>
      </c>
      <c r="D19" s="46"/>
      <c r="E19" s="44">
        <f t="shared" si="0"/>
        <v>2000</v>
      </c>
      <c r="G19" s="18"/>
    </row>
    <row r="20" spans="1:7" ht="20.100000000000001" customHeight="1" x14ac:dyDescent="0.25">
      <c r="A20" s="59"/>
      <c r="B20" s="191" t="s">
        <v>962</v>
      </c>
      <c r="C20" s="88">
        <v>66334</v>
      </c>
      <c r="D20" s="88">
        <f>7500+1500</f>
        <v>9000</v>
      </c>
      <c r="E20" s="88">
        <f>C20+D20</f>
        <v>75334</v>
      </c>
      <c r="G20" s="18"/>
    </row>
    <row r="21" spans="1:7" ht="20.100000000000001" customHeight="1" x14ac:dyDescent="0.25">
      <c r="A21" s="59"/>
      <c r="B21" s="15" t="s">
        <v>133</v>
      </c>
      <c r="C21" s="46">
        <v>3000</v>
      </c>
      <c r="D21" s="46"/>
      <c r="E21" s="44">
        <f t="shared" si="0"/>
        <v>3000</v>
      </c>
      <c r="G21" s="18"/>
    </row>
    <row r="22" spans="1:7" ht="30.75" x14ac:dyDescent="0.25">
      <c r="A22" s="59"/>
      <c r="B22" s="29" t="s">
        <v>103</v>
      </c>
      <c r="C22" s="46">
        <v>160</v>
      </c>
      <c r="D22" s="46"/>
      <c r="E22" s="44">
        <f t="shared" si="0"/>
        <v>160</v>
      </c>
      <c r="G22" s="18"/>
    </row>
    <row r="23" spans="1:7" ht="20.100000000000001" customHeight="1" x14ac:dyDescent="0.25">
      <c r="A23" s="59"/>
      <c r="B23" s="125" t="s">
        <v>397</v>
      </c>
      <c r="C23" s="46">
        <v>6639</v>
      </c>
      <c r="D23" s="46"/>
      <c r="E23" s="44">
        <f t="shared" si="0"/>
        <v>6639</v>
      </c>
      <c r="G23" s="18"/>
    </row>
    <row r="24" spans="1:7" ht="20.100000000000001" customHeight="1" thickBot="1" x14ac:dyDescent="0.3">
      <c r="A24" s="59"/>
      <c r="B24" s="24" t="s">
        <v>213</v>
      </c>
      <c r="C24" s="45">
        <f>SUM(C11:C23)</f>
        <v>85636</v>
      </c>
      <c r="D24" s="45">
        <f>SUM(D11:D23)</f>
        <v>9000</v>
      </c>
      <c r="E24" s="45">
        <f>SUM(E11:E23)</f>
        <v>94636</v>
      </c>
      <c r="G24" s="18"/>
    </row>
    <row r="25" spans="1:7" s="9" customFormat="1" ht="20.100000000000001" customHeight="1" thickBot="1" x14ac:dyDescent="0.3">
      <c r="A25" s="59"/>
      <c r="B25" s="25" t="s">
        <v>534</v>
      </c>
      <c r="C25" s="52">
        <f>C10+C24</f>
        <v>814885</v>
      </c>
      <c r="D25" s="52">
        <f>D10+D24</f>
        <v>28093</v>
      </c>
      <c r="E25" s="52">
        <f>E10+E24</f>
        <v>842978</v>
      </c>
      <c r="G25" s="18"/>
    </row>
    <row r="26" spans="1:7" ht="15" customHeight="1" x14ac:dyDescent="0.25">
      <c r="A26" s="59"/>
      <c r="G26" s="18"/>
    </row>
    <row r="27" spans="1:7" ht="15" customHeight="1" x14ac:dyDescent="0.25">
      <c r="A27" s="59"/>
      <c r="G27" s="18"/>
    </row>
    <row r="28" spans="1:7" ht="19.5" thickBot="1" x14ac:dyDescent="0.35">
      <c r="A28" s="59"/>
      <c r="B28" s="74" t="s">
        <v>139</v>
      </c>
      <c r="C28" s="74"/>
      <c r="D28" s="74"/>
      <c r="E28" s="74"/>
      <c r="G28" s="18"/>
    </row>
    <row r="29" spans="1:7" ht="15" customHeight="1" x14ac:dyDescent="0.25">
      <c r="A29" s="59"/>
      <c r="B29" s="63" t="s">
        <v>303</v>
      </c>
      <c r="C29" s="529" t="s">
        <v>923</v>
      </c>
      <c r="D29" s="529" t="s">
        <v>863</v>
      </c>
      <c r="E29" s="529" t="s">
        <v>955</v>
      </c>
      <c r="G29" s="18"/>
    </row>
    <row r="30" spans="1:7" ht="15" customHeight="1" thickBot="1" x14ac:dyDescent="0.3">
      <c r="A30" s="59"/>
      <c r="B30" s="113"/>
      <c r="C30" s="395" t="s">
        <v>635</v>
      </c>
      <c r="D30" s="395" t="s">
        <v>864</v>
      </c>
      <c r="E30" s="395" t="s">
        <v>635</v>
      </c>
      <c r="G30" s="18"/>
    </row>
    <row r="31" spans="1:7" ht="62.25" customHeight="1" x14ac:dyDescent="0.25">
      <c r="A31" s="59"/>
      <c r="B31" s="209" t="s">
        <v>354</v>
      </c>
      <c r="C31" s="262">
        <v>41791</v>
      </c>
      <c r="D31" s="262"/>
      <c r="E31" s="262">
        <f>C31+D31</f>
        <v>41791</v>
      </c>
      <c r="G31" s="18"/>
    </row>
    <row r="32" spans="1:7" ht="59.25" customHeight="1" x14ac:dyDescent="0.25">
      <c r="A32" s="59"/>
      <c r="B32" s="209" t="s">
        <v>671</v>
      </c>
      <c r="C32" s="88">
        <v>1990</v>
      </c>
      <c r="D32" s="88">
        <f>2801</f>
        <v>2801</v>
      </c>
      <c r="E32" s="690">
        <f>C32+D32</f>
        <v>4791</v>
      </c>
      <c r="G32" s="18"/>
    </row>
    <row r="33" spans="1:7" ht="59.25" customHeight="1" thickBot="1" x14ac:dyDescent="0.3">
      <c r="A33" s="59"/>
      <c r="B33" s="400" t="s">
        <v>894</v>
      </c>
      <c r="C33" s="401">
        <v>1332</v>
      </c>
      <c r="D33" s="401"/>
      <c r="E33" s="262">
        <f>C33+D33</f>
        <v>1332</v>
      </c>
      <c r="G33" s="18"/>
    </row>
    <row r="34" spans="1:7" ht="16.5" thickBot="1" x14ac:dyDescent="0.3">
      <c r="A34" s="59"/>
      <c r="B34" s="8" t="s">
        <v>535</v>
      </c>
      <c r="C34" s="51">
        <f>SUM(C31:C33)</f>
        <v>45113</v>
      </c>
      <c r="D34" s="51">
        <f>SUM(D31:D33)</f>
        <v>2801</v>
      </c>
      <c r="E34" s="51">
        <f>SUM(E31:E33)</f>
        <v>47914</v>
      </c>
      <c r="G34" s="18"/>
    </row>
    <row r="35" spans="1:7" ht="15" customHeight="1" thickBot="1" x14ac:dyDescent="0.3">
      <c r="A35" s="142"/>
      <c r="B35" s="77"/>
      <c r="C35" s="9"/>
      <c r="D35" s="9"/>
      <c r="E35" s="9"/>
      <c r="G35" s="18"/>
    </row>
    <row r="36" spans="1:7" ht="18.75" thickBot="1" x14ac:dyDescent="0.3">
      <c r="A36" s="59"/>
      <c r="B36" s="75" t="s">
        <v>536</v>
      </c>
      <c r="C36" s="42">
        <f>+C25+C34</f>
        <v>859998</v>
      </c>
      <c r="D36" s="42">
        <f>+D25+D34</f>
        <v>30894</v>
      </c>
      <c r="E36" s="42">
        <f>+E25+E34</f>
        <v>890892</v>
      </c>
      <c r="G36" s="18"/>
    </row>
    <row r="37" spans="1:7" ht="15" customHeight="1" x14ac:dyDescent="0.2">
      <c r="A37" s="59"/>
    </row>
    <row r="38" spans="1:7" ht="15" customHeight="1" x14ac:dyDescent="0.25">
      <c r="A38" s="59"/>
      <c r="B38" s="9" t="s">
        <v>129</v>
      </c>
      <c r="C38" s="9"/>
      <c r="D38" s="9"/>
      <c r="E38" s="297"/>
    </row>
    <row r="39" spans="1:7" ht="15" customHeight="1" x14ac:dyDescent="0.25">
      <c r="A39" s="59"/>
      <c r="B39" s="9" t="s">
        <v>130</v>
      </c>
      <c r="C39" s="9"/>
      <c r="D39" s="9"/>
      <c r="E39" s="9"/>
    </row>
    <row r="40" spans="1:7" ht="15" customHeight="1" x14ac:dyDescent="0.2">
      <c r="A40" s="59"/>
    </row>
    <row r="41" spans="1:7" ht="15" customHeight="1" x14ac:dyDescent="0.2">
      <c r="A41" s="59"/>
    </row>
    <row r="42" spans="1:7" ht="15" customHeight="1" x14ac:dyDescent="0.2">
      <c r="A42" s="59"/>
    </row>
    <row r="43" spans="1:7" ht="15" customHeight="1" x14ac:dyDescent="0.25">
      <c r="A43" s="59"/>
      <c r="B43" s="110" t="s">
        <v>257</v>
      </c>
      <c r="C43" s="110"/>
      <c r="D43" s="110"/>
      <c r="E43" s="110"/>
    </row>
    <row r="44" spans="1:7" ht="24.75" customHeight="1" x14ac:dyDescent="0.25">
      <c r="A44" s="59"/>
      <c r="B44" s="261" t="s">
        <v>355</v>
      </c>
      <c r="C44" s="115">
        <f>C10+C34</f>
        <v>774362</v>
      </c>
      <c r="D44" s="115">
        <f>D10+D34</f>
        <v>21894</v>
      </c>
      <c r="E44" s="115">
        <f>E10+E34</f>
        <v>796256</v>
      </c>
    </row>
    <row r="47" spans="1:7" ht="15" customHeight="1" x14ac:dyDescent="0.25">
      <c r="E47" s="4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7" orientation="portrait" r:id="rId3"/>
  <headerFooter alignWithMargins="0">
    <oddHeader xml:space="preserve">&amp;R&amp;"Times New Roman CE,Félkövér"&amp;12 11. melléklet a …./2019. (…….) önkormányzati rendelethez
„11. melléklet a 5/2019. (IV. 1.) önkormányzati rendelethez”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K31"/>
  <sheetViews>
    <sheetView zoomScale="81" zoomScaleNormal="81" workbookViewId="0">
      <selection activeCell="C120" sqref="C120"/>
    </sheetView>
  </sheetViews>
  <sheetFormatPr defaultColWidth="9.33203125" defaultRowHeight="15" customHeight="1" x14ac:dyDescent="0.2"/>
  <cols>
    <col min="1" max="1" width="19.83203125" style="5" customWidth="1"/>
    <col min="2" max="2" width="99.6640625" style="5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6" width="11.1640625" style="4" bestFit="1" customWidth="1"/>
    <col min="7" max="7" width="11.83203125" style="4" bestFit="1" customWidth="1"/>
    <col min="8" max="8" width="20.33203125" style="4" customWidth="1"/>
    <col min="9" max="9" width="23" style="4" customWidth="1"/>
    <col min="10" max="10" width="21.1640625" style="5" customWidth="1"/>
    <col min="11" max="11" width="23.33203125" style="5" customWidth="1"/>
    <col min="12" max="16384" width="9.33203125" style="5"/>
  </cols>
  <sheetData>
    <row r="1" spans="2:11" ht="15" customHeight="1" x14ac:dyDescent="0.25">
      <c r="B1" s="2"/>
      <c r="C1" s="2"/>
      <c r="D1" s="2"/>
      <c r="E1" s="2"/>
    </row>
    <row r="2" spans="2:11" ht="27" customHeight="1" x14ac:dyDescent="0.25">
      <c r="B2" s="962" t="s">
        <v>540</v>
      </c>
      <c r="C2" s="962"/>
      <c r="D2" s="962"/>
      <c r="E2" s="962"/>
    </row>
    <row r="4" spans="2:11" ht="19.5" thickBot="1" x14ac:dyDescent="0.35">
      <c r="B4" s="74" t="s">
        <v>59</v>
      </c>
      <c r="C4" s="74"/>
      <c r="D4" s="74"/>
      <c r="E4" s="301" t="s">
        <v>380</v>
      </c>
    </row>
    <row r="5" spans="2:11" ht="20.100000000000001" customHeight="1" x14ac:dyDescent="0.25">
      <c r="B5" s="63" t="s">
        <v>303</v>
      </c>
      <c r="C5" s="529" t="s">
        <v>923</v>
      </c>
      <c r="D5" s="529" t="s">
        <v>863</v>
      </c>
      <c r="E5" s="529" t="s">
        <v>955</v>
      </c>
      <c r="H5" s="392"/>
      <c r="I5" s="392"/>
      <c r="J5" s="392"/>
      <c r="K5" s="392"/>
    </row>
    <row r="6" spans="2:11" ht="20.100000000000001" customHeight="1" thickBot="1" x14ac:dyDescent="0.3">
      <c r="B6" s="64"/>
      <c r="C6" s="395" t="s">
        <v>635</v>
      </c>
      <c r="D6" s="395" t="s">
        <v>864</v>
      </c>
      <c r="E6" s="395" t="s">
        <v>635</v>
      </c>
    </row>
    <row r="7" spans="2:11" ht="57.75" customHeight="1" x14ac:dyDescent="0.2">
      <c r="B7" s="221" t="s">
        <v>172</v>
      </c>
      <c r="C7" s="89">
        <v>752754</v>
      </c>
      <c r="D7" s="89">
        <f>10586+1555-4474+700</f>
        <v>8367</v>
      </c>
      <c r="E7" s="89">
        <f>C7+D7</f>
        <v>761121</v>
      </c>
      <c r="J7" s="4"/>
      <c r="K7" s="4"/>
    </row>
    <row r="8" spans="2:11" ht="37.5" customHeight="1" x14ac:dyDescent="0.2">
      <c r="B8" s="209" t="s">
        <v>173</v>
      </c>
      <c r="C8" s="89">
        <v>53475</v>
      </c>
      <c r="D8" s="89">
        <v>7059</v>
      </c>
      <c r="E8" s="89">
        <f>C8+D8</f>
        <v>60534</v>
      </c>
    </row>
    <row r="9" spans="2:11" ht="37.5" customHeight="1" thickBot="1" x14ac:dyDescent="0.25">
      <c r="B9" s="211" t="s">
        <v>895</v>
      </c>
      <c r="C9" s="89">
        <v>803</v>
      </c>
      <c r="D9" s="89"/>
      <c r="E9" s="89">
        <f>SUM(C9:D9)</f>
        <v>803</v>
      </c>
    </row>
    <row r="10" spans="2:11" ht="24.75" customHeight="1" thickBot="1" x14ac:dyDescent="0.3">
      <c r="B10" s="8" t="s">
        <v>214</v>
      </c>
      <c r="C10" s="51">
        <f>SUM(C7:C9)</f>
        <v>807032</v>
      </c>
      <c r="D10" s="51">
        <f>SUM(D7:D9)</f>
        <v>15426</v>
      </c>
      <c r="E10" s="51">
        <f>SUM(E7:E9)</f>
        <v>822458</v>
      </c>
    </row>
    <row r="11" spans="2:11" ht="20.100000000000001" customHeight="1" x14ac:dyDescent="0.2">
      <c r="B11" s="212" t="s">
        <v>347</v>
      </c>
      <c r="C11" s="198">
        <v>300</v>
      </c>
      <c r="D11" s="212"/>
      <c r="E11" s="198">
        <f>C11+D11</f>
        <v>300</v>
      </c>
    </row>
    <row r="12" spans="2:11" ht="23.25" customHeight="1" x14ac:dyDescent="0.2">
      <c r="B12" s="15" t="s">
        <v>444</v>
      </c>
      <c r="C12" s="55">
        <v>255</v>
      </c>
      <c r="D12" s="15"/>
      <c r="E12" s="55">
        <f>C12+D12</f>
        <v>255</v>
      </c>
    </row>
    <row r="13" spans="2:11" ht="51" customHeight="1" thickBot="1" x14ac:dyDescent="0.25">
      <c r="B13" s="387" t="s">
        <v>224</v>
      </c>
      <c r="C13" s="388">
        <v>3000</v>
      </c>
      <c r="D13" s="388"/>
      <c r="E13" s="46">
        <f>C13+D13</f>
        <v>3000</v>
      </c>
    </row>
    <row r="14" spans="2:11" ht="24.75" customHeight="1" thickBot="1" x14ac:dyDescent="0.3">
      <c r="B14" s="8" t="s">
        <v>215</v>
      </c>
      <c r="C14" s="51">
        <f>SUM(C11:C13)</f>
        <v>3555</v>
      </c>
      <c r="D14" s="51">
        <f>SUM(D11:D13)</f>
        <v>0</v>
      </c>
      <c r="E14" s="51">
        <f>SUM(E11:E13)</f>
        <v>3555</v>
      </c>
    </row>
    <row r="15" spans="2:11" ht="20.100000000000001" customHeight="1" thickBot="1" x14ac:dyDescent="0.3">
      <c r="B15" s="11" t="s">
        <v>537</v>
      </c>
      <c r="C15" s="52">
        <f>C10+C14</f>
        <v>810587</v>
      </c>
      <c r="D15" s="52">
        <f>D10+D14</f>
        <v>15426</v>
      </c>
      <c r="E15" s="52">
        <f>E10+E14</f>
        <v>826013</v>
      </c>
    </row>
    <row r="16" spans="2:11" ht="20.100000000000001" customHeight="1" x14ac:dyDescent="0.25">
      <c r="B16" s="30"/>
      <c r="C16" s="30"/>
      <c r="D16" s="30"/>
      <c r="E16" s="30"/>
    </row>
    <row r="17" spans="2:5" ht="19.5" thickBot="1" x14ac:dyDescent="0.35">
      <c r="B17" s="74" t="s">
        <v>139</v>
      </c>
      <c r="C17" s="74"/>
      <c r="D17" s="74"/>
      <c r="E17" s="74"/>
    </row>
    <row r="18" spans="2:5" ht="15" customHeight="1" x14ac:dyDescent="0.25">
      <c r="B18" s="3" t="s">
        <v>303</v>
      </c>
      <c r="C18" s="529" t="s">
        <v>923</v>
      </c>
      <c r="D18" s="529" t="s">
        <v>863</v>
      </c>
      <c r="E18" s="529" t="s">
        <v>955</v>
      </c>
    </row>
    <row r="19" spans="2:5" ht="15" customHeight="1" thickBot="1" x14ac:dyDescent="0.3">
      <c r="B19" s="17"/>
      <c r="C19" s="395" t="s">
        <v>635</v>
      </c>
      <c r="D19" s="395" t="s">
        <v>864</v>
      </c>
      <c r="E19" s="395" t="s">
        <v>635</v>
      </c>
    </row>
    <row r="20" spans="2:5" ht="39" customHeight="1" x14ac:dyDescent="0.2">
      <c r="B20" s="221" t="s">
        <v>172</v>
      </c>
      <c r="C20" s="221">
        <v>29847</v>
      </c>
      <c r="D20" s="89">
        <v>300</v>
      </c>
      <c r="E20" s="221">
        <f>C20+D20</f>
        <v>30147</v>
      </c>
    </row>
    <row r="21" spans="2:5" ht="39" customHeight="1" x14ac:dyDescent="0.2">
      <c r="B21" s="209" t="s">
        <v>173</v>
      </c>
      <c r="C21" s="209"/>
      <c r="D21" s="89">
        <v>489</v>
      </c>
      <c r="E21" s="221">
        <f>C21+D21</f>
        <v>489</v>
      </c>
    </row>
    <row r="22" spans="2:5" ht="35.25" customHeight="1" thickBot="1" x14ac:dyDescent="0.25">
      <c r="B22" s="209" t="s">
        <v>895</v>
      </c>
      <c r="C22" s="209"/>
      <c r="D22" s="210"/>
      <c r="E22" s="221">
        <f>C22+D22</f>
        <v>0</v>
      </c>
    </row>
    <row r="23" spans="2:5" ht="16.5" thickBot="1" x14ac:dyDescent="0.3">
      <c r="B23" s="8" t="s">
        <v>538</v>
      </c>
      <c r="C23" s="51">
        <f>SUM(C20:C22)</f>
        <v>29847</v>
      </c>
      <c r="D23" s="51">
        <f>SUM(D20:D22)</f>
        <v>789</v>
      </c>
      <c r="E23" s="51">
        <f>SUM(E20:E22)</f>
        <v>30636</v>
      </c>
    </row>
    <row r="24" spans="2:5" ht="15" customHeight="1" thickBot="1" x14ac:dyDescent="0.3">
      <c r="B24" s="77"/>
      <c r="C24" s="9"/>
      <c r="D24" s="18"/>
      <c r="E24" s="18"/>
    </row>
    <row r="25" spans="2:5" ht="18.75" thickBot="1" x14ac:dyDescent="0.3">
      <c r="B25" s="75" t="s">
        <v>539</v>
      </c>
      <c r="C25" s="76">
        <f>C15+C23</f>
        <v>840434</v>
      </c>
      <c r="D25" s="76">
        <f>D15+D23</f>
        <v>16215</v>
      </c>
      <c r="E25" s="76">
        <f>E15+E23</f>
        <v>856649</v>
      </c>
    </row>
    <row r="27" spans="2:5" ht="15" customHeight="1" x14ac:dyDescent="0.25">
      <c r="B27" s="9" t="s">
        <v>129</v>
      </c>
      <c r="C27" s="9"/>
      <c r="D27" s="9"/>
      <c r="E27" s="298"/>
    </row>
    <row r="28" spans="2:5" ht="15" customHeight="1" x14ac:dyDescent="0.25">
      <c r="B28" s="9" t="s">
        <v>130</v>
      </c>
      <c r="C28" s="9"/>
      <c r="D28" s="9"/>
      <c r="E28" s="9"/>
    </row>
    <row r="30" spans="2:5" ht="15" customHeight="1" x14ac:dyDescent="0.25">
      <c r="B30" s="110" t="s">
        <v>257</v>
      </c>
      <c r="C30" s="110"/>
      <c r="D30" s="110"/>
      <c r="E30" s="110"/>
    </row>
    <row r="31" spans="2:5" ht="24" customHeight="1" x14ac:dyDescent="0.25">
      <c r="B31" s="141" t="s">
        <v>20</v>
      </c>
      <c r="C31" s="115">
        <f>C10+C23</f>
        <v>836879</v>
      </c>
      <c r="D31" s="115">
        <f>D10+D23</f>
        <v>16215</v>
      </c>
      <c r="E31" s="115">
        <f>E10+E23</f>
        <v>853094</v>
      </c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5" orientation="portrait" r:id="rId3"/>
  <headerFooter alignWithMargins="0">
    <oddHeader xml:space="preserve">&amp;R&amp;"Times New Roman CE,Félkövér"&amp;12 12. melléklet a …./2019. (…….) önkormányzati rendelethez
„12. melléklet a 5/2019. (IV. 1.) önkormányzati rendelethez”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4"/>
  <dimension ref="A1:L134"/>
  <sheetViews>
    <sheetView zoomScale="75" zoomScaleNormal="75" workbookViewId="0">
      <selection activeCell="C120" sqref="C120"/>
    </sheetView>
  </sheetViews>
  <sheetFormatPr defaultColWidth="9.33203125" defaultRowHeight="15" customHeight="1" x14ac:dyDescent="0.2"/>
  <cols>
    <col min="1" max="1" width="20.5" style="5" customWidth="1"/>
    <col min="2" max="2" width="111.6640625" style="5" customWidth="1"/>
    <col min="3" max="3" width="37.33203125" style="5" bestFit="1" customWidth="1"/>
    <col min="4" max="4" width="39.1640625" style="5" bestFit="1" customWidth="1"/>
    <col min="5" max="5" width="38.1640625" style="4" bestFit="1" customWidth="1"/>
    <col min="6" max="6" width="14.83203125" style="4" bestFit="1" customWidth="1"/>
    <col min="7" max="7" width="30.83203125" style="4" customWidth="1"/>
    <col min="8" max="12" width="9.33203125" style="4"/>
    <col min="13" max="16384" width="9.33203125" style="5"/>
  </cols>
  <sheetData>
    <row r="1" spans="2:6" ht="8.25" customHeight="1" x14ac:dyDescent="0.25">
      <c r="B1" s="2"/>
      <c r="C1" s="2"/>
      <c r="D1" s="2"/>
      <c r="E1" s="224"/>
    </row>
    <row r="2" spans="2:6" ht="15" customHeight="1" x14ac:dyDescent="0.25">
      <c r="B2" s="962" t="s">
        <v>225</v>
      </c>
      <c r="C2" s="962"/>
      <c r="D2" s="962"/>
      <c r="E2" s="962"/>
    </row>
    <row r="3" spans="2:6" ht="19.5" thickBot="1" x14ac:dyDescent="0.35">
      <c r="B3" s="107" t="s">
        <v>59</v>
      </c>
      <c r="C3" s="107"/>
      <c r="D3" s="107"/>
      <c r="E3" s="301" t="s">
        <v>380</v>
      </c>
    </row>
    <row r="4" spans="2:6" ht="17.100000000000001" customHeight="1" x14ac:dyDescent="0.25">
      <c r="B4" s="63" t="s">
        <v>303</v>
      </c>
      <c r="C4" s="529" t="s">
        <v>923</v>
      </c>
      <c r="D4" s="529" t="s">
        <v>863</v>
      </c>
      <c r="E4" s="529" t="s">
        <v>955</v>
      </c>
    </row>
    <row r="5" spans="2:6" ht="17.100000000000001" customHeight="1" thickBot="1" x14ac:dyDescent="0.3">
      <c r="B5" s="113"/>
      <c r="C5" s="395" t="s">
        <v>635</v>
      </c>
      <c r="D5" s="395" t="s">
        <v>864</v>
      </c>
      <c r="E5" s="395" t="s">
        <v>635</v>
      </c>
    </row>
    <row r="6" spans="2:6" ht="17.100000000000001" customHeight="1" x14ac:dyDescent="0.25">
      <c r="B6" s="66" t="s">
        <v>279</v>
      </c>
      <c r="C6" s="228">
        <v>144777</v>
      </c>
      <c r="D6" s="228">
        <f>157-3000+1753-384</f>
        <v>-1474</v>
      </c>
      <c r="E6" s="228">
        <f>C6+D6</f>
        <v>143303</v>
      </c>
    </row>
    <row r="7" spans="2:6" ht="17.100000000000001" customHeight="1" x14ac:dyDescent="0.25">
      <c r="B7" s="55" t="s">
        <v>8</v>
      </c>
      <c r="C7" s="228">
        <v>2016557</v>
      </c>
      <c r="D7" s="228">
        <f>581+900+19970+2855-116-51-7-1289-53+6300+30000+1557+17700-11262</f>
        <v>67085</v>
      </c>
      <c r="E7" s="228">
        <f>C7+D7</f>
        <v>2083642</v>
      </c>
    </row>
    <row r="8" spans="2:6" ht="17.100000000000001" customHeight="1" x14ac:dyDescent="0.25">
      <c r="B8" s="66" t="s">
        <v>289</v>
      </c>
      <c r="C8" s="228">
        <v>204064</v>
      </c>
      <c r="D8" s="228">
        <f>79-600-1118</f>
        <v>-1639</v>
      </c>
      <c r="E8" s="228">
        <f>C8+D8</f>
        <v>202425</v>
      </c>
    </row>
    <row r="9" spans="2:6" ht="17.100000000000001" customHeight="1" thickBot="1" x14ac:dyDescent="0.3">
      <c r="B9" s="117" t="s">
        <v>217</v>
      </c>
      <c r="C9" s="155">
        <f>SUM(C6:C8)</f>
        <v>2365398</v>
      </c>
      <c r="D9" s="155">
        <f>SUM(D6:D8)</f>
        <v>63972</v>
      </c>
      <c r="E9" s="155">
        <f>SUM(E6:E8)</f>
        <v>2429370</v>
      </c>
      <c r="F9" s="189"/>
    </row>
    <row r="10" spans="2:6" ht="17.100000000000001" customHeight="1" x14ac:dyDescent="0.2">
      <c r="B10" s="118" t="s">
        <v>334</v>
      </c>
      <c r="C10" s="118"/>
      <c r="D10" s="118"/>
      <c r="E10" s="118"/>
      <c r="F10" s="189"/>
    </row>
    <row r="11" spans="2:6" ht="17.100000000000001" customHeight="1" x14ac:dyDescent="0.25">
      <c r="B11" s="213" t="s">
        <v>363</v>
      </c>
      <c r="C11" s="229">
        <v>250000</v>
      </c>
      <c r="D11" s="229"/>
      <c r="E11" s="229">
        <f t="shared" ref="E11:E17" si="0">C11+D11</f>
        <v>250000</v>
      </c>
      <c r="F11" s="189"/>
    </row>
    <row r="12" spans="2:6" ht="16.5" customHeight="1" x14ac:dyDescent="0.25">
      <c r="B12" s="196" t="s">
        <v>370</v>
      </c>
      <c r="C12" s="229">
        <v>700000</v>
      </c>
      <c r="D12" s="229"/>
      <c r="E12" s="229">
        <f t="shared" si="0"/>
        <v>700000</v>
      </c>
      <c r="F12" s="189"/>
    </row>
    <row r="13" spans="2:6" ht="16.5" customHeight="1" x14ac:dyDescent="0.25">
      <c r="B13" s="196" t="s">
        <v>439</v>
      </c>
      <c r="C13" s="229">
        <v>0</v>
      </c>
      <c r="D13" s="229"/>
      <c r="E13" s="229">
        <f t="shared" si="0"/>
        <v>0</v>
      </c>
      <c r="F13" s="189"/>
    </row>
    <row r="14" spans="2:6" ht="16.5" customHeight="1" x14ac:dyDescent="0.25">
      <c r="B14" s="196" t="s">
        <v>101</v>
      </c>
      <c r="C14" s="229">
        <v>44536</v>
      </c>
      <c r="D14" s="229"/>
      <c r="E14" s="229">
        <f t="shared" si="0"/>
        <v>44536</v>
      </c>
      <c r="F14" s="189"/>
    </row>
    <row r="15" spans="2:6" ht="18" x14ac:dyDescent="0.25">
      <c r="B15" s="214" t="s">
        <v>246</v>
      </c>
      <c r="C15" s="229">
        <v>444330</v>
      </c>
      <c r="D15" s="229"/>
      <c r="E15" s="229">
        <f t="shared" si="0"/>
        <v>444330</v>
      </c>
      <c r="F15" s="189"/>
    </row>
    <row r="16" spans="2:6" ht="16.5" customHeight="1" x14ac:dyDescent="0.25">
      <c r="B16" s="196" t="s">
        <v>985</v>
      </c>
      <c r="C16" s="229"/>
      <c r="D16" s="229">
        <v>26358</v>
      </c>
      <c r="E16" s="229">
        <f t="shared" si="0"/>
        <v>26358</v>
      </c>
      <c r="F16" s="189"/>
    </row>
    <row r="17" spans="2:6" ht="18" x14ac:dyDescent="0.25">
      <c r="B17" s="214" t="s">
        <v>946</v>
      </c>
      <c r="C17" s="736">
        <v>117762</v>
      </c>
      <c r="D17" s="736"/>
      <c r="E17" s="229">
        <f t="shared" si="0"/>
        <v>117762</v>
      </c>
      <c r="F17" s="189"/>
    </row>
    <row r="18" spans="2:6" ht="17.100000000000001" customHeight="1" x14ac:dyDescent="0.25">
      <c r="B18" s="120" t="s">
        <v>350</v>
      </c>
      <c r="C18" s="230">
        <f>SUM(C11:C17)</f>
        <v>1556628</v>
      </c>
      <c r="D18" s="230">
        <f>SUM(D11:D17)</f>
        <v>26358</v>
      </c>
      <c r="E18" s="230">
        <f>SUM(E11:E17)</f>
        <v>1582986</v>
      </c>
      <c r="F18" s="189"/>
    </row>
    <row r="19" spans="2:6" ht="17.100000000000001" customHeight="1" x14ac:dyDescent="0.2">
      <c r="B19" s="251" t="s">
        <v>10</v>
      </c>
      <c r="C19" s="118"/>
      <c r="D19" s="118"/>
      <c r="E19" s="118"/>
      <c r="F19" s="189"/>
    </row>
    <row r="20" spans="2:6" ht="17.100000000000001" customHeight="1" x14ac:dyDescent="0.25">
      <c r="B20" s="213" t="s">
        <v>295</v>
      </c>
      <c r="C20" s="229">
        <v>49578</v>
      </c>
      <c r="D20" s="229"/>
      <c r="E20" s="229">
        <f>C20+D20</f>
        <v>49578</v>
      </c>
      <c r="F20" s="189"/>
    </row>
    <row r="21" spans="2:6" ht="17.100000000000001" customHeight="1" x14ac:dyDescent="0.25">
      <c r="B21" s="213" t="s">
        <v>937</v>
      </c>
      <c r="C21" s="229">
        <v>8920</v>
      </c>
      <c r="D21" s="229">
        <v>5822</v>
      </c>
      <c r="E21" s="229">
        <f>C21+D21</f>
        <v>14742</v>
      </c>
      <c r="F21" s="189"/>
    </row>
    <row r="22" spans="2:6" ht="18" x14ac:dyDescent="0.25">
      <c r="B22" s="67" t="s">
        <v>387</v>
      </c>
      <c r="C22" s="149">
        <v>7407</v>
      </c>
      <c r="D22" s="149"/>
      <c r="E22" s="149">
        <f>C22+D22</f>
        <v>7407</v>
      </c>
    </row>
    <row r="23" spans="2:6" ht="17.100000000000001" customHeight="1" x14ac:dyDescent="0.25">
      <c r="B23" s="196" t="s">
        <v>364</v>
      </c>
      <c r="C23" s="229">
        <v>13058</v>
      </c>
      <c r="D23" s="229"/>
      <c r="E23" s="229">
        <f>C23+D23</f>
        <v>13058</v>
      </c>
    </row>
    <row r="24" spans="2:6" ht="17.100000000000001" customHeight="1" x14ac:dyDescent="0.25">
      <c r="B24" s="55" t="s">
        <v>203</v>
      </c>
      <c r="C24" s="149">
        <v>5695</v>
      </c>
      <c r="D24" s="149"/>
      <c r="E24" s="149">
        <f>C24+D24</f>
        <v>5695</v>
      </c>
    </row>
    <row r="25" spans="2:6" ht="17.100000000000001" customHeight="1" x14ac:dyDescent="0.25">
      <c r="B25" s="55" t="s">
        <v>25</v>
      </c>
      <c r="C25" s="149">
        <v>3250</v>
      </c>
      <c r="D25" s="149"/>
      <c r="E25" s="149">
        <f t="shared" ref="E25:E95" si="1">C25+D25</f>
        <v>3250</v>
      </c>
    </row>
    <row r="26" spans="2:6" ht="16.5" customHeight="1" x14ac:dyDescent="0.25">
      <c r="B26" s="55" t="s">
        <v>360</v>
      </c>
      <c r="C26" s="149">
        <v>9500</v>
      </c>
      <c r="D26" s="149"/>
      <c r="E26" s="149">
        <f t="shared" si="1"/>
        <v>9500</v>
      </c>
    </row>
    <row r="27" spans="2:6" ht="17.100000000000001" customHeight="1" x14ac:dyDescent="0.25">
      <c r="B27" s="213" t="s">
        <v>226</v>
      </c>
      <c r="C27" s="229">
        <v>13040</v>
      </c>
      <c r="D27" s="229"/>
      <c r="E27" s="229">
        <f>C27+D27</f>
        <v>13040</v>
      </c>
    </row>
    <row r="28" spans="2:6" ht="18" x14ac:dyDescent="0.25">
      <c r="B28" s="181" t="s">
        <v>591</v>
      </c>
      <c r="C28" s="149">
        <v>1000</v>
      </c>
      <c r="D28" s="149"/>
      <c r="E28" s="149">
        <f t="shared" si="1"/>
        <v>1000</v>
      </c>
    </row>
    <row r="29" spans="2:6" ht="30.75" x14ac:dyDescent="0.25">
      <c r="B29" s="181" t="s">
        <v>625</v>
      </c>
      <c r="C29" s="149">
        <v>1370</v>
      </c>
      <c r="D29" s="149"/>
      <c r="E29" s="149">
        <f t="shared" si="1"/>
        <v>1370</v>
      </c>
    </row>
    <row r="30" spans="2:6" ht="18" x14ac:dyDescent="0.25">
      <c r="B30" s="125" t="s">
        <v>292</v>
      </c>
      <c r="C30" s="149">
        <v>1000</v>
      </c>
      <c r="D30" s="149"/>
      <c r="E30" s="149">
        <f t="shared" si="1"/>
        <v>1000</v>
      </c>
    </row>
    <row r="31" spans="2:6" ht="17.100000000000001" customHeight="1" x14ac:dyDescent="0.25">
      <c r="B31" s="69" t="s">
        <v>372</v>
      </c>
      <c r="C31" s="149">
        <v>3335</v>
      </c>
      <c r="D31" s="149"/>
      <c r="E31" s="149">
        <f t="shared" si="1"/>
        <v>3335</v>
      </c>
    </row>
    <row r="32" spans="2:6" ht="17.100000000000001" customHeight="1" x14ac:dyDescent="0.25">
      <c r="B32" s="55" t="s">
        <v>371</v>
      </c>
      <c r="C32" s="149">
        <v>4400</v>
      </c>
      <c r="D32" s="149"/>
      <c r="E32" s="149">
        <f t="shared" si="1"/>
        <v>4400</v>
      </c>
    </row>
    <row r="33" spans="2:12" ht="17.100000000000001" customHeight="1" x14ac:dyDescent="0.25">
      <c r="B33" s="55" t="s">
        <v>223</v>
      </c>
      <c r="C33" s="149">
        <v>10000</v>
      </c>
      <c r="D33" s="149"/>
      <c r="E33" s="149">
        <f t="shared" si="1"/>
        <v>10000</v>
      </c>
    </row>
    <row r="34" spans="2:12" ht="17.100000000000001" customHeight="1" x14ac:dyDescent="0.25">
      <c r="B34" s="55" t="s">
        <v>268</v>
      </c>
      <c r="C34" s="149">
        <v>1050</v>
      </c>
      <c r="D34" s="149"/>
      <c r="E34" s="149">
        <f t="shared" si="1"/>
        <v>1050</v>
      </c>
    </row>
    <row r="35" spans="2:12" s="703" customFormat="1" ht="17.100000000000001" customHeight="1" x14ac:dyDescent="0.25">
      <c r="B35" s="714" t="s">
        <v>876</v>
      </c>
      <c r="C35" s="715">
        <v>600</v>
      </c>
      <c r="D35" s="715"/>
      <c r="E35" s="715">
        <f t="shared" si="1"/>
        <v>600</v>
      </c>
      <c r="F35" s="716"/>
      <c r="G35" s="716"/>
      <c r="H35" s="716"/>
      <c r="I35" s="716"/>
      <c r="J35" s="716"/>
      <c r="K35" s="716"/>
      <c r="L35" s="716"/>
    </row>
    <row r="36" spans="2:12" s="703" customFormat="1" ht="18" x14ac:dyDescent="0.25">
      <c r="B36" s="714" t="s">
        <v>915</v>
      </c>
      <c r="C36" s="715">
        <v>1000</v>
      </c>
      <c r="D36" s="715"/>
      <c r="E36" s="715">
        <f t="shared" ref="E36:E41" si="2">C36+D36</f>
        <v>1000</v>
      </c>
      <c r="F36" s="716"/>
      <c r="G36" s="716"/>
      <c r="H36" s="716"/>
      <c r="I36" s="716"/>
      <c r="J36" s="716"/>
      <c r="K36" s="716"/>
      <c r="L36" s="716"/>
    </row>
    <row r="37" spans="2:12" s="703" customFormat="1" ht="17.100000000000001" customHeight="1" x14ac:dyDescent="0.25">
      <c r="B37" s="714" t="s">
        <v>878</v>
      </c>
      <c r="C37" s="715">
        <v>500</v>
      </c>
      <c r="D37" s="715"/>
      <c r="E37" s="715">
        <f t="shared" si="2"/>
        <v>500</v>
      </c>
      <c r="F37" s="716"/>
      <c r="G37" s="716"/>
      <c r="H37" s="716"/>
      <c r="I37" s="716"/>
      <c r="J37" s="716"/>
      <c r="K37" s="716"/>
      <c r="L37" s="716"/>
    </row>
    <row r="38" spans="2:12" s="703" customFormat="1" ht="17.100000000000001" customHeight="1" x14ac:dyDescent="0.25">
      <c r="B38" s="714" t="s">
        <v>879</v>
      </c>
      <c r="C38" s="715">
        <v>1987</v>
      </c>
      <c r="D38" s="715"/>
      <c r="E38" s="715">
        <f t="shared" si="2"/>
        <v>1987</v>
      </c>
      <c r="F38" s="716"/>
      <c r="G38" s="716"/>
      <c r="H38" s="716"/>
      <c r="I38" s="716"/>
      <c r="J38" s="716"/>
      <c r="K38" s="716"/>
      <c r="L38" s="716"/>
    </row>
    <row r="39" spans="2:12" s="703" customFormat="1" ht="17.100000000000001" customHeight="1" x14ac:dyDescent="0.25">
      <c r="B39" s="714" t="s">
        <v>896</v>
      </c>
      <c r="C39" s="715">
        <v>600</v>
      </c>
      <c r="D39" s="715"/>
      <c r="E39" s="715">
        <f t="shared" si="2"/>
        <v>600</v>
      </c>
      <c r="F39" s="716"/>
      <c r="G39" s="716"/>
      <c r="H39" s="716"/>
      <c r="I39" s="716"/>
      <c r="J39" s="716"/>
      <c r="K39" s="716"/>
      <c r="L39" s="716"/>
    </row>
    <row r="40" spans="2:12" s="703" customFormat="1" ht="17.100000000000001" customHeight="1" x14ac:dyDescent="0.25">
      <c r="B40" s="714" t="s">
        <v>912</v>
      </c>
      <c r="C40" s="715">
        <v>300</v>
      </c>
      <c r="D40" s="715"/>
      <c r="E40" s="715">
        <f t="shared" si="2"/>
        <v>300</v>
      </c>
      <c r="F40" s="716"/>
      <c r="G40" s="716"/>
      <c r="H40" s="716"/>
      <c r="I40" s="716"/>
      <c r="J40" s="716"/>
      <c r="K40" s="716"/>
      <c r="L40" s="716"/>
    </row>
    <row r="41" spans="2:12" s="703" customFormat="1" ht="30.75" x14ac:dyDescent="0.25">
      <c r="B41" s="714" t="s">
        <v>920</v>
      </c>
      <c r="C41" s="715">
        <v>211</v>
      </c>
      <c r="D41" s="715"/>
      <c r="E41" s="715">
        <f t="shared" si="2"/>
        <v>211</v>
      </c>
      <c r="F41" s="716"/>
      <c r="G41" s="716"/>
      <c r="H41" s="716"/>
      <c r="I41" s="716"/>
      <c r="J41" s="716"/>
      <c r="K41" s="716"/>
      <c r="L41" s="716"/>
    </row>
    <row r="42" spans="2:12" ht="30.75" x14ac:dyDescent="0.25">
      <c r="B42" s="714" t="s">
        <v>914</v>
      </c>
      <c r="C42" s="149">
        <v>400</v>
      </c>
      <c r="D42" s="149"/>
      <c r="E42" s="149">
        <f t="shared" si="1"/>
        <v>400</v>
      </c>
    </row>
    <row r="43" spans="2:12" ht="30.75" x14ac:dyDescent="0.25">
      <c r="B43" s="714" t="s">
        <v>944</v>
      </c>
      <c r="C43" s="149">
        <v>550</v>
      </c>
      <c r="D43" s="149"/>
      <c r="E43" s="149">
        <f t="shared" si="1"/>
        <v>550</v>
      </c>
    </row>
    <row r="44" spans="2:12" ht="18" x14ac:dyDescent="0.25">
      <c r="B44" s="714" t="s">
        <v>948</v>
      </c>
      <c r="C44" s="149">
        <v>300</v>
      </c>
      <c r="D44" s="149"/>
      <c r="E44" s="149">
        <f t="shared" si="1"/>
        <v>300</v>
      </c>
    </row>
    <row r="45" spans="2:12" ht="18" x14ac:dyDescent="0.25">
      <c r="B45" s="714" t="s">
        <v>951</v>
      </c>
      <c r="C45" s="149">
        <v>300</v>
      </c>
      <c r="D45" s="149"/>
      <c r="E45" s="149">
        <f t="shared" si="1"/>
        <v>300</v>
      </c>
    </row>
    <row r="46" spans="2:12" ht="17.100000000000001" customHeight="1" x14ac:dyDescent="0.25">
      <c r="B46" s="714" t="s">
        <v>908</v>
      </c>
      <c r="C46" s="149">
        <v>5000</v>
      </c>
      <c r="D46" s="149">
        <v>-5000</v>
      </c>
      <c r="E46" s="149">
        <f t="shared" si="1"/>
        <v>0</v>
      </c>
    </row>
    <row r="47" spans="2:12" ht="18" x14ac:dyDescent="0.25">
      <c r="B47" s="56" t="s">
        <v>138</v>
      </c>
      <c r="C47" s="149">
        <v>2200</v>
      </c>
      <c r="D47" s="149"/>
      <c r="E47" s="149">
        <f t="shared" si="1"/>
        <v>2200</v>
      </c>
    </row>
    <row r="48" spans="2:12" ht="30.75" x14ac:dyDescent="0.25">
      <c r="B48" s="125" t="s">
        <v>980</v>
      </c>
      <c r="C48" s="149">
        <v>239790</v>
      </c>
      <c r="D48" s="149"/>
      <c r="E48" s="149">
        <f t="shared" si="1"/>
        <v>239790</v>
      </c>
    </row>
    <row r="49" spans="2:12" ht="17.100000000000001" customHeight="1" x14ac:dyDescent="0.25">
      <c r="B49" s="55" t="s">
        <v>981</v>
      </c>
      <c r="C49" s="149">
        <v>340000</v>
      </c>
      <c r="D49" s="149"/>
      <c r="E49" s="149">
        <f t="shared" si="1"/>
        <v>340000</v>
      </c>
    </row>
    <row r="50" spans="2:12" ht="35.25" customHeight="1" x14ac:dyDescent="0.25">
      <c r="B50" s="56" t="s">
        <v>137</v>
      </c>
      <c r="C50" s="149">
        <v>2300</v>
      </c>
      <c r="D50" s="149">
        <v>-2050</v>
      </c>
      <c r="E50" s="149">
        <f t="shared" si="1"/>
        <v>250</v>
      </c>
    </row>
    <row r="51" spans="2:12" ht="18" x14ac:dyDescent="0.25">
      <c r="B51" s="119" t="s">
        <v>738</v>
      </c>
      <c r="C51" s="149">
        <v>10200</v>
      </c>
      <c r="D51" s="149"/>
      <c r="E51" s="149">
        <f t="shared" si="1"/>
        <v>10200</v>
      </c>
    </row>
    <row r="52" spans="2:12" ht="18" x14ac:dyDescent="0.25">
      <c r="B52" s="574" t="s">
        <v>483</v>
      </c>
      <c r="C52" s="149"/>
      <c r="D52" s="149"/>
      <c r="E52" s="149"/>
    </row>
    <row r="53" spans="2:12" ht="18" x14ac:dyDescent="0.25">
      <c r="B53" s="119" t="s">
        <v>736</v>
      </c>
      <c r="C53" s="149">
        <v>20000</v>
      </c>
      <c r="D53" s="149"/>
      <c r="E53" s="149">
        <f t="shared" si="1"/>
        <v>20000</v>
      </c>
    </row>
    <row r="54" spans="2:12" ht="18" x14ac:dyDescent="0.25">
      <c r="B54" s="29" t="s">
        <v>734</v>
      </c>
      <c r="C54" s="149">
        <v>22000</v>
      </c>
      <c r="D54" s="149"/>
      <c r="E54" s="149">
        <f t="shared" si="1"/>
        <v>22000</v>
      </c>
      <c r="F54" s="5"/>
      <c r="H54" s="5"/>
      <c r="I54" s="5"/>
      <c r="J54" s="5"/>
      <c r="K54" s="5"/>
      <c r="L54" s="5"/>
    </row>
    <row r="55" spans="2:12" ht="18" x14ac:dyDescent="0.25">
      <c r="B55" s="29" t="s">
        <v>510</v>
      </c>
      <c r="C55" s="149">
        <v>15000</v>
      </c>
      <c r="D55" s="149"/>
      <c r="E55" s="149">
        <f t="shared" si="1"/>
        <v>15000</v>
      </c>
      <c r="F55" s="5"/>
      <c r="H55" s="5"/>
      <c r="I55" s="5"/>
      <c r="J55" s="5"/>
      <c r="K55" s="5"/>
      <c r="L55" s="5"/>
    </row>
    <row r="56" spans="2:12" ht="18" x14ac:dyDescent="0.25">
      <c r="B56" s="29" t="s">
        <v>735</v>
      </c>
      <c r="C56" s="149">
        <v>5000</v>
      </c>
      <c r="D56" s="149"/>
      <c r="E56" s="149">
        <f t="shared" si="1"/>
        <v>5000</v>
      </c>
      <c r="F56" s="28"/>
      <c r="K56" s="5"/>
      <c r="L56" s="5"/>
    </row>
    <row r="57" spans="2:12" ht="18" x14ac:dyDescent="0.25">
      <c r="B57" s="29" t="s">
        <v>691</v>
      </c>
      <c r="C57" s="149">
        <v>15000</v>
      </c>
      <c r="D57" s="149"/>
      <c r="E57" s="149">
        <f t="shared" si="1"/>
        <v>15000</v>
      </c>
      <c r="F57" s="28"/>
      <c r="K57" s="5"/>
      <c r="L57" s="5"/>
    </row>
    <row r="58" spans="2:12" ht="18" x14ac:dyDescent="0.25">
      <c r="B58" s="29" t="s">
        <v>690</v>
      </c>
      <c r="C58" s="149">
        <v>105000</v>
      </c>
      <c r="D58" s="149"/>
      <c r="E58" s="149">
        <f t="shared" si="1"/>
        <v>105000</v>
      </c>
      <c r="F58" s="28"/>
      <c r="K58" s="5"/>
      <c r="L58" s="5"/>
    </row>
    <row r="59" spans="2:12" ht="18" x14ac:dyDescent="0.25">
      <c r="B59" s="29" t="s">
        <v>865</v>
      </c>
      <c r="C59" s="149">
        <v>25000</v>
      </c>
      <c r="D59" s="149"/>
      <c r="E59" s="149">
        <f t="shared" si="1"/>
        <v>25000</v>
      </c>
      <c r="F59" s="28"/>
      <c r="K59" s="5"/>
      <c r="L59" s="5"/>
    </row>
    <row r="60" spans="2:12" ht="18" x14ac:dyDescent="0.25">
      <c r="B60" s="29" t="s">
        <v>950</v>
      </c>
      <c r="C60" s="149">
        <v>15000</v>
      </c>
      <c r="D60" s="149"/>
      <c r="E60" s="149">
        <f t="shared" si="1"/>
        <v>15000</v>
      </c>
      <c r="F60" s="28"/>
      <c r="K60" s="5"/>
      <c r="L60" s="5"/>
    </row>
    <row r="61" spans="2:12" ht="30.75" x14ac:dyDescent="0.25">
      <c r="B61" s="119" t="s">
        <v>507</v>
      </c>
      <c r="C61" s="149">
        <v>5000</v>
      </c>
      <c r="D61" s="149"/>
      <c r="E61" s="149">
        <f t="shared" si="1"/>
        <v>5000</v>
      </c>
    </row>
    <row r="62" spans="2:12" ht="30.75" x14ac:dyDescent="0.25">
      <c r="B62" s="222" t="s">
        <v>508</v>
      </c>
      <c r="C62" s="149">
        <v>10000</v>
      </c>
      <c r="D62" s="149"/>
      <c r="E62" s="149">
        <f t="shared" si="1"/>
        <v>10000</v>
      </c>
    </row>
    <row r="63" spans="2:12" ht="18" x14ac:dyDescent="0.25">
      <c r="B63" s="222" t="s">
        <v>484</v>
      </c>
      <c r="C63" s="149">
        <v>4573</v>
      </c>
      <c r="D63" s="149"/>
      <c r="E63" s="149">
        <f t="shared" si="1"/>
        <v>4573</v>
      </c>
    </row>
    <row r="64" spans="2:12" ht="30.75" x14ac:dyDescent="0.25">
      <c r="B64" s="119" t="s">
        <v>594</v>
      </c>
      <c r="C64" s="150">
        <v>7000</v>
      </c>
      <c r="D64" s="150"/>
      <c r="E64" s="149">
        <f t="shared" si="1"/>
        <v>7000</v>
      </c>
    </row>
    <row r="65" spans="1:6" ht="30.75" x14ac:dyDescent="0.25">
      <c r="B65" s="371" t="s">
        <v>555</v>
      </c>
      <c r="C65" s="150">
        <v>12192</v>
      </c>
      <c r="D65" s="150"/>
      <c r="E65" s="149">
        <f t="shared" si="1"/>
        <v>12192</v>
      </c>
    </row>
    <row r="66" spans="1:6" ht="30.75" x14ac:dyDescent="0.25">
      <c r="B66" s="371" t="s">
        <v>977</v>
      </c>
      <c r="C66" s="149">
        <v>186700</v>
      </c>
      <c r="D66" s="149">
        <f>23782+5903</f>
        <v>29685</v>
      </c>
      <c r="E66" s="149">
        <f t="shared" si="1"/>
        <v>216385</v>
      </c>
    </row>
    <row r="67" spans="1:6" ht="18" x14ac:dyDescent="0.25">
      <c r="B67" s="119" t="s">
        <v>479</v>
      </c>
      <c r="C67" s="149">
        <v>819255</v>
      </c>
      <c r="D67" s="149"/>
      <c r="E67" s="149">
        <f t="shared" si="1"/>
        <v>819255</v>
      </c>
    </row>
    <row r="68" spans="1:6" ht="18" x14ac:dyDescent="0.25">
      <c r="B68" s="334" t="s">
        <v>14</v>
      </c>
      <c r="C68" s="228"/>
      <c r="D68" s="228"/>
      <c r="E68" s="228"/>
    </row>
    <row r="69" spans="1:6" ht="17.100000000000001" customHeight="1" x14ac:dyDescent="0.25">
      <c r="B69" s="215" t="s">
        <v>359</v>
      </c>
      <c r="C69" s="229">
        <v>3810</v>
      </c>
      <c r="D69" s="229"/>
      <c r="E69" s="229">
        <f>C69+D69</f>
        <v>3810</v>
      </c>
      <c r="F69" s="189"/>
    </row>
    <row r="70" spans="1:6" ht="17.100000000000001" customHeight="1" x14ac:dyDescent="0.25">
      <c r="B70" s="55" t="s">
        <v>272</v>
      </c>
      <c r="C70" s="149">
        <v>31180</v>
      </c>
      <c r="D70" s="149"/>
      <c r="E70" s="149">
        <f t="shared" si="1"/>
        <v>31180</v>
      </c>
    </row>
    <row r="71" spans="1:6" ht="34.5" customHeight="1" x14ac:dyDescent="0.25">
      <c r="B71" s="56" t="s">
        <v>145</v>
      </c>
      <c r="C71" s="149">
        <v>11542</v>
      </c>
      <c r="D71" s="149"/>
      <c r="E71" s="149">
        <f t="shared" si="1"/>
        <v>11542</v>
      </c>
    </row>
    <row r="72" spans="1:6" ht="18" x14ac:dyDescent="0.25">
      <c r="B72" s="55" t="s">
        <v>312</v>
      </c>
      <c r="C72" s="149">
        <v>73191</v>
      </c>
      <c r="D72" s="149"/>
      <c r="E72" s="149">
        <f t="shared" si="1"/>
        <v>73191</v>
      </c>
    </row>
    <row r="73" spans="1:6" ht="18" x14ac:dyDescent="0.25">
      <c r="B73" s="55" t="s">
        <v>332</v>
      </c>
      <c r="C73" s="149">
        <v>41840</v>
      </c>
      <c r="D73" s="149"/>
      <c r="E73" s="149">
        <f t="shared" si="1"/>
        <v>41840</v>
      </c>
    </row>
    <row r="74" spans="1:6" ht="18" x14ac:dyDescent="0.25">
      <c r="A74" s="330"/>
      <c r="B74" s="119" t="s">
        <v>382</v>
      </c>
      <c r="C74" s="149">
        <v>7100</v>
      </c>
      <c r="D74" s="149"/>
      <c r="E74" s="149">
        <f t="shared" si="1"/>
        <v>7100</v>
      </c>
    </row>
    <row r="75" spans="1:6" ht="18" x14ac:dyDescent="0.25">
      <c r="B75" s="352" t="s">
        <v>967</v>
      </c>
      <c r="C75" s="150">
        <v>100000</v>
      </c>
      <c r="D75" s="150"/>
      <c r="E75" s="149">
        <f t="shared" si="1"/>
        <v>100000</v>
      </c>
    </row>
    <row r="76" spans="1:6" ht="30.75" x14ac:dyDescent="0.25">
      <c r="B76" s="119" t="s">
        <v>633</v>
      </c>
      <c r="C76" s="149">
        <v>60000</v>
      </c>
      <c r="D76" s="149"/>
      <c r="E76" s="149">
        <f t="shared" si="1"/>
        <v>60000</v>
      </c>
    </row>
    <row r="77" spans="1:6" ht="30.75" x14ac:dyDescent="0.25">
      <c r="B77" s="119" t="s">
        <v>874</v>
      </c>
      <c r="C77" s="149">
        <v>12000</v>
      </c>
      <c r="D77" s="149"/>
      <c r="E77" s="149">
        <f t="shared" si="1"/>
        <v>12000</v>
      </c>
    </row>
    <row r="78" spans="1:6" ht="18" x14ac:dyDescent="0.25">
      <c r="B78" s="119" t="s">
        <v>676</v>
      </c>
      <c r="C78" s="149">
        <v>500000</v>
      </c>
      <c r="D78" s="149"/>
      <c r="E78" s="149">
        <f t="shared" si="1"/>
        <v>500000</v>
      </c>
    </row>
    <row r="79" spans="1:6" ht="18" x14ac:dyDescent="0.25">
      <c r="B79" s="397" t="s">
        <v>13</v>
      </c>
      <c r="C79" s="41"/>
      <c r="D79" s="41"/>
      <c r="E79" s="228"/>
    </row>
    <row r="80" spans="1:6" ht="36.75" customHeight="1" x14ac:dyDescent="0.25">
      <c r="B80" s="67" t="s">
        <v>58</v>
      </c>
      <c r="C80" s="149">
        <v>4500</v>
      </c>
      <c r="D80" s="149"/>
      <c r="E80" s="149">
        <f t="shared" si="1"/>
        <v>4500</v>
      </c>
    </row>
    <row r="81" spans="2:6" ht="18" x14ac:dyDescent="0.25">
      <c r="B81" s="143" t="s">
        <v>77</v>
      </c>
      <c r="C81" s="149">
        <v>30976</v>
      </c>
      <c r="D81" s="149"/>
      <c r="E81" s="149">
        <f t="shared" si="1"/>
        <v>30976</v>
      </c>
    </row>
    <row r="82" spans="2:6" ht="18" x14ac:dyDescent="0.25">
      <c r="B82" s="143" t="s">
        <v>47</v>
      </c>
      <c r="C82" s="149">
        <v>3811</v>
      </c>
      <c r="D82" s="149"/>
      <c r="E82" s="149">
        <f t="shared" si="1"/>
        <v>3811</v>
      </c>
    </row>
    <row r="83" spans="2:6" ht="18" x14ac:dyDescent="0.25">
      <c r="B83" s="143" t="s">
        <v>693</v>
      </c>
      <c r="C83" s="149">
        <v>22338</v>
      </c>
      <c r="D83" s="149"/>
      <c r="E83" s="149">
        <f t="shared" si="1"/>
        <v>22338</v>
      </c>
    </row>
    <row r="84" spans="2:6" ht="18" x14ac:dyDescent="0.25">
      <c r="B84" s="143" t="s">
        <v>394</v>
      </c>
      <c r="C84" s="149">
        <v>600</v>
      </c>
      <c r="D84" s="149"/>
      <c r="E84" s="149">
        <f t="shared" si="1"/>
        <v>600</v>
      </c>
    </row>
    <row r="85" spans="2:6" ht="18" x14ac:dyDescent="0.25">
      <c r="B85" s="143" t="s">
        <v>231</v>
      </c>
      <c r="C85" s="149">
        <v>9515</v>
      </c>
      <c r="D85" s="149"/>
      <c r="E85" s="149">
        <f t="shared" si="1"/>
        <v>9515</v>
      </c>
    </row>
    <row r="86" spans="2:6" ht="35.450000000000003" customHeight="1" x14ac:dyDescent="0.25">
      <c r="B86" s="133" t="s">
        <v>742</v>
      </c>
      <c r="C86" s="149">
        <v>2700</v>
      </c>
      <c r="D86" s="149"/>
      <c r="E86" s="149">
        <f t="shared" si="1"/>
        <v>2700</v>
      </c>
    </row>
    <row r="87" spans="2:6" ht="18" x14ac:dyDescent="0.25">
      <c r="B87" s="143" t="s">
        <v>468</v>
      </c>
      <c r="C87" s="149">
        <v>508</v>
      </c>
      <c r="D87" s="149"/>
      <c r="E87" s="149">
        <f t="shared" si="1"/>
        <v>508</v>
      </c>
    </row>
    <row r="88" spans="2:6" ht="18" x14ac:dyDescent="0.25">
      <c r="B88" s="143" t="s">
        <v>627</v>
      </c>
      <c r="C88" s="149">
        <v>6375</v>
      </c>
      <c r="D88" s="149">
        <v>1250</v>
      </c>
      <c r="E88" s="149">
        <f t="shared" si="1"/>
        <v>7625</v>
      </c>
    </row>
    <row r="89" spans="2:6" ht="18" x14ac:dyDescent="0.25">
      <c r="B89" s="143" t="s">
        <v>729</v>
      </c>
      <c r="C89" s="41">
        <v>0</v>
      </c>
      <c r="D89" s="41"/>
      <c r="E89" s="149">
        <f t="shared" si="1"/>
        <v>0</v>
      </c>
    </row>
    <row r="90" spans="2:6" ht="18" x14ac:dyDescent="0.25">
      <c r="B90" s="334" t="s">
        <v>12</v>
      </c>
      <c r="C90" s="228"/>
      <c r="D90" s="228"/>
      <c r="E90" s="228"/>
    </row>
    <row r="91" spans="2:6" ht="17.100000000000001" customHeight="1" x14ac:dyDescent="0.25">
      <c r="B91" s="69" t="s">
        <v>67</v>
      </c>
      <c r="C91" s="149">
        <v>64707</v>
      </c>
      <c r="D91" s="149"/>
      <c r="E91" s="149">
        <f t="shared" si="1"/>
        <v>64707</v>
      </c>
      <c r="F91" s="189"/>
    </row>
    <row r="92" spans="2:6" ht="17.100000000000001" customHeight="1" x14ac:dyDescent="0.25">
      <c r="B92" s="69" t="s">
        <v>694</v>
      </c>
      <c r="C92" s="149">
        <v>1500</v>
      </c>
      <c r="D92" s="149"/>
      <c r="E92" s="149">
        <f t="shared" si="1"/>
        <v>1500</v>
      </c>
      <c r="F92" s="189"/>
    </row>
    <row r="93" spans="2:6" ht="17.100000000000001" customHeight="1" x14ac:dyDescent="0.25">
      <c r="B93" s="69" t="s">
        <v>974</v>
      </c>
      <c r="C93" s="149"/>
      <c r="D93" s="149">
        <f>5000+254+500</f>
        <v>5754</v>
      </c>
      <c r="E93" s="149">
        <f t="shared" si="1"/>
        <v>5754</v>
      </c>
      <c r="F93" s="189"/>
    </row>
    <row r="94" spans="2:6" ht="18" x14ac:dyDescent="0.25">
      <c r="B94" s="334" t="s">
        <v>11</v>
      </c>
      <c r="C94" s="228"/>
      <c r="D94" s="228"/>
      <c r="E94" s="228"/>
    </row>
    <row r="95" spans="2:6" ht="18" x14ac:dyDescent="0.25">
      <c r="B95" s="181" t="s">
        <v>511</v>
      </c>
      <c r="C95" s="149">
        <v>22964</v>
      </c>
      <c r="D95" s="149"/>
      <c r="E95" s="149">
        <f t="shared" si="1"/>
        <v>22964</v>
      </c>
    </row>
    <row r="96" spans="2:6" ht="17.100000000000001" customHeight="1" x14ac:dyDescent="0.25">
      <c r="B96" s="532" t="s">
        <v>362</v>
      </c>
      <c r="C96" s="533">
        <v>13557</v>
      </c>
      <c r="D96" s="533"/>
      <c r="E96" s="229">
        <f>C96+D96</f>
        <v>13557</v>
      </c>
    </row>
    <row r="97" spans="2:12" ht="18" x14ac:dyDescent="0.25">
      <c r="B97" s="143" t="s">
        <v>679</v>
      </c>
      <c r="C97" s="149">
        <v>24000</v>
      </c>
      <c r="D97" s="149"/>
      <c r="E97" s="149">
        <f>C97+D97</f>
        <v>24000</v>
      </c>
    </row>
    <row r="98" spans="2:12" ht="17.100000000000001" customHeight="1" thickBot="1" x14ac:dyDescent="0.3">
      <c r="B98" s="121" t="s">
        <v>373</v>
      </c>
      <c r="C98" s="155">
        <f>SUM(C20:C97)</f>
        <v>3054275</v>
      </c>
      <c r="D98" s="155">
        <f>SUM(D20:D97)</f>
        <v>35461</v>
      </c>
      <c r="E98" s="155">
        <f>SUM(E20:E97)</f>
        <v>3089736</v>
      </c>
    </row>
    <row r="99" spans="2:12" x14ac:dyDescent="0.2">
      <c r="B99" s="124" t="s">
        <v>163</v>
      </c>
      <c r="C99" s="118"/>
      <c r="D99" s="118"/>
      <c r="E99" s="118"/>
    </row>
    <row r="100" spans="2:12" ht="39" customHeight="1" x14ac:dyDescent="0.25">
      <c r="B100" s="144" t="s">
        <v>455</v>
      </c>
      <c r="C100" s="149">
        <v>1816</v>
      </c>
      <c r="D100" s="149"/>
      <c r="E100" s="149">
        <f t="shared" ref="E100:E107" si="3">C100+D100</f>
        <v>1816</v>
      </c>
    </row>
    <row r="101" spans="2:12" ht="39" customHeight="1" x14ac:dyDescent="0.25">
      <c r="B101" s="331" t="s">
        <v>485</v>
      </c>
      <c r="C101" s="149">
        <v>4400</v>
      </c>
      <c r="D101" s="149"/>
      <c r="E101" s="149">
        <f t="shared" si="3"/>
        <v>4400</v>
      </c>
    </row>
    <row r="102" spans="2:12" ht="39" customHeight="1" x14ac:dyDescent="0.25">
      <c r="B102" s="331" t="s">
        <v>486</v>
      </c>
      <c r="C102" s="149">
        <v>2015</v>
      </c>
      <c r="D102" s="149"/>
      <c r="E102" s="149">
        <f t="shared" si="3"/>
        <v>2015</v>
      </c>
    </row>
    <row r="103" spans="2:12" ht="39" customHeight="1" x14ac:dyDescent="0.25">
      <c r="B103" s="331" t="s">
        <v>681</v>
      </c>
      <c r="C103" s="149">
        <v>705</v>
      </c>
      <c r="D103" s="149"/>
      <c r="E103" s="149">
        <f t="shared" si="3"/>
        <v>705</v>
      </c>
    </row>
    <row r="104" spans="2:12" ht="39" customHeight="1" x14ac:dyDescent="0.25">
      <c r="B104" s="331" t="s">
        <v>459</v>
      </c>
      <c r="C104" s="149">
        <v>559</v>
      </c>
      <c r="D104" s="149"/>
      <c r="E104" s="149">
        <f t="shared" si="3"/>
        <v>559</v>
      </c>
    </row>
    <row r="105" spans="2:12" ht="39" customHeight="1" x14ac:dyDescent="0.25">
      <c r="B105" s="331" t="s">
        <v>458</v>
      </c>
      <c r="C105" s="149">
        <v>44716</v>
      </c>
      <c r="D105" s="149"/>
      <c r="E105" s="149">
        <f t="shared" si="3"/>
        <v>44716</v>
      </c>
    </row>
    <row r="106" spans="2:12" ht="39" customHeight="1" x14ac:dyDescent="0.25">
      <c r="B106" s="331" t="s">
        <v>592</v>
      </c>
      <c r="C106" s="149">
        <v>3087</v>
      </c>
      <c r="D106" s="149">
        <v>7</v>
      </c>
      <c r="E106" s="149">
        <f t="shared" si="3"/>
        <v>3094</v>
      </c>
    </row>
    <row r="107" spans="2:12" ht="39" customHeight="1" x14ac:dyDescent="0.25">
      <c r="B107" s="534" t="s">
        <v>637</v>
      </c>
      <c r="C107" s="228">
        <v>58121</v>
      </c>
      <c r="D107" s="149">
        <v>89</v>
      </c>
      <c r="E107" s="149">
        <f t="shared" si="3"/>
        <v>58210</v>
      </c>
    </row>
    <row r="108" spans="2:12" ht="17.100000000000001" customHeight="1" thickBot="1" x14ac:dyDescent="0.3">
      <c r="B108" s="121" t="s">
        <v>373</v>
      </c>
      <c r="C108" s="155">
        <f>SUM(C100:C107)</f>
        <v>115419</v>
      </c>
      <c r="D108" s="155">
        <f>SUM(D100:D107)</f>
        <v>96</v>
      </c>
      <c r="E108" s="155">
        <f>SUM(E100:E107)</f>
        <v>115515</v>
      </c>
    </row>
    <row r="109" spans="2:12" ht="21.75" customHeight="1" thickBot="1" x14ac:dyDescent="0.3">
      <c r="B109" s="122" t="s">
        <v>218</v>
      </c>
      <c r="C109" s="102">
        <f>C18+C98+C108</f>
        <v>4726322</v>
      </c>
      <c r="D109" s="102">
        <f>D18+D98+D108</f>
        <v>61915</v>
      </c>
      <c r="E109" s="102">
        <f>E18+E98+E108</f>
        <v>4788237</v>
      </c>
    </row>
    <row r="110" spans="2:12" s="9" customFormat="1" ht="41.25" customHeight="1" thickBot="1" x14ac:dyDescent="0.3">
      <c r="B110" s="123" t="s">
        <v>544</v>
      </c>
      <c r="C110" s="102">
        <f>C109+C9</f>
        <v>7091720</v>
      </c>
      <c r="D110" s="102">
        <f>D109+D9</f>
        <v>125887</v>
      </c>
      <c r="E110" s="102">
        <f>E109+E9</f>
        <v>7217607</v>
      </c>
      <c r="F110" s="18"/>
      <c r="G110" s="4"/>
      <c r="H110" s="18"/>
      <c r="I110" s="18"/>
      <c r="J110" s="18"/>
      <c r="K110" s="18"/>
      <c r="L110" s="18"/>
    </row>
    <row r="112" spans="2:12" ht="19.5" thickBot="1" x14ac:dyDescent="0.35">
      <c r="B112" s="74" t="s">
        <v>139</v>
      </c>
      <c r="C112" s="74"/>
      <c r="D112" s="74"/>
      <c r="E112" s="225"/>
    </row>
    <row r="113" spans="2:5" ht="15" customHeight="1" x14ac:dyDescent="0.25">
      <c r="B113" s="3" t="s">
        <v>303</v>
      </c>
      <c r="C113" s="529" t="s">
        <v>923</v>
      </c>
      <c r="D113" s="529" t="s">
        <v>863</v>
      </c>
      <c r="E113" s="529" t="s">
        <v>955</v>
      </c>
    </row>
    <row r="114" spans="2:5" ht="15" customHeight="1" thickBot="1" x14ac:dyDescent="0.3">
      <c r="B114" s="17"/>
      <c r="C114" s="395" t="s">
        <v>635</v>
      </c>
      <c r="D114" s="395" t="s">
        <v>864</v>
      </c>
      <c r="E114" s="395" t="s">
        <v>635</v>
      </c>
    </row>
    <row r="115" spans="2:5" ht="17.100000000000001" customHeight="1" x14ac:dyDescent="0.25">
      <c r="B115" s="66" t="s">
        <v>279</v>
      </c>
      <c r="C115" s="228">
        <v>8589</v>
      </c>
      <c r="D115" s="228">
        <v>3000</v>
      </c>
      <c r="E115" s="228">
        <f>C115+D115</f>
        <v>11589</v>
      </c>
    </row>
    <row r="116" spans="2:5" ht="17.100000000000001" customHeight="1" x14ac:dyDescent="0.25">
      <c r="B116" s="55" t="s">
        <v>8</v>
      </c>
      <c r="C116" s="150">
        <v>41243</v>
      </c>
      <c r="D116" s="150">
        <f>-294+17550+2798+4580</f>
        <v>24634</v>
      </c>
      <c r="E116" s="150">
        <f>C116+D116</f>
        <v>65877</v>
      </c>
    </row>
    <row r="117" spans="2:5" ht="17.100000000000001" customHeight="1" thickBot="1" x14ac:dyDescent="0.3">
      <c r="B117" s="66" t="s">
        <v>289</v>
      </c>
      <c r="C117" s="41">
        <v>682</v>
      </c>
      <c r="D117" s="150">
        <v>600</v>
      </c>
      <c r="E117" s="41">
        <f>C117+D117</f>
        <v>1282</v>
      </c>
    </row>
    <row r="118" spans="2:5" ht="41.25" customHeight="1" thickBot="1" x14ac:dyDescent="0.3">
      <c r="B118" s="403" t="s">
        <v>543</v>
      </c>
      <c r="C118" s="42">
        <f>SUM(C115:C117)</f>
        <v>50514</v>
      </c>
      <c r="D118" s="42">
        <f>SUM(D115:D117)</f>
        <v>28234</v>
      </c>
      <c r="E118" s="42">
        <f>SUM(E115:E117)</f>
        <v>78748</v>
      </c>
    </row>
    <row r="119" spans="2:5" ht="15" customHeight="1" thickBot="1" x14ac:dyDescent="0.3">
      <c r="B119" s="77"/>
      <c r="C119" s="9"/>
      <c r="D119" s="9"/>
      <c r="E119" s="9"/>
    </row>
    <row r="120" spans="2:5" ht="42.75" customHeight="1" thickBot="1" x14ac:dyDescent="0.3">
      <c r="B120" s="263" t="s">
        <v>545</v>
      </c>
      <c r="C120" s="42">
        <f>C110+C118</f>
        <v>7142234</v>
      </c>
      <c r="D120" s="42">
        <f>D110+D118</f>
        <v>154121</v>
      </c>
      <c r="E120" s="42">
        <f>E110+E118</f>
        <v>7296355</v>
      </c>
    </row>
    <row r="122" spans="2:5" ht="15" customHeight="1" x14ac:dyDescent="0.25">
      <c r="B122" s="9" t="s">
        <v>129</v>
      </c>
      <c r="C122" s="9"/>
      <c r="D122" s="9"/>
      <c r="E122" s="299"/>
    </row>
    <row r="123" spans="2:5" ht="15" customHeight="1" x14ac:dyDescent="0.25">
      <c r="B123" s="9" t="s">
        <v>130</v>
      </c>
      <c r="C123" s="9"/>
      <c r="D123" s="9"/>
      <c r="E123" s="18"/>
    </row>
    <row r="125" spans="2:5" ht="15" customHeight="1" x14ac:dyDescent="0.25">
      <c r="B125" s="110" t="s">
        <v>257</v>
      </c>
      <c r="C125" s="110"/>
      <c r="D125" s="110"/>
      <c r="E125" s="111"/>
    </row>
    <row r="126" spans="2:5" ht="24" customHeight="1" x14ac:dyDescent="0.25">
      <c r="B126" s="264" t="s">
        <v>279</v>
      </c>
      <c r="C126" s="231">
        <f>C6+C115</f>
        <v>153366</v>
      </c>
      <c r="D126" s="231">
        <f>D6+D115</f>
        <v>1526</v>
      </c>
      <c r="E126" s="231">
        <f>E6+E115</f>
        <v>154892</v>
      </c>
    </row>
    <row r="127" spans="2:5" ht="15" customHeight="1" x14ac:dyDescent="0.25">
      <c r="B127" s="265" t="s">
        <v>8</v>
      </c>
      <c r="C127" s="231">
        <f t="shared" ref="C127:E128" si="4">C116+C7</f>
        <v>2057800</v>
      </c>
      <c r="D127" s="231">
        <f t="shared" si="4"/>
        <v>91719</v>
      </c>
      <c r="E127" s="231">
        <f t="shared" si="4"/>
        <v>2149519</v>
      </c>
    </row>
    <row r="128" spans="2:5" ht="15" customHeight="1" x14ac:dyDescent="0.25">
      <c r="B128" s="265" t="s">
        <v>289</v>
      </c>
      <c r="C128" s="231">
        <f t="shared" si="4"/>
        <v>204746</v>
      </c>
      <c r="D128" s="231">
        <f t="shared" si="4"/>
        <v>-1039</v>
      </c>
      <c r="E128" s="231">
        <f t="shared" si="4"/>
        <v>203707</v>
      </c>
    </row>
    <row r="130" spans="3:5" ht="15" customHeight="1" x14ac:dyDescent="0.2">
      <c r="C130" s="4">
        <f>SUM(C126:C129)</f>
        <v>2415912</v>
      </c>
      <c r="D130" s="4">
        <f>SUM(D126:D129)</f>
        <v>92206</v>
      </c>
      <c r="E130" s="4">
        <f>SUM(E126:E129)</f>
        <v>2508118</v>
      </c>
    </row>
    <row r="134" spans="3:5" ht="15" customHeight="1" x14ac:dyDescent="0.2">
      <c r="D134" s="4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4" orientation="portrait" r:id="rId3"/>
  <headerFooter alignWithMargins="0">
    <oddHeader xml:space="preserve">&amp;R&amp;"Times New Roman CE,Félkövér"&amp;12 13. melléklet a …./2019. (…….) önkormányzati rendelethez
„13. melléklet a 5/2019. (IV. 1.) önkormányzati rendelethez”
</oddHeader>
  </headerFooter>
  <rowBreaks count="1" manualBreakCount="1">
    <brk id="67" min="1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7"/>
  <dimension ref="B1:G64"/>
  <sheetViews>
    <sheetView zoomScaleNormal="100" workbookViewId="0">
      <selection activeCell="C120" sqref="C120"/>
    </sheetView>
  </sheetViews>
  <sheetFormatPr defaultColWidth="9.33203125" defaultRowHeight="15" customHeight="1" x14ac:dyDescent="0.2"/>
  <cols>
    <col min="1" max="1" width="15.33203125" style="5" customWidth="1"/>
    <col min="2" max="2" width="88.6640625" style="5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6" width="11.5" style="5" bestFit="1" customWidth="1"/>
    <col min="7" max="7" width="14.1640625" style="5" customWidth="1"/>
    <col min="8" max="8" width="11.1640625" style="5" bestFit="1" customWidth="1"/>
    <col min="9" max="16384" width="9.33203125" style="5"/>
  </cols>
  <sheetData>
    <row r="1" spans="2:7" ht="15" customHeight="1" x14ac:dyDescent="0.25">
      <c r="B1" s="2"/>
      <c r="C1" s="2"/>
      <c r="D1" s="2"/>
      <c r="E1" s="2"/>
    </row>
    <row r="2" spans="2:7" ht="21" customHeight="1" x14ac:dyDescent="0.25">
      <c r="B2" s="962" t="s">
        <v>294</v>
      </c>
      <c r="C2" s="962"/>
      <c r="D2" s="962"/>
      <c r="E2" s="962"/>
    </row>
    <row r="3" spans="2:7" ht="15" customHeight="1" x14ac:dyDescent="0.25">
      <c r="B3" s="9" t="s">
        <v>18</v>
      </c>
      <c r="C3" s="9"/>
      <c r="D3" s="9"/>
      <c r="E3" s="9"/>
    </row>
    <row r="4" spans="2:7" ht="15" customHeight="1" thickBot="1" x14ac:dyDescent="0.25">
      <c r="E4" s="302" t="s">
        <v>380</v>
      </c>
    </row>
    <row r="5" spans="2:7" ht="20.100000000000001" customHeight="1" x14ac:dyDescent="0.25">
      <c r="B5" s="3" t="s">
        <v>303</v>
      </c>
      <c r="C5" s="529" t="s">
        <v>923</v>
      </c>
      <c r="D5" s="529" t="s">
        <v>863</v>
      </c>
      <c r="E5" s="529" t="s">
        <v>955</v>
      </c>
    </row>
    <row r="6" spans="2:7" ht="20.100000000000001" customHeight="1" thickBot="1" x14ac:dyDescent="0.3">
      <c r="B6" s="14"/>
      <c r="C6" s="395" t="s">
        <v>635</v>
      </c>
      <c r="D6" s="395" t="s">
        <v>864</v>
      </c>
      <c r="E6" s="395" t="s">
        <v>635</v>
      </c>
    </row>
    <row r="7" spans="2:7" ht="20.25" customHeight="1" x14ac:dyDescent="0.2">
      <c r="B7" s="106" t="s">
        <v>86</v>
      </c>
      <c r="C7" s="47">
        <v>220000</v>
      </c>
      <c r="D7" s="47">
        <f>35000+30000</f>
        <v>65000</v>
      </c>
      <c r="E7" s="47">
        <f>C7+D7</f>
        <v>285000</v>
      </c>
      <c r="G7" s="4"/>
    </row>
    <row r="8" spans="2:7" ht="20.25" customHeight="1" x14ac:dyDescent="0.2">
      <c r="B8" s="69" t="s">
        <v>906</v>
      </c>
      <c r="C8" s="44">
        <v>2312</v>
      </c>
      <c r="D8" s="44"/>
      <c r="E8" s="44">
        <f>C8+D8</f>
        <v>2312</v>
      </c>
      <c r="G8" s="4"/>
    </row>
    <row r="9" spans="2:7" ht="20.25" customHeight="1" x14ac:dyDescent="0.2">
      <c r="B9" s="196" t="s">
        <v>83</v>
      </c>
      <c r="C9" s="88">
        <v>25960</v>
      </c>
      <c r="D9" s="88">
        <v>-435</v>
      </c>
      <c r="E9" s="88">
        <f>C9+D9</f>
        <v>25525</v>
      </c>
      <c r="G9" s="4"/>
    </row>
    <row r="10" spans="2:7" ht="19.5" customHeight="1" x14ac:dyDescent="0.2">
      <c r="B10" s="55" t="s">
        <v>399</v>
      </c>
      <c r="C10" s="46">
        <v>3000</v>
      </c>
      <c r="D10" s="46">
        <v>806</v>
      </c>
      <c r="E10" s="46">
        <f>C10+D10</f>
        <v>3806</v>
      </c>
      <c r="G10" s="4"/>
    </row>
    <row r="11" spans="2:7" ht="19.5" customHeight="1" x14ac:dyDescent="0.2">
      <c r="B11" s="143" t="s">
        <v>29</v>
      </c>
      <c r="C11" s="53">
        <v>48208</v>
      </c>
      <c r="D11" s="53">
        <v>-806</v>
      </c>
      <c r="E11" s="53">
        <f t="shared" ref="E11:E55" si="0">C11+D11</f>
        <v>47402</v>
      </c>
      <c r="G11" s="4"/>
    </row>
    <row r="12" spans="2:7" ht="19.5" customHeight="1" x14ac:dyDescent="0.2">
      <c r="B12" s="566" t="s">
        <v>715</v>
      </c>
      <c r="C12" s="44"/>
      <c r="D12" s="44"/>
      <c r="E12" s="44"/>
      <c r="G12" s="4"/>
    </row>
    <row r="13" spans="2:7" ht="19.5" customHeight="1" x14ac:dyDescent="0.2">
      <c r="B13" s="55" t="s">
        <v>716</v>
      </c>
      <c r="C13" s="53"/>
      <c r="D13" s="53"/>
      <c r="E13" s="46"/>
      <c r="G13" s="4"/>
    </row>
    <row r="14" spans="2:7" ht="19.5" customHeight="1" x14ac:dyDescent="0.2">
      <c r="B14" s="55" t="s">
        <v>717</v>
      </c>
      <c r="C14" s="53"/>
      <c r="D14" s="53"/>
      <c r="E14" s="46"/>
      <c r="G14" s="4"/>
    </row>
    <row r="15" spans="2:7" ht="19.5" customHeight="1" x14ac:dyDescent="0.2">
      <c r="B15" s="743" t="s">
        <v>958</v>
      </c>
      <c r="C15" s="53"/>
      <c r="D15" s="53"/>
      <c r="E15" s="46"/>
      <c r="G15" s="4"/>
    </row>
    <row r="16" spans="2:7" ht="19.5" customHeight="1" x14ac:dyDescent="0.2">
      <c r="B16" s="55" t="s">
        <v>718</v>
      </c>
      <c r="C16" s="53"/>
      <c r="D16" s="53"/>
      <c r="E16" s="46"/>
      <c r="G16" s="4"/>
    </row>
    <row r="17" spans="2:7" ht="19.5" customHeight="1" x14ac:dyDescent="0.2">
      <c r="B17" s="69" t="s">
        <v>720</v>
      </c>
      <c r="C17" s="53"/>
      <c r="D17" s="53"/>
      <c r="E17" s="46"/>
      <c r="G17" s="4"/>
    </row>
    <row r="18" spans="2:7" ht="19.5" customHeight="1" x14ac:dyDescent="0.2">
      <c r="B18" s="69" t="s">
        <v>719</v>
      </c>
      <c r="C18" s="53"/>
      <c r="D18" s="53"/>
      <c r="E18" s="46"/>
      <c r="G18" s="4"/>
    </row>
    <row r="19" spans="2:7" ht="19.5" customHeight="1" x14ac:dyDescent="0.2">
      <c r="B19" s="69" t="s">
        <v>723</v>
      </c>
      <c r="C19" s="53"/>
      <c r="D19" s="53"/>
      <c r="E19" s="46"/>
      <c r="G19" s="4"/>
    </row>
    <row r="20" spans="2:7" ht="19.5" customHeight="1" x14ac:dyDescent="0.2">
      <c r="B20" s="69" t="s">
        <v>724</v>
      </c>
      <c r="C20" s="53"/>
      <c r="D20" s="53"/>
      <c r="E20" s="46"/>
      <c r="G20" s="4"/>
    </row>
    <row r="21" spans="2:7" ht="19.5" customHeight="1" x14ac:dyDescent="0.2">
      <c r="B21" s="127" t="s">
        <v>737</v>
      </c>
      <c r="C21" s="53"/>
      <c r="D21" s="53"/>
      <c r="E21" s="46"/>
      <c r="G21" s="4"/>
    </row>
    <row r="22" spans="2:7" ht="19.5" customHeight="1" x14ac:dyDescent="0.2">
      <c r="B22" s="55" t="s">
        <v>88</v>
      </c>
      <c r="C22" s="46">
        <v>1209</v>
      </c>
      <c r="D22" s="46"/>
      <c r="E22" s="46">
        <f t="shared" si="0"/>
        <v>1209</v>
      </c>
      <c r="G22" s="4"/>
    </row>
    <row r="23" spans="2:7" ht="20.100000000000001" customHeight="1" x14ac:dyDescent="0.2">
      <c r="B23" s="55" t="s">
        <v>74</v>
      </c>
      <c r="C23" s="46">
        <v>13000</v>
      </c>
      <c r="D23" s="46"/>
      <c r="E23" s="46">
        <f t="shared" si="0"/>
        <v>13000</v>
      </c>
      <c r="F23" s="4"/>
      <c r="G23" s="4"/>
    </row>
    <row r="24" spans="2:7" x14ac:dyDescent="0.2">
      <c r="B24" s="55" t="s">
        <v>438</v>
      </c>
      <c r="C24" s="46">
        <v>41539</v>
      </c>
      <c r="D24" s="46"/>
      <c r="E24" s="46">
        <f t="shared" si="0"/>
        <v>41539</v>
      </c>
      <c r="F24" s="4"/>
      <c r="G24" s="4"/>
    </row>
    <row r="25" spans="2:7" x14ac:dyDescent="0.2">
      <c r="B25" s="125" t="s">
        <v>668</v>
      </c>
      <c r="C25" s="46">
        <v>62000</v>
      </c>
      <c r="D25" s="46"/>
      <c r="E25" s="46">
        <f t="shared" si="0"/>
        <v>62000</v>
      </c>
      <c r="F25" s="4"/>
      <c r="G25" s="4"/>
    </row>
    <row r="26" spans="2:7" x14ac:dyDescent="0.2">
      <c r="B26" s="125" t="s">
        <v>669</v>
      </c>
      <c r="C26" s="46">
        <v>37000</v>
      </c>
      <c r="D26" s="46"/>
      <c r="E26" s="46">
        <f t="shared" si="0"/>
        <v>37000</v>
      </c>
      <c r="F26" s="4"/>
      <c r="G26" s="4"/>
    </row>
    <row r="27" spans="2:7" x14ac:dyDescent="0.2">
      <c r="B27" s="125" t="s">
        <v>956</v>
      </c>
      <c r="C27" s="46">
        <v>20000</v>
      </c>
      <c r="D27" s="46"/>
      <c r="E27" s="46">
        <f t="shared" si="0"/>
        <v>20000</v>
      </c>
      <c r="F27" s="4"/>
      <c r="G27" s="4"/>
    </row>
    <row r="28" spans="2:7" ht="20.100000000000001" customHeight="1" x14ac:dyDescent="0.2">
      <c r="B28" s="55" t="s">
        <v>626</v>
      </c>
      <c r="C28" s="46">
        <v>8000</v>
      </c>
      <c r="D28" s="46"/>
      <c r="E28" s="46">
        <f t="shared" si="0"/>
        <v>8000</v>
      </c>
      <c r="F28" s="4"/>
      <c r="G28" s="4"/>
    </row>
    <row r="29" spans="2:7" ht="20.100000000000001" customHeight="1" x14ac:dyDescent="0.2">
      <c r="B29" s="55" t="s">
        <v>952</v>
      </c>
      <c r="C29" s="46">
        <v>20000</v>
      </c>
      <c r="D29" s="46">
        <v>-20000</v>
      </c>
      <c r="E29" s="46">
        <f t="shared" si="0"/>
        <v>0</v>
      </c>
      <c r="F29" s="4"/>
      <c r="G29" s="4"/>
    </row>
    <row r="30" spans="2:7" ht="20.100000000000001" customHeight="1" x14ac:dyDescent="0.2">
      <c r="B30" s="55" t="s">
        <v>973</v>
      </c>
      <c r="C30" s="46"/>
      <c r="D30" s="46">
        <v>20000</v>
      </c>
      <c r="E30" s="46">
        <f t="shared" si="0"/>
        <v>20000</v>
      </c>
      <c r="F30" s="4"/>
      <c r="G30" s="4"/>
    </row>
    <row r="31" spans="2:7" ht="20.100000000000001" customHeight="1" x14ac:dyDescent="0.2">
      <c r="B31" s="55" t="s">
        <v>144</v>
      </c>
      <c r="C31" s="46">
        <v>10000</v>
      </c>
      <c r="D31" s="46"/>
      <c r="E31" s="46">
        <f t="shared" si="0"/>
        <v>10000</v>
      </c>
      <c r="F31" s="4"/>
      <c r="G31" s="4"/>
    </row>
    <row r="32" spans="2:7" ht="20.100000000000001" customHeight="1" x14ac:dyDescent="0.2">
      <c r="B32" s="55" t="s">
        <v>398</v>
      </c>
      <c r="C32" s="46">
        <v>10000</v>
      </c>
      <c r="D32" s="46"/>
      <c r="E32" s="46">
        <f t="shared" si="0"/>
        <v>10000</v>
      </c>
      <c r="F32" s="4"/>
      <c r="G32" s="4"/>
    </row>
    <row r="33" spans="2:7" ht="20.100000000000001" customHeight="1" x14ac:dyDescent="0.2">
      <c r="B33" s="55" t="s">
        <v>85</v>
      </c>
      <c r="C33" s="46">
        <v>3000</v>
      </c>
      <c r="D33" s="46"/>
      <c r="E33" s="46">
        <f t="shared" si="0"/>
        <v>3000</v>
      </c>
      <c r="G33" s="4"/>
    </row>
    <row r="34" spans="2:7" ht="20.100000000000001" customHeight="1" x14ac:dyDescent="0.25">
      <c r="B34" s="55" t="s">
        <v>84</v>
      </c>
      <c r="C34" s="46">
        <v>15000</v>
      </c>
      <c r="D34" s="46"/>
      <c r="E34" s="46">
        <f t="shared" si="0"/>
        <v>15000</v>
      </c>
      <c r="F34" s="412"/>
      <c r="G34" s="4"/>
    </row>
    <row r="35" spans="2:7" ht="30.75" x14ac:dyDescent="0.25">
      <c r="B35" s="56" t="s">
        <v>949</v>
      </c>
      <c r="C35" s="46">
        <v>25938</v>
      </c>
      <c r="D35" s="46"/>
      <c r="E35" s="46">
        <f t="shared" si="0"/>
        <v>25938</v>
      </c>
      <c r="F35" s="412"/>
      <c r="G35" s="4"/>
    </row>
    <row r="36" spans="2:7" ht="30" x14ac:dyDescent="0.2">
      <c r="B36" s="56" t="s">
        <v>861</v>
      </c>
      <c r="C36" s="46">
        <v>37500</v>
      </c>
      <c r="D36" s="46"/>
      <c r="E36" s="46">
        <f t="shared" si="0"/>
        <v>37500</v>
      </c>
      <c r="G36" s="4"/>
    </row>
    <row r="37" spans="2:7" s="703" customFormat="1" ht="30" x14ac:dyDescent="0.2">
      <c r="B37" s="746" t="s">
        <v>969</v>
      </c>
      <c r="C37" s="747">
        <v>150000</v>
      </c>
      <c r="D37" s="747"/>
      <c r="E37" s="747">
        <f t="shared" si="0"/>
        <v>150000</v>
      </c>
      <c r="G37" s="716"/>
    </row>
    <row r="38" spans="2:7" s="703" customFormat="1" ht="30" x14ac:dyDescent="0.2">
      <c r="B38" s="746" t="s">
        <v>970</v>
      </c>
      <c r="C38" s="747">
        <v>11115</v>
      </c>
      <c r="D38" s="747">
        <v>38885</v>
      </c>
      <c r="E38" s="747">
        <f t="shared" si="0"/>
        <v>50000</v>
      </c>
      <c r="G38" s="716"/>
    </row>
    <row r="39" spans="2:7" ht="30" x14ac:dyDescent="0.2">
      <c r="B39" s="56" t="s">
        <v>862</v>
      </c>
      <c r="C39" s="46">
        <v>0</v>
      </c>
      <c r="D39" s="46"/>
      <c r="E39" s="46">
        <f t="shared" si="0"/>
        <v>0</v>
      </c>
      <c r="G39" s="4"/>
    </row>
    <row r="40" spans="2:7" ht="19.5" customHeight="1" x14ac:dyDescent="0.2">
      <c r="B40" s="55" t="s">
        <v>95</v>
      </c>
      <c r="C40" s="46">
        <v>35000</v>
      </c>
      <c r="D40" s="46"/>
      <c r="E40" s="46">
        <f t="shared" si="0"/>
        <v>35000</v>
      </c>
      <c r="G40" s="4"/>
    </row>
    <row r="41" spans="2:7" x14ac:dyDescent="0.2">
      <c r="B41" s="125" t="s">
        <v>82</v>
      </c>
      <c r="C41" s="53">
        <v>148112</v>
      </c>
      <c r="D41" s="53"/>
      <c r="E41" s="46">
        <f t="shared" si="0"/>
        <v>148112</v>
      </c>
      <c r="F41" s="4"/>
      <c r="G41" s="4"/>
    </row>
    <row r="42" spans="2:7" ht="20.100000000000001" customHeight="1" x14ac:dyDescent="0.2">
      <c r="B42" s="55" t="s">
        <v>229</v>
      </c>
      <c r="C42" s="46">
        <v>3500</v>
      </c>
      <c r="D42" s="46"/>
      <c r="E42" s="46">
        <f t="shared" si="0"/>
        <v>3500</v>
      </c>
      <c r="F42" s="4"/>
      <c r="G42" s="4"/>
    </row>
    <row r="43" spans="2:7" ht="20.100000000000001" customHeight="1" x14ac:dyDescent="0.2">
      <c r="B43" s="55" t="s">
        <v>87</v>
      </c>
      <c r="C43" s="46">
        <v>15000</v>
      </c>
      <c r="D43" s="46"/>
      <c r="E43" s="46">
        <f t="shared" si="0"/>
        <v>15000</v>
      </c>
      <c r="G43" s="4"/>
    </row>
    <row r="44" spans="2:7" ht="20.100000000000001" customHeight="1" x14ac:dyDescent="0.2">
      <c r="B44" s="55" t="s">
        <v>340</v>
      </c>
      <c r="C44" s="46">
        <v>3433</v>
      </c>
      <c r="D44" s="46"/>
      <c r="E44" s="46">
        <f t="shared" si="0"/>
        <v>3433</v>
      </c>
      <c r="G44" s="4"/>
    </row>
    <row r="45" spans="2:7" s="59" customFormat="1" ht="18" customHeight="1" x14ac:dyDescent="0.2">
      <c r="B45" s="127" t="s">
        <v>488</v>
      </c>
      <c r="C45" s="108">
        <v>30000</v>
      </c>
      <c r="D45" s="108">
        <v>32000</v>
      </c>
      <c r="E45" s="46">
        <f t="shared" si="0"/>
        <v>62000</v>
      </c>
      <c r="G45" s="4"/>
    </row>
    <row r="46" spans="2:7" s="59" customFormat="1" ht="30" x14ac:dyDescent="0.2">
      <c r="B46" s="127" t="s">
        <v>953</v>
      </c>
      <c r="C46" s="108">
        <v>40000</v>
      </c>
      <c r="D46" s="108"/>
      <c r="E46" s="46">
        <f t="shared" si="0"/>
        <v>40000</v>
      </c>
      <c r="G46" s="4"/>
    </row>
    <row r="47" spans="2:7" s="59" customFormat="1" ht="18" customHeight="1" x14ac:dyDescent="0.2">
      <c r="B47" s="127" t="s">
        <v>556</v>
      </c>
      <c r="C47" s="108">
        <v>2500</v>
      </c>
      <c r="D47" s="108"/>
      <c r="E47" s="46">
        <f t="shared" si="0"/>
        <v>2500</v>
      </c>
      <c r="G47" s="4"/>
    </row>
    <row r="48" spans="2:7" s="59" customFormat="1" ht="18" customHeight="1" x14ac:dyDescent="0.2">
      <c r="B48" s="127" t="s">
        <v>557</v>
      </c>
      <c r="C48" s="108">
        <v>20000</v>
      </c>
      <c r="D48" s="108">
        <v>20000</v>
      </c>
      <c r="E48" s="46">
        <f t="shared" si="0"/>
        <v>40000</v>
      </c>
      <c r="G48" s="4"/>
    </row>
    <row r="49" spans="2:7" s="59" customFormat="1" ht="18" customHeight="1" x14ac:dyDescent="0.2">
      <c r="B49" s="127" t="s">
        <v>907</v>
      </c>
      <c r="C49" s="108">
        <v>3302</v>
      </c>
      <c r="D49" s="108"/>
      <c r="E49" s="46">
        <f t="shared" si="0"/>
        <v>3302</v>
      </c>
      <c r="G49" s="4"/>
    </row>
    <row r="50" spans="2:7" s="59" customFormat="1" ht="30" x14ac:dyDescent="0.2">
      <c r="B50" s="127" t="s">
        <v>938</v>
      </c>
      <c r="C50" s="108">
        <v>30000</v>
      </c>
      <c r="D50" s="108">
        <v>15000</v>
      </c>
      <c r="E50" s="46">
        <f t="shared" si="0"/>
        <v>45000</v>
      </c>
      <c r="G50" s="4"/>
    </row>
    <row r="51" spans="2:7" s="59" customFormat="1" ht="18" customHeight="1" x14ac:dyDescent="0.2">
      <c r="B51" s="127" t="s">
        <v>903</v>
      </c>
      <c r="C51" s="108">
        <v>1150</v>
      </c>
      <c r="D51" s="108"/>
      <c r="E51" s="46">
        <f t="shared" si="0"/>
        <v>1150</v>
      </c>
      <c r="G51" s="4"/>
    </row>
    <row r="52" spans="2:7" s="59" customFormat="1" ht="18" customHeight="1" x14ac:dyDescent="0.2">
      <c r="B52" s="127" t="s">
        <v>994</v>
      </c>
      <c r="C52" s="108"/>
      <c r="D52" s="108">
        <v>3000</v>
      </c>
      <c r="E52" s="46">
        <f t="shared" si="0"/>
        <v>3000</v>
      </c>
      <c r="G52" s="4"/>
    </row>
    <row r="53" spans="2:7" s="59" customFormat="1" ht="18" customHeight="1" x14ac:dyDescent="0.2">
      <c r="B53" s="127" t="s">
        <v>982</v>
      </c>
      <c r="C53" s="108"/>
      <c r="D53" s="108">
        <v>2000</v>
      </c>
      <c r="E53" s="46">
        <f t="shared" si="0"/>
        <v>2000</v>
      </c>
      <c r="G53" s="4"/>
    </row>
    <row r="54" spans="2:7" s="59" customFormat="1" ht="18" customHeight="1" x14ac:dyDescent="0.2">
      <c r="B54" s="127" t="s">
        <v>1001</v>
      </c>
      <c r="C54" s="108"/>
      <c r="D54" s="108">
        <v>2000</v>
      </c>
      <c r="E54" s="46">
        <f t="shared" si="0"/>
        <v>2000</v>
      </c>
      <c r="G54" s="4"/>
    </row>
    <row r="55" spans="2:7" s="59" customFormat="1" ht="18" customHeight="1" thickBot="1" x14ac:dyDescent="0.25">
      <c r="B55" s="399" t="s">
        <v>919</v>
      </c>
      <c r="C55" s="719">
        <v>3000</v>
      </c>
      <c r="D55" s="719"/>
      <c r="E55" s="40">
        <f t="shared" si="0"/>
        <v>3000</v>
      </c>
      <c r="G55" s="4"/>
    </row>
    <row r="56" spans="2:7" ht="20.100000000000001" customHeight="1" thickBot="1" x14ac:dyDescent="0.3">
      <c r="B56" s="8" t="s">
        <v>546</v>
      </c>
      <c r="C56" s="51">
        <f>SUM(C7:C55)</f>
        <v>1099778</v>
      </c>
      <c r="D56" s="51">
        <f>SUM(D7:D55)</f>
        <v>177450</v>
      </c>
      <c r="E56" s="51">
        <f>SUM(E7:E55)</f>
        <v>1277228</v>
      </c>
      <c r="G56" s="4"/>
    </row>
    <row r="58" spans="2:7" ht="15" customHeight="1" x14ac:dyDescent="0.25">
      <c r="B58" s="9" t="s">
        <v>129</v>
      </c>
      <c r="C58" s="9"/>
      <c r="D58" s="9"/>
      <c r="E58" s="297"/>
    </row>
    <row r="59" spans="2:7" ht="15" customHeight="1" x14ac:dyDescent="0.25">
      <c r="B59" s="9" t="s">
        <v>130</v>
      </c>
      <c r="C59" s="9"/>
      <c r="D59" s="9"/>
      <c r="E59" s="9"/>
    </row>
    <row r="61" spans="2:7" ht="15" customHeight="1" x14ac:dyDescent="0.2">
      <c r="E61" s="4"/>
    </row>
    <row r="64" spans="2:7" ht="15" customHeight="1" x14ac:dyDescent="0.2">
      <c r="E64" s="4"/>
    </row>
  </sheetData>
  <customSheetViews>
    <customSheetView guid="{6D4B996F-8915-4E78-98C2-E7EAE9C4580C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1"/>
      <headerFooter alignWithMargins="0">
        <oddHeader>&amp;L&amp;F  &amp;A&amp;C&amp;RM.III.9. sz. melléklet</oddHeader>
      </headerFooter>
    </customSheetView>
    <customSheetView guid="{186732C5-520C-4E06-B066-B4F3F0A3E322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2"/>
      <headerFooter alignWithMargins="0">
        <oddHeader>&amp;L&amp;F  &amp;A&amp;C&amp;RM.III.9.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3"/>
  <headerFooter alignWithMargins="0">
    <oddHeader xml:space="preserve">&amp;R&amp;"Times New Roman CE,Félkövér"&amp;12 14. melléklet a …./2019. (…….) önkormányzati rendelethez
„14. melléklet a 5/2019. (IV. 1.) önkormányzati rendelethez”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8"/>
  <dimension ref="B1:J32"/>
  <sheetViews>
    <sheetView zoomScale="80" zoomScaleNormal="80" workbookViewId="0">
      <selection activeCell="C120" sqref="C120"/>
    </sheetView>
  </sheetViews>
  <sheetFormatPr defaultColWidth="9.33203125" defaultRowHeight="15" customHeight="1" x14ac:dyDescent="0.2"/>
  <cols>
    <col min="1" max="1" width="15.5" style="5" customWidth="1"/>
    <col min="2" max="2" width="141.33203125" style="5" bestFit="1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6" width="9.33203125" style="5"/>
    <col min="7" max="7" width="12.83203125" style="5" customWidth="1"/>
    <col min="8" max="8" width="10.33203125" style="5" bestFit="1" customWidth="1"/>
    <col min="9" max="9" width="9.33203125" style="5"/>
    <col min="10" max="10" width="22.6640625" style="5" customWidth="1"/>
    <col min="11" max="16384" width="9.33203125" style="5"/>
  </cols>
  <sheetData>
    <row r="1" spans="2:10" ht="15" customHeight="1" x14ac:dyDescent="0.25">
      <c r="B1" s="2"/>
      <c r="C1" s="2"/>
      <c r="D1" s="2"/>
      <c r="E1" s="2"/>
    </row>
    <row r="2" spans="2:10" ht="23.25" customHeight="1" x14ac:dyDescent="0.25">
      <c r="B2" s="962" t="s">
        <v>158</v>
      </c>
      <c r="C2" s="962"/>
      <c r="D2" s="962"/>
      <c r="E2" s="962"/>
    </row>
    <row r="3" spans="2:10" ht="15" customHeight="1" x14ac:dyDescent="0.25">
      <c r="C3" s="2"/>
      <c r="D3" s="2"/>
      <c r="E3" s="2"/>
    </row>
    <row r="4" spans="2:10" ht="15.75" thickBot="1" x14ac:dyDescent="0.25">
      <c r="B4" s="12"/>
      <c r="E4" s="303" t="s">
        <v>380</v>
      </c>
    </row>
    <row r="5" spans="2:10" ht="20.100000000000001" customHeight="1" x14ac:dyDescent="0.25">
      <c r="B5" s="3" t="s">
        <v>303</v>
      </c>
      <c r="C5" s="529" t="s">
        <v>923</v>
      </c>
      <c r="D5" s="529" t="s">
        <v>863</v>
      </c>
      <c r="E5" s="529" t="s">
        <v>955</v>
      </c>
    </row>
    <row r="6" spans="2:10" ht="20.100000000000001" customHeight="1" thickBot="1" x14ac:dyDescent="0.3">
      <c r="B6" s="17"/>
      <c r="C6" s="395" t="s">
        <v>635</v>
      </c>
      <c r="D6" s="395" t="s">
        <v>864</v>
      </c>
      <c r="E6" s="395" t="s">
        <v>635</v>
      </c>
    </row>
    <row r="7" spans="2:10" ht="33.6" customHeight="1" x14ac:dyDescent="0.25">
      <c r="B7" s="723" t="s">
        <v>963</v>
      </c>
      <c r="C7" s="709">
        <v>223483</v>
      </c>
      <c r="D7" s="709">
        <v>-30978</v>
      </c>
      <c r="E7" s="709">
        <f>C7+D7</f>
        <v>192505</v>
      </c>
      <c r="G7" s="4"/>
      <c r="J7" s="4"/>
    </row>
    <row r="8" spans="2:10" ht="33.6" customHeight="1" x14ac:dyDescent="0.25">
      <c r="B8" s="705" t="s">
        <v>281</v>
      </c>
      <c r="C8" s="709">
        <v>16559</v>
      </c>
      <c r="D8" s="709"/>
      <c r="E8" s="709">
        <f>SUM(C8:D8)</f>
        <v>16559</v>
      </c>
      <c r="G8" s="4"/>
      <c r="J8" s="4"/>
    </row>
    <row r="9" spans="2:10" ht="33.6" customHeight="1" x14ac:dyDescent="0.25">
      <c r="B9" s="705" t="s">
        <v>739</v>
      </c>
      <c r="C9" s="709">
        <v>422513</v>
      </c>
      <c r="D9" s="709"/>
      <c r="E9" s="709">
        <f>C9+D9</f>
        <v>422513</v>
      </c>
      <c r="G9" s="4"/>
      <c r="J9" s="4"/>
    </row>
    <row r="10" spans="2:10" ht="33.6" customHeight="1" x14ac:dyDescent="0.25">
      <c r="B10" s="705" t="s">
        <v>590</v>
      </c>
      <c r="C10" s="709">
        <v>17473</v>
      </c>
      <c r="D10" s="709"/>
      <c r="E10" s="709">
        <f t="shared" ref="E10:E25" si="0">C10+D10</f>
        <v>17473</v>
      </c>
      <c r="G10" s="4"/>
      <c r="J10" s="4"/>
    </row>
    <row r="11" spans="2:10" ht="33.6" customHeight="1" x14ac:dyDescent="0.25">
      <c r="B11" s="705" t="s">
        <v>131</v>
      </c>
      <c r="C11" s="709">
        <v>7821</v>
      </c>
      <c r="D11" s="709">
        <v>-1000</v>
      </c>
      <c r="E11" s="709">
        <f t="shared" si="0"/>
        <v>6821</v>
      </c>
      <c r="G11" s="4"/>
      <c r="J11" s="4"/>
    </row>
    <row r="12" spans="2:10" ht="33.6" customHeight="1" x14ac:dyDescent="0.25">
      <c r="B12" s="706" t="s">
        <v>208</v>
      </c>
      <c r="C12" s="709">
        <v>451941</v>
      </c>
      <c r="D12" s="709"/>
      <c r="E12" s="709">
        <f t="shared" si="0"/>
        <v>451941</v>
      </c>
      <c r="G12" s="4"/>
      <c r="H12" s="4"/>
      <c r="J12" s="4"/>
    </row>
    <row r="13" spans="2:10" s="703" customFormat="1" ht="33.6" customHeight="1" x14ac:dyDescent="0.25">
      <c r="B13" s="751" t="s">
        <v>1002</v>
      </c>
      <c r="C13" s="710"/>
      <c r="D13" s="710">
        <v>4000</v>
      </c>
      <c r="E13" s="710">
        <f t="shared" si="0"/>
        <v>4000</v>
      </c>
      <c r="G13" s="716"/>
      <c r="H13" s="716"/>
      <c r="J13" s="716"/>
    </row>
    <row r="14" spans="2:10" ht="33.6" customHeight="1" x14ac:dyDescent="0.25">
      <c r="B14" s="706" t="s">
        <v>905</v>
      </c>
      <c r="C14" s="709">
        <v>1899</v>
      </c>
      <c r="D14" s="709"/>
      <c r="E14" s="709">
        <f t="shared" si="0"/>
        <v>1899</v>
      </c>
      <c r="G14" s="4"/>
      <c r="H14" s="4"/>
      <c r="J14" s="4"/>
    </row>
    <row r="15" spans="2:10" ht="33.6" customHeight="1" x14ac:dyDescent="0.25">
      <c r="B15" s="706" t="s">
        <v>142</v>
      </c>
      <c r="C15" s="709">
        <v>2204</v>
      </c>
      <c r="D15" s="709"/>
      <c r="E15" s="709">
        <f t="shared" si="0"/>
        <v>2204</v>
      </c>
      <c r="G15" s="4"/>
      <c r="J15" s="4"/>
    </row>
    <row r="16" spans="2:10" ht="33.6" customHeight="1" x14ac:dyDescent="0.25">
      <c r="B16" s="706" t="s">
        <v>566</v>
      </c>
      <c r="C16" s="709">
        <v>66195</v>
      </c>
      <c r="D16" s="709"/>
      <c r="E16" s="709">
        <f t="shared" si="0"/>
        <v>66195</v>
      </c>
      <c r="G16" s="4"/>
      <c r="J16" s="4"/>
    </row>
    <row r="17" spans="2:10" ht="33.6" customHeight="1" x14ac:dyDescent="0.25">
      <c r="B17" s="706" t="s">
        <v>134</v>
      </c>
      <c r="C17" s="709">
        <v>3389</v>
      </c>
      <c r="D17" s="709"/>
      <c r="E17" s="709">
        <f t="shared" si="0"/>
        <v>3389</v>
      </c>
      <c r="G17" s="4"/>
      <c r="J17" s="4"/>
    </row>
    <row r="18" spans="2:10" ht="33.6" customHeight="1" x14ac:dyDescent="0.25">
      <c r="B18" s="706" t="s">
        <v>146</v>
      </c>
      <c r="C18" s="709">
        <v>2477</v>
      </c>
      <c r="D18" s="709"/>
      <c r="E18" s="709">
        <f t="shared" si="0"/>
        <v>2477</v>
      </c>
      <c r="G18" s="4"/>
      <c r="J18" s="4"/>
    </row>
    <row r="19" spans="2:10" ht="33.6" customHeight="1" x14ac:dyDescent="0.25">
      <c r="B19" s="706" t="s">
        <v>207</v>
      </c>
      <c r="C19" s="709">
        <v>9231</v>
      </c>
      <c r="D19" s="709"/>
      <c r="E19" s="709">
        <f t="shared" si="0"/>
        <v>9231</v>
      </c>
      <c r="G19" s="4"/>
      <c r="J19" s="4"/>
    </row>
    <row r="20" spans="2:10" ht="33.6" customHeight="1" x14ac:dyDescent="0.25">
      <c r="B20" s="706" t="s">
        <v>713</v>
      </c>
      <c r="C20" s="709">
        <v>3348</v>
      </c>
      <c r="D20" s="709"/>
      <c r="E20" s="709">
        <f t="shared" si="0"/>
        <v>3348</v>
      </c>
      <c r="G20" s="4"/>
      <c r="J20" s="4"/>
    </row>
    <row r="21" spans="2:10" ht="33.6" customHeight="1" x14ac:dyDescent="0.25">
      <c r="B21" s="706" t="s">
        <v>344</v>
      </c>
      <c r="C21" s="709">
        <v>4150</v>
      </c>
      <c r="D21" s="709">
        <v>-3737</v>
      </c>
      <c r="E21" s="709">
        <f t="shared" si="0"/>
        <v>413</v>
      </c>
      <c r="G21" s="4"/>
      <c r="J21" s="4"/>
    </row>
    <row r="22" spans="2:10" ht="33.6" customHeight="1" x14ac:dyDescent="0.25">
      <c r="B22" s="706" t="s">
        <v>69</v>
      </c>
      <c r="C22" s="709">
        <v>62567</v>
      </c>
      <c r="D22" s="709">
        <v>8737</v>
      </c>
      <c r="E22" s="709">
        <f t="shared" si="0"/>
        <v>71304</v>
      </c>
      <c r="G22" s="4"/>
      <c r="J22" s="4"/>
    </row>
    <row r="23" spans="2:10" ht="48" customHeight="1" x14ac:dyDescent="0.25">
      <c r="B23" s="750" t="s">
        <v>997</v>
      </c>
      <c r="C23" s="158">
        <v>1000</v>
      </c>
      <c r="D23" s="158">
        <v>2500</v>
      </c>
      <c r="E23" s="710">
        <f t="shared" si="0"/>
        <v>3500</v>
      </c>
      <c r="G23" s="4"/>
      <c r="J23" s="4"/>
    </row>
    <row r="24" spans="2:10" ht="33.6" customHeight="1" x14ac:dyDescent="0.25">
      <c r="B24" s="595" t="s">
        <v>559</v>
      </c>
      <c r="C24" s="158">
        <v>0</v>
      </c>
      <c r="D24" s="158"/>
      <c r="E24" s="710">
        <f t="shared" si="0"/>
        <v>0</v>
      </c>
      <c r="G24" s="4"/>
      <c r="J24" s="4"/>
    </row>
    <row r="25" spans="2:10" ht="33.6" customHeight="1" thickBot="1" x14ac:dyDescent="0.3">
      <c r="B25" s="595" t="s">
        <v>560</v>
      </c>
      <c r="C25" s="158">
        <v>0</v>
      </c>
      <c r="D25" s="158"/>
      <c r="E25" s="710">
        <f t="shared" si="0"/>
        <v>0</v>
      </c>
      <c r="G25" s="4"/>
      <c r="J25" s="4"/>
    </row>
    <row r="26" spans="2:10" ht="33.6" customHeight="1" thickBot="1" x14ac:dyDescent="0.35">
      <c r="B26" s="707" t="s">
        <v>159</v>
      </c>
      <c r="C26" s="42">
        <f>SUM(C7:C25)</f>
        <v>1296250</v>
      </c>
      <c r="D26" s="42">
        <f>SUM(D7:D25)</f>
        <v>-20478</v>
      </c>
      <c r="E26" s="42">
        <f>SUM(E7:E25)</f>
        <v>1275772</v>
      </c>
      <c r="G26" s="4"/>
      <c r="J26" s="4"/>
    </row>
    <row r="27" spans="2:10" ht="33.6" customHeight="1" x14ac:dyDescent="0.25">
      <c r="B27" s="587" t="s">
        <v>160</v>
      </c>
      <c r="C27" s="711">
        <v>3061</v>
      </c>
      <c r="D27" s="711">
        <v>-2000</v>
      </c>
      <c r="E27" s="711">
        <f>C27+D27</f>
        <v>1061</v>
      </c>
      <c r="G27" s="4"/>
      <c r="J27" s="4"/>
    </row>
    <row r="28" spans="2:10" ht="33.6" customHeight="1" thickBot="1" x14ac:dyDescent="0.3">
      <c r="B28" s="708" t="s">
        <v>437</v>
      </c>
      <c r="C28" s="712">
        <v>3207</v>
      </c>
      <c r="D28" s="712">
        <v>-2000</v>
      </c>
      <c r="E28" s="712">
        <f>C28+D28</f>
        <v>1207</v>
      </c>
      <c r="G28" s="4"/>
      <c r="J28" s="4"/>
    </row>
    <row r="29" spans="2:10" ht="33.6" customHeight="1" thickBot="1" x14ac:dyDescent="0.3">
      <c r="B29" s="404" t="s">
        <v>547</v>
      </c>
      <c r="C29" s="102">
        <f>SUM(C26:C28)</f>
        <v>1302518</v>
      </c>
      <c r="D29" s="102">
        <f>SUM(D26:D28)</f>
        <v>-24478</v>
      </c>
      <c r="E29" s="102">
        <f>SUM(E26:E28)</f>
        <v>1278040</v>
      </c>
      <c r="G29" s="4"/>
      <c r="J29" s="4"/>
    </row>
    <row r="30" spans="2:10" ht="33.6" customHeight="1" x14ac:dyDescent="0.2"/>
    <row r="31" spans="2:10" ht="33.6" customHeight="1" x14ac:dyDescent="0.25">
      <c r="B31" s="9" t="s">
        <v>129</v>
      </c>
      <c r="E31" s="296"/>
    </row>
    <row r="32" spans="2:10" ht="33.6" customHeight="1" x14ac:dyDescent="0.25">
      <c r="B32" s="9" t="s">
        <v>130</v>
      </c>
      <c r="E32" s="4"/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15. melléklet a …./2019. (…….) önkormányzati rendelethez
„15. melléklet a 5/2019. (IV. 1.) önkormányzati rendelethez”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9"/>
  <dimension ref="B1:G35"/>
  <sheetViews>
    <sheetView zoomScaleNormal="100" workbookViewId="0">
      <selection activeCell="C120" sqref="C120"/>
    </sheetView>
  </sheetViews>
  <sheetFormatPr defaultColWidth="12" defaultRowHeight="15" customHeight="1" x14ac:dyDescent="0.2"/>
  <cols>
    <col min="1" max="1" width="19.1640625" style="5" customWidth="1"/>
    <col min="2" max="2" width="91.1640625" style="5" customWidth="1"/>
    <col min="3" max="3" width="37.33203125" style="5" bestFit="1" customWidth="1"/>
    <col min="4" max="4" width="39.1640625" style="5" bestFit="1" customWidth="1"/>
    <col min="5" max="5" width="38.1640625" style="5" bestFit="1" customWidth="1"/>
    <col min="6" max="16384" width="12" style="5"/>
  </cols>
  <sheetData>
    <row r="1" spans="2:7" ht="15" customHeight="1" x14ac:dyDescent="0.25">
      <c r="B1" s="2"/>
      <c r="C1" s="2"/>
      <c r="D1" s="2"/>
      <c r="E1" s="2"/>
    </row>
    <row r="2" spans="2:7" ht="18" customHeight="1" x14ac:dyDescent="0.25">
      <c r="B2" s="962" t="s">
        <v>180</v>
      </c>
      <c r="C2" s="962"/>
      <c r="D2" s="962"/>
      <c r="E2" s="962"/>
    </row>
    <row r="3" spans="2:7" ht="15" customHeight="1" x14ac:dyDescent="0.25">
      <c r="B3" s="2"/>
      <c r="C3" s="2"/>
      <c r="D3" s="2"/>
      <c r="E3" s="2"/>
    </row>
    <row r="4" spans="2:7" ht="15" customHeight="1" thickBot="1" x14ac:dyDescent="0.3">
      <c r="B4" s="23"/>
      <c r="C4" s="9"/>
      <c r="D4" s="9"/>
      <c r="E4" s="301" t="s">
        <v>380</v>
      </c>
    </row>
    <row r="5" spans="2:7" ht="20.100000000000001" customHeight="1" x14ac:dyDescent="0.25">
      <c r="B5" s="266" t="s">
        <v>303</v>
      </c>
      <c r="C5" s="529" t="s">
        <v>923</v>
      </c>
      <c r="D5" s="529" t="s">
        <v>863</v>
      </c>
      <c r="E5" s="529" t="s">
        <v>955</v>
      </c>
    </row>
    <row r="6" spans="2:7" ht="20.100000000000001" customHeight="1" thickBot="1" x14ac:dyDescent="0.3">
      <c r="B6" s="190"/>
      <c r="C6" s="395" t="s">
        <v>635</v>
      </c>
      <c r="D6" s="395" t="s">
        <v>864</v>
      </c>
      <c r="E6" s="395" t="s">
        <v>635</v>
      </c>
    </row>
    <row r="7" spans="2:7" ht="20.100000000000001" customHeight="1" x14ac:dyDescent="0.25">
      <c r="B7" s="216" t="s">
        <v>132</v>
      </c>
      <c r="C7" s="232">
        <v>43102</v>
      </c>
      <c r="D7" s="232"/>
      <c r="E7" s="232">
        <f>C7+D7</f>
        <v>43102</v>
      </c>
      <c r="G7" s="4"/>
    </row>
    <row r="8" spans="2:7" ht="20.100000000000001" customHeight="1" x14ac:dyDescent="0.25">
      <c r="B8" s="217" t="s">
        <v>204</v>
      </c>
      <c r="C8" s="232">
        <v>5000</v>
      </c>
      <c r="D8" s="232"/>
      <c r="E8" s="232">
        <f>C8+D8</f>
        <v>5000</v>
      </c>
      <c r="G8" s="4"/>
    </row>
    <row r="9" spans="2:7" ht="20.100000000000001" customHeight="1" x14ac:dyDescent="0.25">
      <c r="B9" s="218" t="s">
        <v>336</v>
      </c>
      <c r="C9" s="232">
        <v>8023</v>
      </c>
      <c r="D9" s="232"/>
      <c r="E9" s="232">
        <f t="shared" ref="E9:E31" si="0">C9+D9</f>
        <v>8023</v>
      </c>
      <c r="G9" s="4"/>
    </row>
    <row r="10" spans="2:7" ht="20.100000000000001" customHeight="1" x14ac:dyDescent="0.25">
      <c r="B10" s="218" t="s">
        <v>4</v>
      </c>
      <c r="C10" s="232">
        <v>6002</v>
      </c>
      <c r="D10" s="232"/>
      <c r="E10" s="232">
        <f t="shared" si="0"/>
        <v>6002</v>
      </c>
      <c r="G10" s="4"/>
    </row>
    <row r="11" spans="2:7" ht="20.100000000000001" customHeight="1" x14ac:dyDescent="0.25">
      <c r="B11" s="218" t="s">
        <v>639</v>
      </c>
      <c r="C11" s="232">
        <v>82736</v>
      </c>
      <c r="D11" s="232">
        <v>275</v>
      </c>
      <c r="E11" s="232">
        <f t="shared" si="0"/>
        <v>83011</v>
      </c>
      <c r="G11" s="4"/>
    </row>
    <row r="12" spans="2:7" ht="20.100000000000001" customHeight="1" x14ac:dyDescent="0.25">
      <c r="B12" s="218" t="s">
        <v>552</v>
      </c>
      <c r="C12" s="232">
        <v>19757</v>
      </c>
      <c r="D12" s="232"/>
      <c r="E12" s="232">
        <f t="shared" si="0"/>
        <v>19757</v>
      </c>
      <c r="G12" s="4"/>
    </row>
    <row r="13" spans="2:7" ht="40.5" customHeight="1" x14ac:dyDescent="0.25">
      <c r="B13" s="219" t="s">
        <v>714</v>
      </c>
      <c r="C13" s="232">
        <v>10215</v>
      </c>
      <c r="D13" s="232">
        <v>986</v>
      </c>
      <c r="E13" s="232">
        <f t="shared" si="0"/>
        <v>11201</v>
      </c>
      <c r="G13" s="4"/>
    </row>
    <row r="14" spans="2:7" ht="18" x14ac:dyDescent="0.25">
      <c r="B14" s="205" t="s">
        <v>151</v>
      </c>
      <c r="C14" s="232">
        <v>2509</v>
      </c>
      <c r="D14" s="232"/>
      <c r="E14" s="232">
        <f t="shared" si="0"/>
        <v>2509</v>
      </c>
      <c r="G14" s="4"/>
    </row>
    <row r="15" spans="2:7" ht="20.100000000000001" customHeight="1" x14ac:dyDescent="0.25">
      <c r="B15" s="218" t="s">
        <v>76</v>
      </c>
      <c r="C15" s="232">
        <v>100</v>
      </c>
      <c r="D15" s="232"/>
      <c r="E15" s="232">
        <f t="shared" si="0"/>
        <v>100</v>
      </c>
      <c r="G15" s="4"/>
    </row>
    <row r="16" spans="2:7" ht="18" x14ac:dyDescent="0.25">
      <c r="B16" s="219" t="s">
        <v>235</v>
      </c>
      <c r="C16" s="232">
        <v>2</v>
      </c>
      <c r="D16" s="232"/>
      <c r="E16" s="232">
        <f t="shared" si="0"/>
        <v>2</v>
      </c>
      <c r="G16" s="4"/>
    </row>
    <row r="17" spans="2:7" ht="20.100000000000001" customHeight="1" x14ac:dyDescent="0.25">
      <c r="B17" s="218" t="s">
        <v>70</v>
      </c>
      <c r="C17" s="232">
        <v>2207</v>
      </c>
      <c r="D17" s="232"/>
      <c r="E17" s="232">
        <f t="shared" si="0"/>
        <v>2207</v>
      </c>
      <c r="G17" s="4"/>
    </row>
    <row r="18" spans="2:7" ht="20.100000000000001" customHeight="1" x14ac:dyDescent="0.25">
      <c r="B18" s="218" t="s">
        <v>337</v>
      </c>
      <c r="C18" s="232">
        <v>1484</v>
      </c>
      <c r="D18" s="232"/>
      <c r="E18" s="232">
        <f t="shared" si="0"/>
        <v>1484</v>
      </c>
      <c r="G18" s="4"/>
    </row>
    <row r="19" spans="2:7" ht="20.100000000000001" customHeight="1" x14ac:dyDescent="0.25">
      <c r="B19" s="218" t="s">
        <v>6</v>
      </c>
      <c r="C19" s="232">
        <v>3500</v>
      </c>
      <c r="D19" s="232"/>
      <c r="E19" s="232">
        <f t="shared" si="0"/>
        <v>3500</v>
      </c>
      <c r="G19" s="4"/>
    </row>
    <row r="20" spans="2:7" ht="20.100000000000001" customHeight="1" x14ac:dyDescent="0.25">
      <c r="B20" s="218" t="s">
        <v>164</v>
      </c>
      <c r="C20" s="232">
        <v>5188</v>
      </c>
      <c r="D20" s="232"/>
      <c r="E20" s="232">
        <f t="shared" si="0"/>
        <v>5188</v>
      </c>
      <c r="G20" s="4"/>
    </row>
    <row r="21" spans="2:7" ht="20.100000000000001" customHeight="1" x14ac:dyDescent="0.25">
      <c r="B21" s="218" t="s">
        <v>338</v>
      </c>
      <c r="C21" s="232">
        <v>59870</v>
      </c>
      <c r="D21" s="232">
        <f>500+321+2000+1000+3045+3200</f>
        <v>10066</v>
      </c>
      <c r="E21" s="232">
        <f t="shared" si="0"/>
        <v>69936</v>
      </c>
      <c r="G21" s="4"/>
    </row>
    <row r="22" spans="2:7" ht="20.100000000000001" customHeight="1" x14ac:dyDescent="0.25">
      <c r="B22" s="218" t="s">
        <v>282</v>
      </c>
      <c r="C22" s="232">
        <v>32657</v>
      </c>
      <c r="D22" s="232"/>
      <c r="E22" s="232">
        <f t="shared" si="0"/>
        <v>32657</v>
      </c>
      <c r="G22" s="4"/>
    </row>
    <row r="23" spans="2:7" ht="20.100000000000001" customHeight="1" x14ac:dyDescent="0.25">
      <c r="B23" s="218" t="s">
        <v>152</v>
      </c>
      <c r="C23" s="232">
        <v>23334</v>
      </c>
      <c r="D23" s="232">
        <v>500</v>
      </c>
      <c r="E23" s="232">
        <f t="shared" si="0"/>
        <v>23834</v>
      </c>
      <c r="G23" s="4"/>
    </row>
    <row r="24" spans="2:7" ht="30.75" x14ac:dyDescent="0.25">
      <c r="B24" s="219" t="s">
        <v>201</v>
      </c>
      <c r="C24" s="232">
        <v>8929</v>
      </c>
      <c r="D24" s="232"/>
      <c r="E24" s="232">
        <f t="shared" si="0"/>
        <v>8929</v>
      </c>
      <c r="G24" s="4"/>
    </row>
    <row r="25" spans="2:7" ht="20.100000000000001" customHeight="1" x14ac:dyDescent="0.25">
      <c r="B25" s="218" t="s">
        <v>5</v>
      </c>
      <c r="C25" s="232">
        <v>10757</v>
      </c>
      <c r="D25" s="232">
        <f>662-1439</f>
        <v>-777</v>
      </c>
      <c r="E25" s="232">
        <f t="shared" si="0"/>
        <v>9980</v>
      </c>
      <c r="G25" s="4"/>
    </row>
    <row r="26" spans="2:7" ht="45.75" x14ac:dyDescent="0.25">
      <c r="B26" s="219" t="s">
        <v>961</v>
      </c>
      <c r="C26" s="232">
        <v>1850</v>
      </c>
      <c r="D26" s="232">
        <v>1439</v>
      </c>
      <c r="E26" s="232">
        <f t="shared" si="0"/>
        <v>3289</v>
      </c>
      <c r="G26" s="4"/>
    </row>
    <row r="27" spans="2:7" ht="30.75" x14ac:dyDescent="0.25">
      <c r="B27" s="205" t="s">
        <v>553</v>
      </c>
      <c r="C27" s="232">
        <v>10245</v>
      </c>
      <c r="D27" s="232"/>
      <c r="E27" s="232">
        <f t="shared" si="0"/>
        <v>10245</v>
      </c>
      <c r="G27" s="4"/>
    </row>
    <row r="28" spans="2:7" ht="20.100000000000001" customHeight="1" x14ac:dyDescent="0.25">
      <c r="B28" s="191" t="s">
        <v>153</v>
      </c>
      <c r="C28" s="232">
        <v>32059</v>
      </c>
      <c r="D28" s="232"/>
      <c r="E28" s="232">
        <f t="shared" si="0"/>
        <v>32059</v>
      </c>
      <c r="G28" s="4"/>
    </row>
    <row r="29" spans="2:7" ht="20.100000000000001" customHeight="1" x14ac:dyDescent="0.25">
      <c r="B29" s="218" t="s">
        <v>400</v>
      </c>
      <c r="C29" s="232">
        <v>10909</v>
      </c>
      <c r="D29" s="232"/>
      <c r="E29" s="232">
        <f t="shared" si="0"/>
        <v>10909</v>
      </c>
      <c r="G29" s="4"/>
    </row>
    <row r="30" spans="2:7" ht="20.100000000000001" customHeight="1" x14ac:dyDescent="0.25">
      <c r="B30" s="218" t="s">
        <v>230</v>
      </c>
      <c r="C30" s="232">
        <v>6073</v>
      </c>
      <c r="D30" s="232"/>
      <c r="E30" s="232">
        <f t="shared" si="0"/>
        <v>6073</v>
      </c>
      <c r="G30" s="4"/>
    </row>
    <row r="31" spans="2:7" ht="20.100000000000001" customHeight="1" thickBot="1" x14ac:dyDescent="0.3">
      <c r="B31" s="748" t="s">
        <v>996</v>
      </c>
      <c r="C31" s="749"/>
      <c r="D31" s="749">
        <v>10000</v>
      </c>
      <c r="E31" s="232">
        <f t="shared" si="0"/>
        <v>10000</v>
      </c>
      <c r="G31" s="4"/>
    </row>
    <row r="32" spans="2:7" ht="20.100000000000001" customHeight="1" thickBot="1" x14ac:dyDescent="0.3">
      <c r="B32" s="405" t="s">
        <v>548</v>
      </c>
      <c r="C32" s="42">
        <f>SUM(C7:C31)</f>
        <v>386508</v>
      </c>
      <c r="D32" s="42">
        <f>SUM(D7:D31)</f>
        <v>22489</v>
      </c>
      <c r="E32" s="42">
        <f>SUM(E7:E31)</f>
        <v>408997</v>
      </c>
      <c r="G32" s="4"/>
    </row>
    <row r="34" spans="2:5" ht="15" customHeight="1" x14ac:dyDescent="0.25">
      <c r="B34" s="9" t="s">
        <v>129</v>
      </c>
      <c r="C34" s="9"/>
      <c r="D34" s="9"/>
      <c r="E34" s="300"/>
    </row>
    <row r="35" spans="2:5" ht="15" customHeight="1" x14ac:dyDescent="0.25">
      <c r="B35" s="9" t="s">
        <v>130</v>
      </c>
      <c r="C35" s="9"/>
      <c r="D35" s="9"/>
      <c r="E35" s="9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7" orientation="portrait" r:id="rId3"/>
  <headerFooter alignWithMargins="0">
    <oddHeader xml:space="preserve">&amp;R&amp;"Times New Roman CE,Félkövér"&amp;12 16. melléklet a …./2019. (…….) önkormányzati rendelethez
„16. melléklet a 5/2019. (IV. 1.) önkormányzati rendelethez”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32"/>
  <dimension ref="B1:F64"/>
  <sheetViews>
    <sheetView zoomScale="75" zoomScaleNormal="75" workbookViewId="0">
      <selection activeCell="C120" sqref="C120"/>
    </sheetView>
  </sheetViews>
  <sheetFormatPr defaultColWidth="10.6640625" defaultRowHeight="15" x14ac:dyDescent="0.2"/>
  <cols>
    <col min="1" max="1" width="17.5" style="13" customWidth="1"/>
    <col min="2" max="2" width="6" style="13" customWidth="1"/>
    <col min="3" max="3" width="133.5" style="13" customWidth="1"/>
    <col min="4" max="4" width="37.33203125" style="13" bestFit="1" customWidth="1"/>
    <col min="5" max="5" width="39.1640625" style="13" bestFit="1" customWidth="1"/>
    <col min="6" max="6" width="38.1640625" style="13" bestFit="1" customWidth="1"/>
    <col min="7" max="7" width="10.6640625" style="13"/>
    <col min="8" max="8" width="12.6640625" style="13" bestFit="1" customWidth="1"/>
    <col min="9" max="16384" width="10.6640625" style="13"/>
  </cols>
  <sheetData>
    <row r="1" spans="2:6" ht="18" x14ac:dyDescent="0.25">
      <c r="B1" s="1028" t="s">
        <v>256</v>
      </c>
      <c r="C1" s="1028"/>
      <c r="D1" s="1028"/>
      <c r="E1" s="1028"/>
      <c r="F1" s="1028"/>
    </row>
    <row r="2" spans="2:6" ht="18.75" thickBot="1" x14ac:dyDescent="0.3">
      <c r="C2" s="20"/>
      <c r="D2" s="20"/>
      <c r="E2" s="20"/>
      <c r="F2" s="301" t="s">
        <v>380</v>
      </c>
    </row>
    <row r="3" spans="2:6" ht="18" customHeight="1" x14ac:dyDescent="0.25">
      <c r="B3" s="21"/>
      <c r="C3" s="268" t="s">
        <v>303</v>
      </c>
      <c r="D3" s="529" t="s">
        <v>923</v>
      </c>
      <c r="E3" s="529" t="s">
        <v>863</v>
      </c>
      <c r="F3" s="529" t="s">
        <v>955</v>
      </c>
    </row>
    <row r="4" spans="2:6" ht="33" customHeight="1" thickBot="1" x14ac:dyDescent="0.3">
      <c r="B4" s="22"/>
      <c r="C4" s="269"/>
      <c r="D4" s="395" t="s">
        <v>635</v>
      </c>
      <c r="E4" s="395" t="s">
        <v>864</v>
      </c>
      <c r="F4" s="395" t="s">
        <v>635</v>
      </c>
    </row>
    <row r="5" spans="2:6" ht="15.75" x14ac:dyDescent="0.25">
      <c r="B5" s="128" t="s">
        <v>115</v>
      </c>
      <c r="C5" s="271"/>
      <c r="D5" s="136"/>
      <c r="E5" s="136"/>
      <c r="F5" s="136"/>
    </row>
    <row r="6" spans="2:6" ht="20.25" x14ac:dyDescent="0.3">
      <c r="B6" s="92"/>
      <c r="C6" s="528"/>
      <c r="D6" s="233"/>
      <c r="E6" s="233"/>
      <c r="F6" s="353">
        <f>D6+E6</f>
        <v>0</v>
      </c>
    </row>
    <row r="7" spans="2:6" ht="20.25" x14ac:dyDescent="0.3">
      <c r="B7" s="92"/>
      <c r="C7" s="372" t="s">
        <v>45</v>
      </c>
      <c r="D7" s="373">
        <f>SUM(D6:D6)</f>
        <v>0</v>
      </c>
      <c r="E7" s="373">
        <f>SUM(E6:E6)</f>
        <v>0</v>
      </c>
      <c r="F7" s="373">
        <f>SUM(F6:F6)</f>
        <v>0</v>
      </c>
    </row>
    <row r="8" spans="2:6" x14ac:dyDescent="0.2">
      <c r="B8" s="19"/>
      <c r="C8" s="374"/>
      <c r="D8" s="126"/>
      <c r="E8" s="126"/>
      <c r="F8" s="126"/>
    </row>
    <row r="9" spans="2:6" ht="32.25" x14ac:dyDescent="0.3">
      <c r="B9" s="114"/>
      <c r="C9" s="375" t="s">
        <v>94</v>
      </c>
      <c r="D9" s="373">
        <f>SUM(D8)</f>
        <v>0</v>
      </c>
      <c r="E9" s="373">
        <f>SUM(E8)</f>
        <v>0</v>
      </c>
      <c r="F9" s="373">
        <f>SUM(F8)</f>
        <v>0</v>
      </c>
    </row>
    <row r="10" spans="2:6" ht="20.25" x14ac:dyDescent="0.3">
      <c r="B10" s="19"/>
      <c r="C10" s="379" t="s">
        <v>460</v>
      </c>
      <c r="D10" s="233">
        <v>6871</v>
      </c>
      <c r="E10" s="233"/>
      <c r="F10" s="233">
        <f>D10+E10</f>
        <v>6871</v>
      </c>
    </row>
    <row r="11" spans="2:6" ht="20.25" x14ac:dyDescent="0.3">
      <c r="B11" s="19"/>
      <c r="C11" s="379" t="s">
        <v>897</v>
      </c>
      <c r="D11" s="233">
        <v>376042</v>
      </c>
      <c r="E11" s="233"/>
      <c r="F11" s="233">
        <f t="shared" ref="F11:F35" si="0">D11+E11</f>
        <v>376042</v>
      </c>
    </row>
    <row r="12" spans="2:6" ht="20.25" x14ac:dyDescent="0.3">
      <c r="B12" s="19"/>
      <c r="C12" s="380" t="s">
        <v>461</v>
      </c>
      <c r="D12" s="233">
        <v>7242</v>
      </c>
      <c r="E12" s="233"/>
      <c r="F12" s="233">
        <f t="shared" si="0"/>
        <v>7242</v>
      </c>
    </row>
    <row r="13" spans="2:6" ht="20.25" x14ac:dyDescent="0.3">
      <c r="B13" s="19"/>
      <c r="C13" s="379" t="s">
        <v>462</v>
      </c>
      <c r="D13" s="233">
        <v>495165</v>
      </c>
      <c r="E13" s="233"/>
      <c r="F13" s="233">
        <f t="shared" si="0"/>
        <v>495165</v>
      </c>
    </row>
    <row r="14" spans="2:6" ht="20.25" x14ac:dyDescent="0.3">
      <c r="B14" s="19"/>
      <c r="C14" s="379" t="s">
        <v>943</v>
      </c>
      <c r="D14" s="233">
        <v>431482</v>
      </c>
      <c r="E14" s="233"/>
      <c r="F14" s="233">
        <f t="shared" si="0"/>
        <v>431482</v>
      </c>
    </row>
    <row r="15" spans="2:6" ht="20.25" x14ac:dyDescent="0.3">
      <c r="B15" s="19"/>
      <c r="C15" s="379" t="s">
        <v>682</v>
      </c>
      <c r="D15" s="233">
        <v>1791</v>
      </c>
      <c r="E15" s="233"/>
      <c r="F15" s="233">
        <f t="shared" si="0"/>
        <v>1791</v>
      </c>
    </row>
    <row r="16" spans="2:6" ht="20.25" x14ac:dyDescent="0.3">
      <c r="B16" s="19"/>
      <c r="C16" s="391" t="s">
        <v>489</v>
      </c>
      <c r="D16" s="233">
        <v>12295</v>
      </c>
      <c r="E16" s="233"/>
      <c r="F16" s="233">
        <f t="shared" si="0"/>
        <v>12295</v>
      </c>
    </row>
    <row r="17" spans="2:6" ht="20.25" x14ac:dyDescent="0.3">
      <c r="B17" s="19"/>
      <c r="C17" s="391" t="s">
        <v>491</v>
      </c>
      <c r="D17" s="233">
        <v>333308</v>
      </c>
      <c r="E17" s="233"/>
      <c r="F17" s="233">
        <f t="shared" si="0"/>
        <v>333308</v>
      </c>
    </row>
    <row r="18" spans="2:6" ht="20.25" x14ac:dyDescent="0.3">
      <c r="B18" s="19"/>
      <c r="C18" s="391" t="s">
        <v>561</v>
      </c>
      <c r="D18" s="233">
        <v>179738</v>
      </c>
      <c r="E18" s="233"/>
      <c r="F18" s="233">
        <f t="shared" si="0"/>
        <v>179738</v>
      </c>
    </row>
    <row r="19" spans="2:6" ht="31.5" x14ac:dyDescent="0.3">
      <c r="B19" s="19"/>
      <c r="C19" s="379" t="s">
        <v>942</v>
      </c>
      <c r="D19" s="233">
        <v>18000</v>
      </c>
      <c r="E19" s="233"/>
      <c r="F19" s="233">
        <f t="shared" si="0"/>
        <v>18000</v>
      </c>
    </row>
    <row r="20" spans="2:6" ht="20.25" x14ac:dyDescent="0.3">
      <c r="B20" s="19"/>
      <c r="C20" s="391" t="s">
        <v>492</v>
      </c>
      <c r="D20" s="233">
        <v>549764</v>
      </c>
      <c r="E20" s="233"/>
      <c r="F20" s="233">
        <f t="shared" si="0"/>
        <v>549764</v>
      </c>
    </row>
    <row r="21" spans="2:6" ht="20.25" x14ac:dyDescent="0.3">
      <c r="B21" s="19"/>
      <c r="C21" s="391" t="s">
        <v>493</v>
      </c>
      <c r="D21" s="233">
        <v>13653</v>
      </c>
      <c r="E21" s="233"/>
      <c r="F21" s="233">
        <f t="shared" si="0"/>
        <v>13653</v>
      </c>
    </row>
    <row r="22" spans="2:6" ht="20.25" x14ac:dyDescent="0.3">
      <c r="B22" s="19"/>
      <c r="C22" s="391" t="s">
        <v>494</v>
      </c>
      <c r="D22" s="233">
        <v>8319</v>
      </c>
      <c r="E22" s="233"/>
      <c r="F22" s="233">
        <f t="shared" si="0"/>
        <v>8319</v>
      </c>
    </row>
    <row r="23" spans="2:6" ht="20.25" x14ac:dyDescent="0.3">
      <c r="B23" s="19"/>
      <c r="C23" s="391" t="s">
        <v>495</v>
      </c>
      <c r="D23" s="233">
        <v>13462</v>
      </c>
      <c r="E23" s="233"/>
      <c r="F23" s="233">
        <f t="shared" si="0"/>
        <v>13462</v>
      </c>
    </row>
    <row r="24" spans="2:6" ht="20.25" x14ac:dyDescent="0.3">
      <c r="B24" s="19"/>
      <c r="C24" s="391" t="s">
        <v>497</v>
      </c>
      <c r="D24" s="233">
        <v>20269</v>
      </c>
      <c r="E24" s="233">
        <v>19500</v>
      </c>
      <c r="F24" s="233">
        <f t="shared" si="0"/>
        <v>39769</v>
      </c>
    </row>
    <row r="25" spans="2:6" ht="20.25" x14ac:dyDescent="0.3">
      <c r="B25" s="19"/>
      <c r="C25" s="391" t="s">
        <v>498</v>
      </c>
      <c r="D25" s="233">
        <v>14478</v>
      </c>
      <c r="E25" s="233"/>
      <c r="F25" s="233">
        <f t="shared" si="0"/>
        <v>14478</v>
      </c>
    </row>
    <row r="26" spans="2:6" ht="20.25" x14ac:dyDescent="0.3">
      <c r="B26" s="19"/>
      <c r="C26" s="391" t="s">
        <v>499</v>
      </c>
      <c r="D26" s="233">
        <v>105649</v>
      </c>
      <c r="E26" s="233"/>
      <c r="F26" s="233">
        <f t="shared" si="0"/>
        <v>105649</v>
      </c>
    </row>
    <row r="27" spans="2:6" ht="20.25" x14ac:dyDescent="0.3">
      <c r="B27" s="19"/>
      <c r="C27" s="391" t="s">
        <v>500</v>
      </c>
      <c r="D27" s="233">
        <v>760479</v>
      </c>
      <c r="E27" s="233"/>
      <c r="F27" s="233">
        <f t="shared" si="0"/>
        <v>760479</v>
      </c>
    </row>
    <row r="28" spans="2:6" ht="31.5" x14ac:dyDescent="0.3">
      <c r="B28" s="19"/>
      <c r="C28" s="391" t="s">
        <v>868</v>
      </c>
      <c r="D28" s="233">
        <v>686500</v>
      </c>
      <c r="E28" s="233"/>
      <c r="F28" s="233">
        <f t="shared" si="0"/>
        <v>686500</v>
      </c>
    </row>
    <row r="29" spans="2:6" ht="31.5" x14ac:dyDescent="0.3">
      <c r="B29" s="19"/>
      <c r="C29" s="391" t="s">
        <v>869</v>
      </c>
      <c r="D29" s="233">
        <v>13500</v>
      </c>
      <c r="E29" s="233"/>
      <c r="F29" s="233">
        <f t="shared" si="0"/>
        <v>13500</v>
      </c>
    </row>
    <row r="30" spans="2:6" ht="31.5" x14ac:dyDescent="0.3">
      <c r="B30" s="19"/>
      <c r="C30" s="391" t="s">
        <v>866</v>
      </c>
      <c r="D30" s="233">
        <v>231030</v>
      </c>
      <c r="E30" s="233"/>
      <c r="F30" s="233">
        <f t="shared" si="0"/>
        <v>231030</v>
      </c>
    </row>
    <row r="31" spans="2:6" ht="31.5" x14ac:dyDescent="0.3">
      <c r="B31" s="19"/>
      <c r="C31" s="391" t="s">
        <v>867</v>
      </c>
      <c r="D31" s="233">
        <v>404613</v>
      </c>
      <c r="E31" s="233"/>
      <c r="F31" s="233">
        <f t="shared" si="0"/>
        <v>404613</v>
      </c>
    </row>
    <row r="32" spans="2:6" ht="20.25" x14ac:dyDescent="0.3">
      <c r="B32" s="19"/>
      <c r="C32" s="391" t="s">
        <v>463</v>
      </c>
      <c r="D32" s="233">
        <v>2000</v>
      </c>
      <c r="E32" s="233"/>
      <c r="F32" s="233">
        <f t="shared" si="0"/>
        <v>2000</v>
      </c>
    </row>
    <row r="33" spans="2:6" ht="20.25" x14ac:dyDescent="0.3">
      <c r="B33" s="19"/>
      <c r="C33" s="391" t="s">
        <v>964</v>
      </c>
      <c r="D33" s="233"/>
      <c r="E33" s="233">
        <v>30000</v>
      </c>
      <c r="F33" s="233">
        <f t="shared" si="0"/>
        <v>30000</v>
      </c>
    </row>
    <row r="34" spans="2:6" ht="20.25" x14ac:dyDescent="0.3">
      <c r="B34" s="92"/>
      <c r="C34" s="391" t="s">
        <v>568</v>
      </c>
      <c r="D34" s="233">
        <v>184785</v>
      </c>
      <c r="E34" s="233">
        <v>-39285</v>
      </c>
      <c r="F34" s="233">
        <f t="shared" si="0"/>
        <v>145500</v>
      </c>
    </row>
    <row r="35" spans="2:6" ht="20.25" x14ac:dyDescent="0.3">
      <c r="B35" s="92"/>
      <c r="C35" s="391" t="s">
        <v>648</v>
      </c>
      <c r="D35" s="234">
        <v>261023</v>
      </c>
      <c r="E35" s="234"/>
      <c r="F35" s="233">
        <f t="shared" si="0"/>
        <v>261023</v>
      </c>
    </row>
    <row r="36" spans="2:6" ht="21" thickBot="1" x14ac:dyDescent="0.35">
      <c r="B36" s="376"/>
      <c r="C36" s="377" t="s">
        <v>46</v>
      </c>
      <c r="D36" s="378">
        <f>SUM(D10:D35)</f>
        <v>5131458</v>
      </c>
      <c r="E36" s="378">
        <f>SUM(E10:E35)</f>
        <v>10215</v>
      </c>
      <c r="F36" s="378">
        <f>SUM(F10:F35)</f>
        <v>5141673</v>
      </c>
    </row>
    <row r="37" spans="2:6" ht="25.35" customHeight="1" thickBot="1" x14ac:dyDescent="0.35">
      <c r="B37" s="1026" t="s">
        <v>120</v>
      </c>
      <c r="C37" s="1027"/>
      <c r="D37" s="483">
        <f>D7+D9+D36</f>
        <v>5131458</v>
      </c>
      <c r="E37" s="483">
        <f>E7+E9+E36</f>
        <v>10215</v>
      </c>
      <c r="F37" s="483">
        <f>F7+F9+F36</f>
        <v>5141673</v>
      </c>
    </row>
    <row r="38" spans="2:6" ht="15.75" x14ac:dyDescent="0.25">
      <c r="B38" s="128" t="s">
        <v>112</v>
      </c>
      <c r="C38" s="271"/>
      <c r="D38" s="136"/>
      <c r="E38" s="136"/>
      <c r="F38" s="136"/>
    </row>
    <row r="39" spans="2:6" ht="21" thickBot="1" x14ac:dyDescent="0.35">
      <c r="B39" s="19"/>
      <c r="C39" s="341" t="s">
        <v>247</v>
      </c>
      <c r="D39" s="338">
        <v>200000</v>
      </c>
      <c r="E39" s="338"/>
      <c r="F39" s="338">
        <f>D39+E39</f>
        <v>200000</v>
      </c>
    </row>
    <row r="40" spans="2:6" ht="21" thickBot="1" x14ac:dyDescent="0.35">
      <c r="B40" s="93" t="s">
        <v>114</v>
      </c>
      <c r="C40" s="272"/>
      <c r="D40" s="105">
        <f>SUM(D39:D39)</f>
        <v>200000</v>
      </c>
      <c r="E40" s="105">
        <f>SUM(E39:E39)</f>
        <v>0</v>
      </c>
      <c r="F40" s="105">
        <f>SUM(F39:F39)</f>
        <v>200000</v>
      </c>
    </row>
    <row r="41" spans="2:6" ht="16.5" customHeight="1" x14ac:dyDescent="0.25">
      <c r="B41" s="129" t="s">
        <v>121</v>
      </c>
      <c r="C41" s="273"/>
      <c r="D41" s="270"/>
      <c r="E41" s="270"/>
      <c r="F41" s="270"/>
    </row>
    <row r="42" spans="2:6" ht="44.25" customHeight="1" x14ac:dyDescent="0.25">
      <c r="B42" s="95"/>
      <c r="C42" s="130" t="s">
        <v>48</v>
      </c>
      <c r="D42" s="267"/>
      <c r="E42" s="267"/>
      <c r="F42" s="267"/>
    </row>
    <row r="43" spans="2:6" ht="20.25" x14ac:dyDescent="0.3">
      <c r="B43" s="19"/>
      <c r="C43" s="274" t="s">
        <v>249</v>
      </c>
      <c r="D43" s="235">
        <v>10000</v>
      </c>
      <c r="E43" s="235"/>
      <c r="F43" s="235">
        <f>D43+E43</f>
        <v>10000</v>
      </c>
    </row>
    <row r="44" spans="2:6" ht="20.25" x14ac:dyDescent="0.3">
      <c r="B44" s="19"/>
      <c r="C44" s="101" t="s">
        <v>206</v>
      </c>
      <c r="D44" s="235">
        <v>10000</v>
      </c>
      <c r="E44" s="235"/>
      <c r="F44" s="235">
        <f>D44+E44</f>
        <v>10000</v>
      </c>
    </row>
    <row r="45" spans="2:6" ht="20.25" x14ac:dyDescent="0.3">
      <c r="B45" s="95"/>
      <c r="C45" s="339" t="s">
        <v>49</v>
      </c>
      <c r="D45" s="691"/>
      <c r="E45" s="340"/>
      <c r="F45" s="691"/>
    </row>
    <row r="46" spans="2:6" ht="20.25" x14ac:dyDescent="0.3">
      <c r="B46" s="19"/>
      <c r="C46" s="341"/>
      <c r="D46" s="235"/>
      <c r="E46" s="235"/>
      <c r="F46" s="235">
        <f>D46+E46</f>
        <v>0</v>
      </c>
    </row>
    <row r="47" spans="2:6" ht="20.25" x14ac:dyDescent="0.3">
      <c r="B47" s="1024" t="s">
        <v>122</v>
      </c>
      <c r="C47" s="1025"/>
      <c r="D47" s="236">
        <f>SUM(D42:D46)</f>
        <v>20000</v>
      </c>
      <c r="E47" s="236">
        <f>SUM(E42:E46)</f>
        <v>0</v>
      </c>
      <c r="F47" s="236">
        <f>SUM(F42:F46)</f>
        <v>20000</v>
      </c>
    </row>
    <row r="48" spans="2:6" ht="15.75" x14ac:dyDescent="0.25">
      <c r="B48" s="91" t="s">
        <v>181</v>
      </c>
      <c r="C48" s="131"/>
      <c r="D48" s="535"/>
      <c r="E48" s="535"/>
      <c r="F48" s="535"/>
    </row>
    <row r="49" spans="2:6" ht="20.25" x14ac:dyDescent="0.3">
      <c r="B49" s="95"/>
      <c r="C49" s="26" t="s">
        <v>339</v>
      </c>
      <c r="D49" s="239">
        <v>0</v>
      </c>
      <c r="E49" s="237">
        <v>628</v>
      </c>
      <c r="F49" s="239">
        <f>D49+E49</f>
        <v>628</v>
      </c>
    </row>
    <row r="50" spans="2:6" ht="20.25" x14ac:dyDescent="0.3">
      <c r="B50" s="95"/>
      <c r="C50" s="275" t="s">
        <v>175</v>
      </c>
      <c r="D50" s="237">
        <v>0</v>
      </c>
      <c r="E50" s="237">
        <v>90</v>
      </c>
      <c r="F50" s="239">
        <f t="shared" ref="F50:F61" si="1">D50+E50</f>
        <v>90</v>
      </c>
    </row>
    <row r="51" spans="2:6" ht="20.25" x14ac:dyDescent="0.3">
      <c r="B51" s="95"/>
      <c r="C51" s="275" t="s">
        <v>100</v>
      </c>
      <c r="D51" s="237">
        <v>2000</v>
      </c>
      <c r="E51" s="237">
        <v>18858</v>
      </c>
      <c r="F51" s="239">
        <f t="shared" si="1"/>
        <v>20858</v>
      </c>
    </row>
    <row r="52" spans="2:6" ht="20.25" x14ac:dyDescent="0.3">
      <c r="B52" s="95"/>
      <c r="C52" s="275" t="s">
        <v>169</v>
      </c>
      <c r="D52" s="237">
        <v>0</v>
      </c>
      <c r="E52" s="237">
        <v>2000</v>
      </c>
      <c r="F52" s="239">
        <f t="shared" si="1"/>
        <v>2000</v>
      </c>
    </row>
    <row r="53" spans="2:6" ht="20.25" x14ac:dyDescent="0.3">
      <c r="B53" s="95"/>
      <c r="C53" s="275" t="s">
        <v>170</v>
      </c>
      <c r="D53" s="237">
        <v>0</v>
      </c>
      <c r="E53" s="237"/>
      <c r="F53" s="239">
        <f t="shared" si="1"/>
        <v>0</v>
      </c>
    </row>
    <row r="54" spans="2:6" ht="20.25" x14ac:dyDescent="0.3">
      <c r="B54" s="95"/>
      <c r="C54" s="275" t="s">
        <v>644</v>
      </c>
      <c r="D54" s="237">
        <v>0</v>
      </c>
      <c r="E54" s="237"/>
      <c r="F54" s="239">
        <f t="shared" si="1"/>
        <v>0</v>
      </c>
    </row>
    <row r="55" spans="2:6" ht="20.25" x14ac:dyDescent="0.3">
      <c r="B55" s="95"/>
      <c r="C55" s="275" t="s">
        <v>192</v>
      </c>
      <c r="D55" s="237">
        <v>6100</v>
      </c>
      <c r="E55" s="237"/>
      <c r="F55" s="239">
        <f t="shared" si="1"/>
        <v>6100</v>
      </c>
    </row>
    <row r="56" spans="2:6" ht="20.25" x14ac:dyDescent="0.3">
      <c r="B56" s="95"/>
      <c r="C56" s="276" t="s">
        <v>128</v>
      </c>
      <c r="D56" s="237">
        <v>0</v>
      </c>
      <c r="E56" s="237"/>
      <c r="F56" s="239">
        <f t="shared" si="1"/>
        <v>0</v>
      </c>
    </row>
    <row r="57" spans="2:6" ht="20.25" x14ac:dyDescent="0.3">
      <c r="B57" s="95"/>
      <c r="C57" s="276" t="s">
        <v>427</v>
      </c>
      <c r="D57" s="237">
        <v>1990</v>
      </c>
      <c r="E57" s="237">
        <v>2801</v>
      </c>
      <c r="F57" s="239">
        <f t="shared" si="1"/>
        <v>4791</v>
      </c>
    </row>
    <row r="58" spans="2:6" ht="20.25" x14ac:dyDescent="0.3">
      <c r="B58" s="95"/>
      <c r="C58" s="276" t="s">
        <v>20</v>
      </c>
      <c r="D58" s="237">
        <v>0</v>
      </c>
      <c r="E58" s="237">
        <v>489</v>
      </c>
      <c r="F58" s="239">
        <f t="shared" si="1"/>
        <v>489</v>
      </c>
    </row>
    <row r="59" spans="2:6" ht="20.25" x14ac:dyDescent="0.3">
      <c r="B59" s="95"/>
      <c r="C59" s="276" t="s">
        <v>279</v>
      </c>
      <c r="D59" s="237">
        <v>0</v>
      </c>
      <c r="E59" s="237"/>
      <c r="F59" s="239">
        <f t="shared" si="1"/>
        <v>0</v>
      </c>
    </row>
    <row r="60" spans="2:6" ht="20.25" x14ac:dyDescent="0.3">
      <c r="B60" s="95"/>
      <c r="C60" s="276" t="s">
        <v>8</v>
      </c>
      <c r="D60" s="237">
        <v>0</v>
      </c>
      <c r="E60" s="237"/>
      <c r="F60" s="239">
        <f t="shared" si="1"/>
        <v>0</v>
      </c>
    </row>
    <row r="61" spans="2:6" ht="20.25" x14ac:dyDescent="0.3">
      <c r="B61" s="95"/>
      <c r="C61" s="277" t="s">
        <v>286</v>
      </c>
      <c r="D61" s="237">
        <v>0</v>
      </c>
      <c r="E61" s="237"/>
      <c r="F61" s="239">
        <f t="shared" si="1"/>
        <v>0</v>
      </c>
    </row>
    <row r="62" spans="2:6" ht="20.25" x14ac:dyDescent="0.3">
      <c r="B62" s="1024" t="s">
        <v>119</v>
      </c>
      <c r="C62" s="1025"/>
      <c r="D62" s="238">
        <f>SUM(D49:D61)</f>
        <v>10090</v>
      </c>
      <c r="E62" s="238">
        <f>SUM(E49:E61)</f>
        <v>24866</v>
      </c>
      <c r="F62" s="238">
        <f>SUM(F49:F61)</f>
        <v>34956</v>
      </c>
    </row>
    <row r="63" spans="2:6" ht="21" thickBot="1" x14ac:dyDescent="0.35">
      <c r="B63" s="1022" t="s">
        <v>549</v>
      </c>
      <c r="C63" s="1023"/>
      <c r="D63" s="240">
        <f>D40+D37+D47+D62</f>
        <v>5361548</v>
      </c>
      <c r="E63" s="240">
        <f>E40+E37+E47+E62</f>
        <v>35081</v>
      </c>
      <c r="F63" s="240">
        <f>F40+F37+F47+F62</f>
        <v>5396629</v>
      </c>
    </row>
    <row r="64" spans="2:6" ht="15.75" x14ac:dyDescent="0.25">
      <c r="B64" s="94"/>
      <c r="C64" s="94"/>
      <c r="D64" s="94"/>
      <c r="E64" s="94"/>
      <c r="F64" s="94"/>
    </row>
  </sheetData>
  <mergeCells count="5">
    <mergeCell ref="B63:C63"/>
    <mergeCell ref="B47:C47"/>
    <mergeCell ref="B37:C37"/>
    <mergeCell ref="B62:C62"/>
    <mergeCell ref="B1:F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&amp;R&amp;"Times New Roman CE,Félkövér"&amp;12 17. melléklet a …./2019. (…….) önkormányzati rendelethez
„17. melléklet a 5/2019. (IV. 1.) önkormányzati rendelethez”
</oddHeader>
  </headerFooter>
  <rowBreaks count="1" manualBreakCount="1">
    <brk id="37" min="1" max="6" man="1"/>
  </rowBreaks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J182"/>
  <sheetViews>
    <sheetView zoomScale="68" zoomScaleNormal="68" zoomScalePageLayoutView="55" workbookViewId="0">
      <selection activeCell="D102" sqref="D102"/>
    </sheetView>
  </sheetViews>
  <sheetFormatPr defaultColWidth="10.6640625" defaultRowHeight="15" customHeight="1" x14ac:dyDescent="0.25"/>
  <cols>
    <col min="1" max="1" width="5.6640625" style="27" customWidth="1"/>
    <col min="2" max="2" width="146.5" style="27" customWidth="1"/>
    <col min="3" max="3" width="37.33203125" style="27" bestFit="1" customWidth="1"/>
    <col min="4" max="4" width="39.1640625" style="27" bestFit="1" customWidth="1"/>
    <col min="5" max="7" width="38.1640625" style="27" bestFit="1" customWidth="1"/>
    <col min="8" max="8" width="19.6640625" style="346" bestFit="1" customWidth="1"/>
    <col min="9" max="10" width="10.6640625" style="346"/>
    <col min="11" max="11" width="12.33203125" style="27" bestFit="1" customWidth="1"/>
    <col min="12" max="16384" width="10.6640625" style="27"/>
  </cols>
  <sheetData>
    <row r="1" spans="1:10" ht="15" customHeight="1" x14ac:dyDescent="0.25">
      <c r="A1" s="713"/>
      <c r="B1" s="713"/>
      <c r="C1" s="252"/>
      <c r="D1" s="252"/>
      <c r="E1" s="252"/>
      <c r="F1" s="252"/>
      <c r="G1" s="252"/>
    </row>
    <row r="2" spans="1:10" ht="23.25" customHeight="1" x14ac:dyDescent="0.25">
      <c r="A2" s="1028" t="s">
        <v>305</v>
      </c>
      <c r="B2" s="1028"/>
      <c r="C2" s="1028"/>
      <c r="D2" s="1028"/>
      <c r="E2" s="1028"/>
      <c r="F2" s="713"/>
      <c r="G2" s="713"/>
    </row>
    <row r="3" spans="1:10" ht="15" customHeight="1" thickBot="1" x14ac:dyDescent="0.3">
      <c r="A3" s="27" t="s">
        <v>18</v>
      </c>
      <c r="E3" s="301" t="s">
        <v>380</v>
      </c>
      <c r="F3" s="346"/>
      <c r="G3" s="346"/>
      <c r="I3" s="27"/>
      <c r="J3" s="27"/>
    </row>
    <row r="4" spans="1:10" ht="18.75" customHeight="1" x14ac:dyDescent="0.25">
      <c r="A4" s="1029" t="s">
        <v>303</v>
      </c>
      <c r="B4" s="1030"/>
      <c r="C4" s="529" t="s">
        <v>923</v>
      </c>
      <c r="D4" s="529" t="s">
        <v>863</v>
      </c>
      <c r="E4" s="529" t="s">
        <v>955</v>
      </c>
      <c r="F4" s="346"/>
      <c r="G4" s="346"/>
      <c r="I4" s="27"/>
      <c r="J4" s="27"/>
    </row>
    <row r="5" spans="1:10" ht="31.5" customHeight="1" thickBot="1" x14ac:dyDescent="0.3">
      <c r="A5" s="241"/>
      <c r="B5" s="278"/>
      <c r="C5" s="395" t="s">
        <v>635</v>
      </c>
      <c r="D5" s="395" t="s">
        <v>864</v>
      </c>
      <c r="E5" s="395" t="s">
        <v>635</v>
      </c>
      <c r="F5" s="346"/>
      <c r="G5" s="346"/>
      <c r="I5" s="27"/>
      <c r="J5" s="27"/>
    </row>
    <row r="6" spans="1:10" s="722" customFormat="1" ht="18" x14ac:dyDescent="0.25">
      <c r="A6" s="242" t="s">
        <v>320</v>
      </c>
      <c r="B6" s="279" t="s">
        <v>248</v>
      </c>
      <c r="C6" s="291"/>
      <c r="D6" s="291"/>
      <c r="E6" s="291"/>
      <c r="F6" s="721"/>
      <c r="G6" s="721"/>
      <c r="H6" s="721"/>
    </row>
    <row r="7" spans="1:10" ht="18" x14ac:dyDescent="0.25">
      <c r="A7" s="243"/>
      <c r="B7" s="665" t="s">
        <v>428</v>
      </c>
      <c r="C7" s="720">
        <v>100000</v>
      </c>
      <c r="D7" s="720"/>
      <c r="E7" s="720">
        <f>C7+D7</f>
        <v>100000</v>
      </c>
      <c r="F7" s="346"/>
      <c r="G7" s="346"/>
      <c r="I7" s="27"/>
      <c r="J7" s="27"/>
    </row>
    <row r="8" spans="1:10" ht="18" x14ac:dyDescent="0.25">
      <c r="A8" s="243"/>
      <c r="B8" s="137" t="s">
        <v>921</v>
      </c>
      <c r="C8" s="182">
        <v>1500</v>
      </c>
      <c r="D8" s="182"/>
      <c r="E8" s="182">
        <f>C8+D8</f>
        <v>1500</v>
      </c>
      <c r="F8" s="346"/>
      <c r="G8" s="346"/>
      <c r="I8" s="27"/>
      <c r="J8" s="27"/>
    </row>
    <row r="9" spans="1:10" ht="18" x14ac:dyDescent="0.25">
      <c r="A9" s="243"/>
      <c r="B9" s="137" t="s">
        <v>558</v>
      </c>
      <c r="C9" s="182">
        <v>9600</v>
      </c>
      <c r="D9" s="182"/>
      <c r="E9" s="182">
        <f t="shared" ref="E9:E19" si="0">C9+D9</f>
        <v>9600</v>
      </c>
      <c r="F9" s="346"/>
      <c r="G9" s="346"/>
      <c r="I9" s="27"/>
      <c r="J9" s="27"/>
    </row>
    <row r="10" spans="1:10" ht="18" x14ac:dyDescent="0.25">
      <c r="A10" s="243"/>
      <c r="B10" s="137" t="s">
        <v>634</v>
      </c>
      <c r="C10" s="182">
        <v>0</v>
      </c>
      <c r="D10" s="182"/>
      <c r="E10" s="182">
        <f t="shared" si="0"/>
        <v>0</v>
      </c>
      <c r="F10" s="346"/>
      <c r="G10" s="346"/>
      <c r="I10" s="27"/>
      <c r="J10" s="27"/>
    </row>
    <row r="11" spans="1:10" ht="18" x14ac:dyDescent="0.25">
      <c r="A11" s="243"/>
      <c r="B11" s="547" t="s">
        <v>687</v>
      </c>
      <c r="C11" s="182">
        <v>18000</v>
      </c>
      <c r="D11" s="182"/>
      <c r="E11" s="182">
        <f t="shared" si="0"/>
        <v>18000</v>
      </c>
      <c r="F11" s="346"/>
      <c r="G11" s="346"/>
      <c r="I11" s="27"/>
      <c r="J11" s="27"/>
    </row>
    <row r="12" spans="1:10" ht="18" x14ac:dyDescent="0.25">
      <c r="A12" s="243"/>
      <c r="B12" s="137" t="s">
        <v>683</v>
      </c>
      <c r="C12" s="182">
        <v>5000</v>
      </c>
      <c r="D12" s="182"/>
      <c r="E12" s="182">
        <f t="shared" si="0"/>
        <v>5000</v>
      </c>
      <c r="F12" s="346"/>
      <c r="G12" s="346"/>
      <c r="I12" s="27"/>
      <c r="J12" s="27"/>
    </row>
    <row r="13" spans="1:10" ht="18" x14ac:dyDescent="0.25">
      <c r="A13" s="243"/>
      <c r="B13" s="137" t="s">
        <v>746</v>
      </c>
      <c r="C13" s="182">
        <v>35000</v>
      </c>
      <c r="D13" s="182"/>
      <c r="E13" s="182">
        <f t="shared" si="0"/>
        <v>35000</v>
      </c>
      <c r="F13" s="346"/>
      <c r="G13" s="346"/>
      <c r="I13" s="27"/>
      <c r="J13" s="27"/>
    </row>
    <row r="14" spans="1:10" ht="18" x14ac:dyDescent="0.25">
      <c r="A14" s="243"/>
      <c r="B14" s="137" t="s">
        <v>672</v>
      </c>
      <c r="C14" s="182">
        <v>14000</v>
      </c>
      <c r="D14" s="182"/>
      <c r="E14" s="182">
        <f t="shared" si="0"/>
        <v>14000</v>
      </c>
      <c r="F14" s="346"/>
      <c r="G14" s="346"/>
      <c r="I14" s="27"/>
      <c r="J14" s="27"/>
    </row>
    <row r="15" spans="1:10" ht="18" x14ac:dyDescent="0.25">
      <c r="A15" s="243"/>
      <c r="B15" s="137" t="s">
        <v>911</v>
      </c>
      <c r="C15" s="182">
        <v>520</v>
      </c>
      <c r="D15" s="182"/>
      <c r="E15" s="182">
        <f t="shared" si="0"/>
        <v>520</v>
      </c>
      <c r="F15" s="346"/>
      <c r="G15" s="346"/>
      <c r="I15" s="27"/>
      <c r="J15" s="27"/>
    </row>
    <row r="16" spans="1:10" ht="18" x14ac:dyDescent="0.25">
      <c r="A16" s="243"/>
      <c r="B16" s="137" t="s">
        <v>916</v>
      </c>
      <c r="C16" s="182">
        <v>7987</v>
      </c>
      <c r="D16" s="182"/>
      <c r="E16" s="182">
        <f t="shared" si="0"/>
        <v>7987</v>
      </c>
      <c r="F16" s="346"/>
      <c r="G16" s="346"/>
      <c r="I16" s="27"/>
      <c r="J16" s="27"/>
    </row>
    <row r="17" spans="1:10" ht="18" x14ac:dyDescent="0.25">
      <c r="A17" s="243"/>
      <c r="B17" s="137" t="s">
        <v>995</v>
      </c>
      <c r="C17" s="182"/>
      <c r="D17" s="182">
        <v>10000</v>
      </c>
      <c r="E17" s="182">
        <f t="shared" si="0"/>
        <v>10000</v>
      </c>
      <c r="F17" s="346"/>
      <c r="G17" s="346"/>
      <c r="I17" s="27"/>
      <c r="J17" s="27"/>
    </row>
    <row r="18" spans="1:10" ht="18" x14ac:dyDescent="0.25">
      <c r="A18" s="243"/>
      <c r="B18" s="137" t="s">
        <v>1003</v>
      </c>
      <c r="C18" s="182"/>
      <c r="D18" s="182">
        <v>32400</v>
      </c>
      <c r="E18" s="182">
        <f t="shared" si="0"/>
        <v>32400</v>
      </c>
      <c r="F18" s="346"/>
      <c r="G18" s="346"/>
      <c r="I18" s="27"/>
      <c r="J18" s="27"/>
    </row>
    <row r="19" spans="1:10" ht="36" x14ac:dyDescent="0.25">
      <c r="A19" s="243"/>
      <c r="B19" s="729" t="s">
        <v>959</v>
      </c>
      <c r="C19" s="730">
        <v>15000</v>
      </c>
      <c r="D19" s="730"/>
      <c r="E19" s="182">
        <f t="shared" si="0"/>
        <v>15000</v>
      </c>
      <c r="F19" s="346"/>
      <c r="G19" s="346"/>
      <c r="I19" s="27"/>
      <c r="J19" s="27"/>
    </row>
    <row r="20" spans="1:10" ht="18" x14ac:dyDescent="0.25">
      <c r="A20" s="244"/>
      <c r="B20" s="281" t="s">
        <v>301</v>
      </c>
      <c r="C20" s="183">
        <f>SUM(C6:C19)</f>
        <v>206607</v>
      </c>
      <c r="D20" s="183">
        <f>SUM(D6:D19)</f>
        <v>42400</v>
      </c>
      <c r="E20" s="183">
        <f>SUM(E6:E19)</f>
        <v>249007</v>
      </c>
      <c r="F20" s="346"/>
      <c r="G20" s="346"/>
      <c r="I20" s="27"/>
      <c r="J20" s="27"/>
    </row>
    <row r="21" spans="1:10" ht="15" customHeight="1" x14ac:dyDescent="0.25">
      <c r="A21" s="245" t="s">
        <v>321</v>
      </c>
      <c r="B21" s="282" t="s">
        <v>302</v>
      </c>
      <c r="C21" s="54"/>
      <c r="D21" s="54"/>
      <c r="E21" s="292"/>
      <c r="F21" s="346"/>
      <c r="G21" s="346"/>
      <c r="I21" s="27"/>
      <c r="J21" s="27"/>
    </row>
    <row r="22" spans="1:10" ht="18" x14ac:dyDescent="0.25">
      <c r="A22" s="242"/>
      <c r="B22" s="283" t="s">
        <v>708</v>
      </c>
      <c r="C22" s="184">
        <v>41879</v>
      </c>
      <c r="D22" s="184">
        <f>-5800-33133</f>
        <v>-38933</v>
      </c>
      <c r="E22" s="184">
        <f>C22+D22</f>
        <v>2946</v>
      </c>
      <c r="F22" s="346"/>
      <c r="G22" s="346"/>
      <c r="I22" s="27"/>
      <c r="J22" s="27"/>
    </row>
    <row r="23" spans="1:10" ht="18" x14ac:dyDescent="0.25">
      <c r="A23" s="242"/>
      <c r="B23" s="283" t="s">
        <v>721</v>
      </c>
      <c r="C23" s="184">
        <v>0</v>
      </c>
      <c r="D23" s="184"/>
      <c r="E23" s="184">
        <f>C23+D23</f>
        <v>0</v>
      </c>
      <c r="F23" s="346"/>
      <c r="G23" s="346"/>
      <c r="I23" s="27"/>
      <c r="J23" s="27"/>
    </row>
    <row r="24" spans="1:10" ht="18" x14ac:dyDescent="0.25">
      <c r="A24" s="242"/>
      <c r="B24" s="283" t="s">
        <v>745</v>
      </c>
      <c r="C24" s="184">
        <v>0</v>
      </c>
      <c r="D24" s="184"/>
      <c r="E24" s="184">
        <f>C24+D24</f>
        <v>0</v>
      </c>
      <c r="F24" s="346"/>
      <c r="G24" s="346"/>
      <c r="I24" s="27"/>
      <c r="J24" s="27"/>
    </row>
    <row r="25" spans="1:10" ht="18" x14ac:dyDescent="0.25">
      <c r="A25" s="242"/>
      <c r="B25" s="283" t="s">
        <v>747</v>
      </c>
      <c r="C25" s="184">
        <v>0</v>
      </c>
      <c r="D25" s="184"/>
      <c r="E25" s="184">
        <f>C25+D25</f>
        <v>0</v>
      </c>
      <c r="F25" s="346"/>
      <c r="G25" s="346"/>
      <c r="I25" s="27"/>
      <c r="J25" s="27"/>
    </row>
    <row r="26" spans="1:10" ht="15" customHeight="1" x14ac:dyDescent="0.25">
      <c r="A26" s="244"/>
      <c r="B26" s="281" t="s">
        <v>243</v>
      </c>
      <c r="C26" s="183">
        <f>SUM(C21:C25)</f>
        <v>41879</v>
      </c>
      <c r="D26" s="183">
        <f>SUM(D21:D25)</f>
        <v>-38933</v>
      </c>
      <c r="E26" s="183">
        <f>SUM(E21:E25)</f>
        <v>2946</v>
      </c>
      <c r="F26" s="346"/>
      <c r="G26" s="346"/>
      <c r="I26" s="27"/>
      <c r="J26" s="27"/>
    </row>
    <row r="27" spans="1:10" ht="15" customHeight="1" x14ac:dyDescent="0.25">
      <c r="A27" s="242" t="s">
        <v>322</v>
      </c>
      <c r="B27" s="282" t="s">
        <v>319</v>
      </c>
      <c r="C27" s="292"/>
      <c r="D27" s="292"/>
      <c r="E27" s="292"/>
      <c r="F27" s="346"/>
      <c r="G27" s="346"/>
      <c r="I27" s="27"/>
      <c r="J27" s="27"/>
    </row>
    <row r="28" spans="1:10" ht="18" x14ac:dyDescent="0.25">
      <c r="A28" s="243"/>
      <c r="B28" s="284" t="s">
        <v>168</v>
      </c>
      <c r="C28" s="182">
        <v>102294</v>
      </c>
      <c r="D28" s="182"/>
      <c r="E28" s="184">
        <f>C28+D28</f>
        <v>102294</v>
      </c>
      <c r="F28" s="346"/>
      <c r="G28" s="346"/>
      <c r="I28" s="27"/>
      <c r="J28" s="27"/>
    </row>
    <row r="29" spans="1:10" ht="15" customHeight="1" x14ac:dyDescent="0.25">
      <c r="A29" s="244"/>
      <c r="B29" s="281" t="s">
        <v>274</v>
      </c>
      <c r="C29" s="183">
        <f>SUM(C28:C28)</f>
        <v>102294</v>
      </c>
      <c r="D29" s="183">
        <f>SUM(D28:D28)</f>
        <v>0</v>
      </c>
      <c r="E29" s="183">
        <f>SUM(E28:E28)</f>
        <v>102294</v>
      </c>
      <c r="F29" s="346"/>
      <c r="G29" s="346"/>
      <c r="I29" s="27"/>
      <c r="J29" s="27"/>
    </row>
    <row r="30" spans="1:10" ht="15" customHeight="1" x14ac:dyDescent="0.25">
      <c r="A30" s="242" t="s">
        <v>323</v>
      </c>
      <c r="B30" s="282" t="s">
        <v>324</v>
      </c>
      <c r="C30" s="292"/>
      <c r="D30" s="292"/>
      <c r="E30" s="292"/>
      <c r="F30" s="346"/>
      <c r="G30" s="346"/>
      <c r="I30" s="27"/>
      <c r="J30" s="27"/>
    </row>
    <row r="31" spans="1:10" ht="18" x14ac:dyDescent="0.25">
      <c r="A31" s="243"/>
      <c r="B31" s="287" t="s">
        <v>750</v>
      </c>
      <c r="C31" s="43">
        <v>70031</v>
      </c>
      <c r="D31" s="43">
        <v>-6000</v>
      </c>
      <c r="E31" s="184">
        <f>C31+D31</f>
        <v>64031</v>
      </c>
      <c r="F31" s="346"/>
      <c r="G31" s="346"/>
      <c r="I31" s="27"/>
      <c r="J31" s="27"/>
    </row>
    <row r="32" spans="1:10" ht="18" x14ac:dyDescent="0.25">
      <c r="A32" s="243"/>
      <c r="B32" s="287" t="s">
        <v>927</v>
      </c>
      <c r="C32" s="43">
        <v>138</v>
      </c>
      <c r="D32" s="43"/>
      <c r="E32" s="184">
        <f>C32+D32</f>
        <v>138</v>
      </c>
      <c r="F32" s="346"/>
      <c r="G32" s="346"/>
      <c r="I32" s="27"/>
      <c r="J32" s="27"/>
    </row>
    <row r="33" spans="1:10" ht="18" x14ac:dyDescent="0.25">
      <c r="A33" s="243"/>
      <c r="B33" s="286" t="s">
        <v>165</v>
      </c>
      <c r="C33" s="185">
        <v>19500</v>
      </c>
      <c r="D33" s="185"/>
      <c r="E33" s="184">
        <f>C33+D33</f>
        <v>19500</v>
      </c>
      <c r="F33" s="346"/>
      <c r="G33" s="346"/>
      <c r="I33" s="27"/>
      <c r="J33" s="27"/>
    </row>
    <row r="34" spans="1:10" ht="18" x14ac:dyDescent="0.25">
      <c r="A34" s="244"/>
      <c r="B34" s="285" t="s">
        <v>275</v>
      </c>
      <c r="C34" s="183">
        <f>SUM(C31:C33)</f>
        <v>89669</v>
      </c>
      <c r="D34" s="183">
        <f>SUM(D31:D33)</f>
        <v>-6000</v>
      </c>
      <c r="E34" s="183">
        <f>SUM(E31:E33)</f>
        <v>83669</v>
      </c>
      <c r="F34" s="346"/>
      <c r="G34" s="346"/>
      <c r="I34" s="27"/>
      <c r="J34" s="27"/>
    </row>
    <row r="35" spans="1:10" ht="15" customHeight="1" x14ac:dyDescent="0.25">
      <c r="A35" s="242" t="s">
        <v>325</v>
      </c>
      <c r="B35" s="282" t="s">
        <v>276</v>
      </c>
      <c r="C35" s="292"/>
      <c r="D35" s="292"/>
      <c r="E35" s="292"/>
      <c r="F35" s="346"/>
      <c r="G35" s="346"/>
      <c r="I35" s="27"/>
      <c r="J35" s="27"/>
    </row>
    <row r="36" spans="1:10" ht="18.75" x14ac:dyDescent="0.3">
      <c r="A36" s="246" t="s">
        <v>317</v>
      </c>
      <c r="B36" s="247"/>
      <c r="C36" s="293"/>
      <c r="D36" s="293"/>
      <c r="E36" s="293"/>
      <c r="F36" s="346"/>
      <c r="G36" s="346"/>
      <c r="I36" s="27"/>
      <c r="J36" s="27"/>
    </row>
    <row r="37" spans="1:10" ht="18" x14ac:dyDescent="0.25">
      <c r="A37" s="243"/>
      <c r="B37" s="287" t="s">
        <v>80</v>
      </c>
      <c r="C37" s="43">
        <v>3920</v>
      </c>
      <c r="D37" s="43"/>
      <c r="E37" s="43">
        <f>SUM(C37:D37)</f>
        <v>3920</v>
      </c>
      <c r="F37" s="346"/>
      <c r="G37" s="346"/>
      <c r="I37" s="27"/>
      <c r="J37" s="27"/>
    </row>
    <row r="38" spans="1:10" ht="18" x14ac:dyDescent="0.25">
      <c r="A38" s="243"/>
      <c r="B38" s="284" t="s">
        <v>501</v>
      </c>
      <c r="C38" s="43">
        <v>535557</v>
      </c>
      <c r="D38" s="43">
        <v>-26865</v>
      </c>
      <c r="E38" s="43">
        <f>SUM(C38:D38)</f>
        <v>508692</v>
      </c>
      <c r="F38" s="346"/>
      <c r="G38" s="346"/>
      <c r="I38" s="27"/>
      <c r="J38" s="27"/>
    </row>
    <row r="39" spans="1:10" ht="18" x14ac:dyDescent="0.25">
      <c r="A39" s="243"/>
      <c r="B39" s="284" t="s">
        <v>730</v>
      </c>
      <c r="C39" s="333">
        <v>19560</v>
      </c>
      <c r="D39" s="333">
        <v>26865</v>
      </c>
      <c r="E39" s="43">
        <f>SUM(C39:D39)</f>
        <v>46425</v>
      </c>
      <c r="F39" s="346"/>
      <c r="G39" s="346"/>
      <c r="I39" s="27"/>
      <c r="J39" s="27"/>
    </row>
    <row r="40" spans="1:10" ht="18.75" x14ac:dyDescent="0.3">
      <c r="A40" s="246" t="s">
        <v>316</v>
      </c>
      <c r="B40" s="247"/>
      <c r="C40" s="342"/>
      <c r="D40" s="342"/>
      <c r="E40" s="342"/>
      <c r="F40" s="346"/>
      <c r="G40" s="346"/>
      <c r="I40" s="27"/>
      <c r="J40" s="27"/>
    </row>
    <row r="41" spans="1:10" ht="18" x14ac:dyDescent="0.25">
      <c r="A41" s="243"/>
      <c r="B41" s="287" t="s">
        <v>872</v>
      </c>
      <c r="C41" s="43">
        <v>414293</v>
      </c>
      <c r="D41" s="43">
        <v>-6718</v>
      </c>
      <c r="E41" s="184">
        <f t="shared" ref="E41:E89" si="1">C41+D41</f>
        <v>407575</v>
      </c>
      <c r="F41" s="346"/>
      <c r="G41" s="346"/>
      <c r="I41" s="27"/>
      <c r="J41" s="27"/>
    </row>
    <row r="42" spans="1:10" ht="36" x14ac:dyDescent="0.25">
      <c r="A42" s="243"/>
      <c r="B42" s="287" t="s">
        <v>873</v>
      </c>
      <c r="C42" s="43">
        <v>72907</v>
      </c>
      <c r="D42" s="43">
        <v>6718</v>
      </c>
      <c r="E42" s="184">
        <f t="shared" si="1"/>
        <v>79625</v>
      </c>
      <c r="F42" s="346"/>
      <c r="G42" s="346"/>
      <c r="I42" s="27"/>
      <c r="J42" s="27"/>
    </row>
    <row r="43" spans="1:10" ht="18" x14ac:dyDescent="0.25">
      <c r="A43" s="243"/>
      <c r="B43" s="287" t="s">
        <v>870</v>
      </c>
      <c r="C43" s="43">
        <v>1009057</v>
      </c>
      <c r="D43" s="43">
        <f>-9208-3045-429571</f>
        <v>-441824</v>
      </c>
      <c r="E43" s="184">
        <f t="shared" si="1"/>
        <v>567233</v>
      </c>
      <c r="F43" s="346"/>
      <c r="G43" s="346"/>
      <c r="I43" s="27"/>
      <c r="J43" s="27"/>
    </row>
    <row r="44" spans="1:10" ht="36" x14ac:dyDescent="0.25">
      <c r="A44" s="243"/>
      <c r="B44" s="287" t="s">
        <v>871</v>
      </c>
      <c r="C44" s="43">
        <v>0</v>
      </c>
      <c r="D44" s="43">
        <v>9208</v>
      </c>
      <c r="E44" s="184">
        <f t="shared" si="1"/>
        <v>9208</v>
      </c>
      <c r="F44" s="346"/>
      <c r="G44" s="346"/>
      <c r="I44" s="27"/>
      <c r="J44" s="27"/>
    </row>
    <row r="45" spans="1:10" ht="18" x14ac:dyDescent="0.25">
      <c r="A45" s="243"/>
      <c r="B45" s="287" t="s">
        <v>749</v>
      </c>
      <c r="C45" s="43">
        <v>30000</v>
      </c>
      <c r="D45" s="43"/>
      <c r="E45" s="184">
        <f t="shared" si="1"/>
        <v>30000</v>
      </c>
      <c r="F45" s="346"/>
      <c r="G45" s="346"/>
      <c r="I45" s="27"/>
      <c r="J45" s="27"/>
    </row>
    <row r="46" spans="1:10" ht="18" x14ac:dyDescent="0.25">
      <c r="A46" s="243"/>
      <c r="B46" s="287" t="s">
        <v>664</v>
      </c>
      <c r="C46" s="43">
        <v>16438</v>
      </c>
      <c r="D46" s="43"/>
      <c r="E46" s="184">
        <f t="shared" si="1"/>
        <v>16438</v>
      </c>
      <c r="F46" s="346"/>
      <c r="G46" s="346"/>
      <c r="I46" s="27"/>
      <c r="J46" s="27"/>
    </row>
    <row r="47" spans="1:10" ht="18" x14ac:dyDescent="0.25">
      <c r="A47" s="243"/>
      <c r="B47" s="287" t="s">
        <v>665</v>
      </c>
      <c r="C47" s="43">
        <v>4423</v>
      </c>
      <c r="D47" s="43"/>
      <c r="E47" s="184">
        <f t="shared" si="1"/>
        <v>4423</v>
      </c>
      <c r="F47" s="346"/>
      <c r="G47" s="346"/>
      <c r="I47" s="27"/>
      <c r="J47" s="27"/>
    </row>
    <row r="48" spans="1:10" ht="18" x14ac:dyDescent="0.25">
      <c r="A48" s="243"/>
      <c r="B48" s="287" t="s">
        <v>523</v>
      </c>
      <c r="C48" s="43">
        <v>102</v>
      </c>
      <c r="D48" s="43"/>
      <c r="E48" s="184">
        <f t="shared" si="1"/>
        <v>102</v>
      </c>
      <c r="F48" s="346"/>
      <c r="G48" s="346"/>
      <c r="I48" s="27"/>
      <c r="J48" s="27"/>
    </row>
    <row r="49" spans="1:10" ht="18" x14ac:dyDescent="0.25">
      <c r="A49" s="243"/>
      <c r="B49" s="287" t="s">
        <v>464</v>
      </c>
      <c r="C49" s="43">
        <v>63</v>
      </c>
      <c r="D49" s="43"/>
      <c r="E49" s="184">
        <f t="shared" si="1"/>
        <v>63</v>
      </c>
      <c r="F49" s="346"/>
      <c r="G49" s="346"/>
      <c r="I49" s="27"/>
      <c r="J49" s="27"/>
    </row>
    <row r="50" spans="1:10" ht="18" x14ac:dyDescent="0.25">
      <c r="A50" s="243"/>
      <c r="B50" s="287" t="s">
        <v>1000</v>
      </c>
      <c r="C50" s="43"/>
      <c r="D50" s="43">
        <v>2500</v>
      </c>
      <c r="E50" s="184">
        <f t="shared" si="1"/>
        <v>2500</v>
      </c>
      <c r="F50" s="346"/>
      <c r="G50" s="346"/>
      <c r="I50" s="27"/>
      <c r="J50" s="27"/>
    </row>
    <row r="51" spans="1:10" ht="36" x14ac:dyDescent="0.25">
      <c r="A51" s="243"/>
      <c r="B51" s="287" t="s">
        <v>999</v>
      </c>
      <c r="C51" s="43"/>
      <c r="D51" s="43">
        <v>12000</v>
      </c>
      <c r="E51" s="184">
        <f t="shared" si="1"/>
        <v>12000</v>
      </c>
      <c r="F51" s="346"/>
      <c r="G51" s="346"/>
      <c r="I51" s="27"/>
      <c r="J51" s="27"/>
    </row>
    <row r="52" spans="1:10" ht="18" x14ac:dyDescent="0.25">
      <c r="A52" s="243"/>
      <c r="B52" s="287" t="s">
        <v>401</v>
      </c>
      <c r="C52" s="43">
        <v>23742</v>
      </c>
      <c r="D52" s="43">
        <f>1800+6000</f>
        <v>7800</v>
      </c>
      <c r="E52" s="184">
        <f t="shared" si="1"/>
        <v>31542</v>
      </c>
      <c r="F52" s="346"/>
      <c r="G52" s="346"/>
      <c r="I52" s="27"/>
      <c r="J52" s="27"/>
    </row>
    <row r="53" spans="1:10" ht="18" x14ac:dyDescent="0.25">
      <c r="A53" s="243"/>
      <c r="B53" s="287" t="s">
        <v>954</v>
      </c>
      <c r="C53" s="43">
        <v>1500</v>
      </c>
      <c r="D53" s="43"/>
      <c r="E53" s="184">
        <f t="shared" si="1"/>
        <v>1500</v>
      </c>
      <c r="F53" s="346"/>
      <c r="G53" s="346"/>
      <c r="I53" s="27"/>
      <c r="J53" s="27"/>
    </row>
    <row r="54" spans="1:10" ht="18" x14ac:dyDescent="0.25">
      <c r="A54" s="243"/>
      <c r="B54" s="286" t="s">
        <v>96</v>
      </c>
      <c r="C54" s="43">
        <v>749</v>
      </c>
      <c r="D54" s="43"/>
      <c r="E54" s="184">
        <f t="shared" si="1"/>
        <v>749</v>
      </c>
      <c r="F54" s="346"/>
      <c r="G54" s="346"/>
      <c r="I54" s="27"/>
      <c r="J54" s="27"/>
    </row>
    <row r="55" spans="1:10" ht="18" x14ac:dyDescent="0.25">
      <c r="A55" s="243"/>
      <c r="B55" s="286" t="s">
        <v>563</v>
      </c>
      <c r="C55" s="43">
        <v>31</v>
      </c>
      <c r="D55" s="43"/>
      <c r="E55" s="184">
        <f t="shared" si="1"/>
        <v>31</v>
      </c>
      <c r="F55" s="346"/>
      <c r="G55" s="346"/>
      <c r="I55" s="27"/>
      <c r="J55" s="27"/>
    </row>
    <row r="56" spans="1:10" ht="18" x14ac:dyDescent="0.25">
      <c r="A56" s="573"/>
      <c r="B56" s="286" t="s">
        <v>649</v>
      </c>
      <c r="C56" s="43">
        <v>7275</v>
      </c>
      <c r="D56" s="43"/>
      <c r="E56" s="184">
        <f t="shared" si="1"/>
        <v>7275</v>
      </c>
      <c r="F56" s="346"/>
      <c r="G56" s="346"/>
      <c r="I56" s="27"/>
      <c r="J56" s="27"/>
    </row>
    <row r="57" spans="1:10" ht="18.75" x14ac:dyDescent="0.3">
      <c r="A57" s="246" t="s">
        <v>318</v>
      </c>
      <c r="B57" s="248"/>
      <c r="C57" s="333"/>
      <c r="D57" s="333"/>
      <c r="E57" s="697"/>
      <c r="F57" s="346"/>
      <c r="G57" s="346"/>
      <c r="I57" s="27"/>
      <c r="J57" s="27"/>
    </row>
    <row r="58" spans="1:10" ht="18" x14ac:dyDescent="0.25">
      <c r="A58" s="243"/>
      <c r="B58" s="248" t="s">
        <v>216</v>
      </c>
      <c r="C58" s="333">
        <v>255609</v>
      </c>
      <c r="D58" s="333">
        <f>188-100-2831-300-1040-986-500-1800-500-500-260-356-496-321-491-300-300-150-275-637-810-2000-1000-500-3200-250</f>
        <v>-19715</v>
      </c>
      <c r="E58" s="698">
        <f t="shared" si="1"/>
        <v>235894</v>
      </c>
      <c r="F58" s="346"/>
      <c r="G58" s="346"/>
      <c r="I58" s="27"/>
      <c r="J58" s="27"/>
    </row>
    <row r="59" spans="1:10" ht="18.75" x14ac:dyDescent="0.3">
      <c r="A59" s="243"/>
      <c r="B59" s="525" t="s">
        <v>709</v>
      </c>
      <c r="C59" s="43"/>
      <c r="D59" s="43"/>
      <c r="E59" s="184"/>
      <c r="F59" s="346"/>
      <c r="G59" s="346"/>
      <c r="I59" s="27"/>
      <c r="J59" s="27"/>
    </row>
    <row r="60" spans="1:10" ht="18.75" x14ac:dyDescent="0.3">
      <c r="A60" s="243"/>
      <c r="B60" s="525" t="s">
        <v>743</v>
      </c>
      <c r="C60" s="43"/>
      <c r="D60" s="43"/>
      <c r="E60" s="184"/>
      <c r="F60" s="346"/>
      <c r="G60" s="346"/>
      <c r="I60" s="27"/>
      <c r="J60" s="27"/>
    </row>
    <row r="61" spans="1:10" ht="18.75" x14ac:dyDescent="0.3">
      <c r="A61" s="243"/>
      <c r="B61" s="525" t="s">
        <v>631</v>
      </c>
      <c r="C61" s="43"/>
      <c r="D61" s="43"/>
      <c r="E61" s="184"/>
      <c r="F61" s="346"/>
      <c r="G61" s="346"/>
      <c r="I61" s="27"/>
      <c r="J61" s="27"/>
    </row>
    <row r="62" spans="1:10" ht="18" x14ac:dyDescent="0.25">
      <c r="A62" s="243"/>
      <c r="B62" s="248" t="s">
        <v>992</v>
      </c>
      <c r="C62" s="43"/>
      <c r="D62" s="43">
        <v>637</v>
      </c>
      <c r="E62" s="184">
        <f t="shared" si="1"/>
        <v>637</v>
      </c>
      <c r="F62" s="346"/>
      <c r="G62" s="346"/>
      <c r="I62" s="27"/>
      <c r="J62" s="27"/>
    </row>
    <row r="63" spans="1:10" ht="18" x14ac:dyDescent="0.25">
      <c r="A63" s="243"/>
      <c r="B63" s="343" t="s">
        <v>666</v>
      </c>
      <c r="C63" s="43">
        <v>10525</v>
      </c>
      <c r="D63" s="43"/>
      <c r="E63" s="184">
        <f t="shared" si="1"/>
        <v>10525</v>
      </c>
      <c r="F63" s="346"/>
      <c r="G63" s="346"/>
      <c r="I63" s="27"/>
      <c r="J63" s="27"/>
    </row>
    <row r="64" spans="1:10" s="477" customFormat="1" ht="36" x14ac:dyDescent="0.25">
      <c r="A64" s="474"/>
      <c r="B64" s="475" t="s">
        <v>564</v>
      </c>
      <c r="C64" s="476">
        <v>18422</v>
      </c>
      <c r="D64" s="476"/>
      <c r="E64" s="184">
        <f t="shared" si="1"/>
        <v>18422</v>
      </c>
      <c r="F64" s="569"/>
      <c r="G64" s="569"/>
      <c r="H64" s="569"/>
    </row>
    <row r="65" spans="1:10" ht="18" x14ac:dyDescent="0.25">
      <c r="A65" s="243"/>
      <c r="B65" s="475" t="s">
        <v>918</v>
      </c>
      <c r="C65" s="476">
        <v>31695</v>
      </c>
      <c r="D65" s="476">
        <f>-1232+5800</f>
        <v>4568</v>
      </c>
      <c r="E65" s="184">
        <f t="shared" si="1"/>
        <v>36263</v>
      </c>
      <c r="F65" s="346"/>
      <c r="G65" s="346"/>
      <c r="I65" s="27"/>
      <c r="J65" s="27"/>
    </row>
    <row r="66" spans="1:10" ht="18" x14ac:dyDescent="0.25">
      <c r="A66" s="243"/>
      <c r="B66" s="475" t="s">
        <v>898</v>
      </c>
      <c r="C66" s="476">
        <v>8305</v>
      </c>
      <c r="D66" s="476">
        <v>1232</v>
      </c>
      <c r="E66" s="184">
        <f t="shared" si="1"/>
        <v>9537</v>
      </c>
      <c r="F66" s="346"/>
      <c r="G66" s="346"/>
      <c r="I66" s="27"/>
      <c r="J66" s="27"/>
    </row>
    <row r="67" spans="1:10" ht="18" x14ac:dyDescent="0.25">
      <c r="A67" s="243"/>
      <c r="B67" s="475" t="s">
        <v>710</v>
      </c>
      <c r="C67" s="476">
        <v>2000</v>
      </c>
      <c r="D67" s="476"/>
      <c r="E67" s="184">
        <f t="shared" si="1"/>
        <v>2000</v>
      </c>
      <c r="F67" s="346"/>
      <c r="G67" s="346"/>
      <c r="I67" s="27"/>
      <c r="J67" s="27"/>
    </row>
    <row r="68" spans="1:10" ht="15.75" customHeight="1" x14ac:dyDescent="0.25">
      <c r="A68" s="249"/>
      <c r="B68" s="547" t="s">
        <v>677</v>
      </c>
      <c r="C68" s="43">
        <v>0</v>
      </c>
      <c r="D68" s="43">
        <v>4156</v>
      </c>
      <c r="E68" s="184">
        <f t="shared" si="1"/>
        <v>4156</v>
      </c>
      <c r="F68" s="346"/>
      <c r="G68" s="346"/>
      <c r="I68" s="27"/>
      <c r="J68" s="27"/>
    </row>
    <row r="69" spans="1:10" ht="15.75" customHeight="1" x14ac:dyDescent="0.25">
      <c r="A69" s="249"/>
      <c r="B69" s="547" t="s">
        <v>924</v>
      </c>
      <c r="C69" s="43">
        <v>7260</v>
      </c>
      <c r="D69" s="43"/>
      <c r="E69" s="184">
        <f t="shared" si="1"/>
        <v>7260</v>
      </c>
      <c r="F69" s="346"/>
      <c r="G69" s="346"/>
      <c r="I69" s="27"/>
      <c r="J69" s="27"/>
    </row>
    <row r="70" spans="1:10" ht="18" x14ac:dyDescent="0.25">
      <c r="A70" s="242"/>
      <c r="B70" s="547" t="s">
        <v>711</v>
      </c>
      <c r="C70" s="381">
        <v>15000</v>
      </c>
      <c r="D70" s="43"/>
      <c r="E70" s="184">
        <f t="shared" si="1"/>
        <v>15000</v>
      </c>
      <c r="F70" s="346"/>
      <c r="G70" s="346"/>
      <c r="I70" s="27"/>
      <c r="J70" s="27"/>
    </row>
    <row r="71" spans="1:10" ht="18" x14ac:dyDescent="0.25">
      <c r="A71" s="243"/>
      <c r="B71" s="475" t="s">
        <v>689</v>
      </c>
      <c r="C71" s="476">
        <v>44991</v>
      </c>
      <c r="D71" s="476">
        <f>-2868+14437</f>
        <v>11569</v>
      </c>
      <c r="E71" s="184">
        <f t="shared" si="1"/>
        <v>56560</v>
      </c>
      <c r="F71" s="346"/>
      <c r="G71" s="346"/>
      <c r="I71" s="27"/>
      <c r="J71" s="27"/>
    </row>
    <row r="72" spans="1:10" ht="18" x14ac:dyDescent="0.25">
      <c r="A72" s="243"/>
      <c r="B72" s="475" t="s">
        <v>926</v>
      </c>
      <c r="C72" s="476">
        <v>12147</v>
      </c>
      <c r="D72" s="476">
        <f>2868</f>
        <v>2868</v>
      </c>
      <c r="E72" s="184">
        <f t="shared" si="1"/>
        <v>15015</v>
      </c>
      <c r="F72" s="346"/>
      <c r="G72" s="346"/>
      <c r="I72" s="27"/>
      <c r="J72" s="27"/>
    </row>
    <row r="73" spans="1:10" ht="18" x14ac:dyDescent="0.25">
      <c r="A73" s="243"/>
      <c r="B73" s="475" t="s">
        <v>964</v>
      </c>
      <c r="C73" s="476"/>
      <c r="D73" s="476">
        <v>30000</v>
      </c>
      <c r="E73" s="184">
        <f t="shared" si="1"/>
        <v>30000</v>
      </c>
      <c r="F73" s="346"/>
      <c r="G73" s="346"/>
      <c r="I73" s="27"/>
      <c r="J73" s="27"/>
    </row>
    <row r="74" spans="1:10" ht="18" x14ac:dyDescent="0.25">
      <c r="A74" s="243"/>
      <c r="B74" s="475" t="s">
        <v>1005</v>
      </c>
      <c r="C74" s="476"/>
      <c r="D74" s="476">
        <v>120000</v>
      </c>
      <c r="E74" s="184">
        <f t="shared" si="1"/>
        <v>120000</v>
      </c>
      <c r="F74" s="346"/>
      <c r="G74" s="346"/>
      <c r="I74" s="27"/>
      <c r="J74" s="27"/>
    </row>
    <row r="75" spans="1:10" ht="18.75" x14ac:dyDescent="0.3">
      <c r="A75" s="246" t="s">
        <v>26</v>
      </c>
      <c r="B75" s="248"/>
      <c r="C75" s="342"/>
      <c r="D75" s="342"/>
      <c r="E75" s="697"/>
      <c r="F75" s="346"/>
      <c r="G75" s="346"/>
      <c r="I75" s="27"/>
      <c r="J75" s="27"/>
    </row>
    <row r="76" spans="1:10" ht="15" customHeight="1" x14ac:dyDescent="0.25">
      <c r="A76" s="243"/>
      <c r="B76" s="283" t="s">
        <v>751</v>
      </c>
      <c r="C76" s="43">
        <v>3150</v>
      </c>
      <c r="D76" s="43"/>
      <c r="E76" s="184">
        <f t="shared" si="1"/>
        <v>3150</v>
      </c>
      <c r="F76" s="346"/>
      <c r="G76" s="346"/>
      <c r="I76" s="27"/>
      <c r="J76" s="27"/>
    </row>
    <row r="77" spans="1:10" ht="15" customHeight="1" x14ac:dyDescent="0.25">
      <c r="A77" s="243"/>
      <c r="B77" s="283" t="s">
        <v>166</v>
      </c>
      <c r="C77" s="43">
        <v>1073</v>
      </c>
      <c r="D77" s="43"/>
      <c r="E77" s="184">
        <f t="shared" si="1"/>
        <v>1073</v>
      </c>
      <c r="F77" s="346"/>
      <c r="G77" s="346"/>
      <c r="I77" s="27"/>
      <c r="J77" s="27"/>
    </row>
    <row r="78" spans="1:10" ht="18.75" x14ac:dyDescent="0.3">
      <c r="A78" s="1031" t="s">
        <v>15</v>
      </c>
      <c r="B78" s="1032"/>
      <c r="C78" s="342"/>
      <c r="D78" s="342"/>
      <c r="E78" s="184"/>
      <c r="F78" s="346"/>
      <c r="G78" s="346"/>
      <c r="I78" s="27"/>
      <c r="J78" s="27"/>
    </row>
    <row r="79" spans="1:10" ht="18.75" x14ac:dyDescent="0.3">
      <c r="A79" s="304"/>
      <c r="B79" s="345" t="s">
        <v>645</v>
      </c>
      <c r="C79" s="43">
        <v>3008</v>
      </c>
      <c r="D79" s="43">
        <v>2050</v>
      </c>
      <c r="E79" s="184">
        <f t="shared" si="1"/>
        <v>5058</v>
      </c>
      <c r="F79" s="346"/>
      <c r="G79" s="346"/>
      <c r="I79" s="27"/>
      <c r="J79" s="27"/>
    </row>
    <row r="80" spans="1:10" ht="18.75" x14ac:dyDescent="0.3">
      <c r="A80" s="304"/>
      <c r="B80" s="345" t="s">
        <v>699</v>
      </c>
      <c r="C80" s="43">
        <v>1500</v>
      </c>
      <c r="D80" s="43"/>
      <c r="E80" s="184">
        <f t="shared" si="1"/>
        <v>1500</v>
      </c>
      <c r="F80" s="346"/>
      <c r="G80" s="346"/>
      <c r="I80" s="27"/>
      <c r="J80" s="27"/>
    </row>
    <row r="81" spans="1:10" ht="18.75" x14ac:dyDescent="0.3">
      <c r="A81" s="304"/>
      <c r="B81" s="288" t="s">
        <v>481</v>
      </c>
      <c r="C81" s="43">
        <v>4500</v>
      </c>
      <c r="D81" s="43"/>
      <c r="E81" s="184">
        <f t="shared" si="1"/>
        <v>4500</v>
      </c>
      <c r="F81" s="346"/>
      <c r="G81" s="346"/>
      <c r="I81" s="27"/>
      <c r="J81" s="27"/>
    </row>
    <row r="82" spans="1:10" ht="18.75" x14ac:dyDescent="0.3">
      <c r="A82" s="304"/>
      <c r="B82" s="288" t="s">
        <v>480</v>
      </c>
      <c r="C82" s="43">
        <v>4500</v>
      </c>
      <c r="D82" s="43"/>
      <c r="E82" s="184">
        <f t="shared" si="1"/>
        <v>4500</v>
      </c>
      <c r="F82" s="346"/>
      <c r="G82" s="346"/>
      <c r="J82" s="27"/>
    </row>
    <row r="83" spans="1:10" ht="18.75" x14ac:dyDescent="0.3">
      <c r="A83" s="304"/>
      <c r="B83" s="288" t="s">
        <v>395</v>
      </c>
      <c r="C83" s="43">
        <v>5000</v>
      </c>
      <c r="D83" s="43"/>
      <c r="E83" s="184">
        <f t="shared" si="1"/>
        <v>5000</v>
      </c>
      <c r="F83" s="346"/>
      <c r="G83" s="346"/>
      <c r="I83" s="27"/>
      <c r="J83" s="27"/>
    </row>
    <row r="84" spans="1:10" ht="18.75" x14ac:dyDescent="0.3">
      <c r="A84" s="304"/>
      <c r="B84" s="563" t="s">
        <v>695</v>
      </c>
      <c r="C84" s="43">
        <v>5000</v>
      </c>
      <c r="D84" s="43">
        <v>-5000</v>
      </c>
      <c r="E84" s="184">
        <f t="shared" si="1"/>
        <v>0</v>
      </c>
      <c r="F84" s="346"/>
      <c r="G84" s="346"/>
      <c r="I84" s="27"/>
      <c r="J84" s="27"/>
    </row>
    <row r="85" spans="1:10" ht="18.75" x14ac:dyDescent="0.3">
      <c r="A85" s="304"/>
      <c r="B85" s="563" t="s">
        <v>696</v>
      </c>
      <c r="C85" s="43">
        <v>5000</v>
      </c>
      <c r="D85" s="43">
        <v>-5000</v>
      </c>
      <c r="E85" s="184">
        <f t="shared" si="1"/>
        <v>0</v>
      </c>
      <c r="F85" s="346"/>
      <c r="G85" s="346"/>
      <c r="I85" s="27"/>
      <c r="J85" s="27"/>
    </row>
    <row r="86" spans="1:10" ht="18.75" x14ac:dyDescent="0.3">
      <c r="A86" s="304"/>
      <c r="B86" s="563" t="s">
        <v>701</v>
      </c>
      <c r="C86" s="43">
        <v>4500</v>
      </c>
      <c r="D86" s="43">
        <f>-1250-3250</f>
        <v>-4500</v>
      </c>
      <c r="E86" s="184">
        <f t="shared" si="1"/>
        <v>0</v>
      </c>
      <c r="F86" s="346"/>
      <c r="G86" s="346"/>
      <c r="I86" s="27"/>
      <c r="J86" s="27"/>
    </row>
    <row r="87" spans="1:10" ht="18.75" x14ac:dyDescent="0.3">
      <c r="A87" s="304"/>
      <c r="B87" s="563" t="s">
        <v>697</v>
      </c>
      <c r="C87" s="43">
        <v>5000</v>
      </c>
      <c r="D87" s="43"/>
      <c r="E87" s="184">
        <f t="shared" si="1"/>
        <v>5000</v>
      </c>
      <c r="F87" s="346"/>
      <c r="G87" s="346"/>
      <c r="I87" s="27"/>
      <c r="J87" s="27"/>
    </row>
    <row r="88" spans="1:10" ht="18.75" x14ac:dyDescent="0.3">
      <c r="A88" s="304"/>
      <c r="B88" s="563" t="s">
        <v>698</v>
      </c>
      <c r="C88" s="43">
        <v>3000</v>
      </c>
      <c r="D88" s="43"/>
      <c r="E88" s="184">
        <f t="shared" si="1"/>
        <v>3000</v>
      </c>
      <c r="F88" s="346"/>
      <c r="G88" s="346"/>
      <c r="I88" s="27"/>
      <c r="J88" s="27"/>
    </row>
    <row r="89" spans="1:10" ht="18.75" thickBot="1" x14ac:dyDescent="0.3">
      <c r="A89" s="536"/>
      <c r="B89" s="537" t="s">
        <v>522</v>
      </c>
      <c r="C89" s="538">
        <v>920</v>
      </c>
      <c r="D89" s="538"/>
      <c r="E89" s="692">
        <f t="shared" si="1"/>
        <v>920</v>
      </c>
      <c r="F89" s="346"/>
      <c r="G89" s="346"/>
      <c r="I89" s="27"/>
      <c r="J89" s="27"/>
    </row>
    <row r="90" spans="1:10" ht="18.75" x14ac:dyDescent="0.3">
      <c r="A90" s="246" t="s">
        <v>30</v>
      </c>
      <c r="B90" s="248"/>
      <c r="C90" s="333"/>
      <c r="D90" s="333"/>
      <c r="E90" s="333"/>
      <c r="F90" s="346"/>
      <c r="G90" s="346"/>
      <c r="I90" s="27"/>
      <c r="J90" s="27"/>
    </row>
    <row r="91" spans="1:10" ht="18" x14ac:dyDescent="0.25">
      <c r="A91" s="243"/>
      <c r="B91" s="280" t="s">
        <v>684</v>
      </c>
      <c r="C91" s="43">
        <v>200117</v>
      </c>
      <c r="D91" s="43">
        <v>3802</v>
      </c>
      <c r="E91" s="184">
        <f t="shared" ref="E91:E154" si="2">C91+D91</f>
        <v>203919</v>
      </c>
      <c r="F91" s="346"/>
      <c r="G91" s="346"/>
      <c r="I91" s="27"/>
      <c r="J91" s="27"/>
    </row>
    <row r="92" spans="1:10" ht="36" x14ac:dyDescent="0.25">
      <c r="A92" s="243"/>
      <c r="B92" s="280" t="s">
        <v>685</v>
      </c>
      <c r="C92" s="43">
        <v>52349</v>
      </c>
      <c r="D92" s="43"/>
      <c r="E92" s="184">
        <f t="shared" si="2"/>
        <v>52349</v>
      </c>
      <c r="F92" s="346"/>
      <c r="G92" s="346"/>
      <c r="I92" s="27"/>
      <c r="J92" s="27"/>
    </row>
    <row r="93" spans="1:10" ht="36" x14ac:dyDescent="0.25">
      <c r="A93" s="243"/>
      <c r="B93" s="280" t="s">
        <v>731</v>
      </c>
      <c r="C93" s="43">
        <v>622</v>
      </c>
      <c r="D93" s="43"/>
      <c r="E93" s="184">
        <f t="shared" si="2"/>
        <v>622</v>
      </c>
      <c r="F93" s="346"/>
      <c r="G93" s="346"/>
      <c r="I93" s="27"/>
      <c r="J93" s="27"/>
    </row>
    <row r="94" spans="1:10" ht="18" x14ac:dyDescent="0.25">
      <c r="A94" s="243"/>
      <c r="B94" s="280" t="s">
        <v>569</v>
      </c>
      <c r="C94" s="43">
        <v>83515</v>
      </c>
      <c r="D94" s="43"/>
      <c r="E94" s="184">
        <f t="shared" si="2"/>
        <v>83515</v>
      </c>
      <c r="F94" s="346"/>
      <c r="G94" s="346"/>
      <c r="I94" s="27"/>
      <c r="J94" s="27"/>
    </row>
    <row r="95" spans="1:10" ht="15.75" customHeight="1" x14ac:dyDescent="0.25">
      <c r="A95" s="249"/>
      <c r="B95" s="288" t="s">
        <v>570</v>
      </c>
      <c r="C95" s="43">
        <v>335875</v>
      </c>
      <c r="D95" s="43"/>
      <c r="E95" s="184">
        <f t="shared" si="2"/>
        <v>335875</v>
      </c>
      <c r="F95" s="570"/>
      <c r="G95" s="346"/>
      <c r="I95" s="27"/>
      <c r="J95" s="27"/>
    </row>
    <row r="96" spans="1:10" ht="15.75" customHeight="1" x14ac:dyDescent="0.25">
      <c r="A96" s="249"/>
      <c r="B96" s="288" t="s">
        <v>648</v>
      </c>
      <c r="C96" s="43">
        <v>377381</v>
      </c>
      <c r="D96" s="43">
        <v>53</v>
      </c>
      <c r="E96" s="184">
        <f t="shared" si="2"/>
        <v>377434</v>
      </c>
      <c r="F96" s="346"/>
      <c r="G96" s="346"/>
      <c r="I96" s="27"/>
      <c r="J96" s="27"/>
    </row>
    <row r="97" spans="1:10" ht="15.75" customHeight="1" x14ac:dyDescent="0.25">
      <c r="A97" s="249"/>
      <c r="B97" s="288" t="s">
        <v>686</v>
      </c>
      <c r="C97" s="43">
        <v>20055</v>
      </c>
      <c r="D97" s="43"/>
      <c r="E97" s="184">
        <f t="shared" si="2"/>
        <v>20055</v>
      </c>
      <c r="F97" s="346"/>
      <c r="G97" s="346"/>
      <c r="I97" s="27"/>
      <c r="J97" s="27"/>
    </row>
    <row r="98" spans="1:10" ht="15.75" customHeight="1" x14ac:dyDescent="0.25">
      <c r="A98" s="249"/>
      <c r="B98" s="284" t="s">
        <v>71</v>
      </c>
      <c r="C98" s="43">
        <v>49045</v>
      </c>
      <c r="D98" s="43">
        <f>-3802-360-4364-10085</f>
        <v>-18611</v>
      </c>
      <c r="E98" s="184">
        <f t="shared" si="2"/>
        <v>30434</v>
      </c>
      <c r="F98" s="346"/>
      <c r="G98" s="346"/>
      <c r="I98" s="27"/>
      <c r="J98" s="27"/>
    </row>
    <row r="99" spans="1:10" ht="15.75" customHeight="1" x14ac:dyDescent="0.25">
      <c r="A99" s="249"/>
      <c r="B99" s="284" t="s">
        <v>456</v>
      </c>
      <c r="C99" s="43">
        <v>18074</v>
      </c>
      <c r="D99" s="43"/>
      <c r="E99" s="184">
        <f t="shared" si="2"/>
        <v>18074</v>
      </c>
      <c r="F99" s="346"/>
      <c r="G99" s="346"/>
      <c r="I99" s="27"/>
      <c r="J99" s="27"/>
    </row>
    <row r="100" spans="1:10" ht="18" x14ac:dyDescent="0.25">
      <c r="A100" s="243"/>
      <c r="B100" s="284" t="s">
        <v>469</v>
      </c>
      <c r="C100" s="43">
        <v>12376</v>
      </c>
      <c r="D100" s="43"/>
      <c r="E100" s="184">
        <f t="shared" si="2"/>
        <v>12376</v>
      </c>
      <c r="F100" s="346"/>
      <c r="G100" s="346"/>
      <c r="I100" s="27"/>
      <c r="J100" s="27"/>
    </row>
    <row r="101" spans="1:10" ht="18" x14ac:dyDescent="0.25">
      <c r="A101" s="243"/>
      <c r="B101" s="288" t="s">
        <v>496</v>
      </c>
      <c r="C101" s="43">
        <v>355027</v>
      </c>
      <c r="D101" s="43">
        <f>-5400+116+674</f>
        <v>-4610</v>
      </c>
      <c r="E101" s="184">
        <f t="shared" si="2"/>
        <v>350417</v>
      </c>
      <c r="F101" s="346"/>
      <c r="G101" s="346"/>
      <c r="I101" s="27"/>
      <c r="J101" s="27"/>
    </row>
    <row r="102" spans="1:10" ht="15.75" customHeight="1" x14ac:dyDescent="0.25">
      <c r="A102" s="249"/>
      <c r="B102" s="280" t="s">
        <v>571</v>
      </c>
      <c r="C102" s="43">
        <v>93930</v>
      </c>
      <c r="D102" s="43">
        <v>-674</v>
      </c>
      <c r="E102" s="184">
        <f t="shared" si="2"/>
        <v>93256</v>
      </c>
      <c r="F102" s="346"/>
      <c r="G102" s="346"/>
      <c r="I102" s="27"/>
      <c r="J102" s="27"/>
    </row>
    <row r="103" spans="1:10" ht="15.75" customHeight="1" x14ac:dyDescent="0.25">
      <c r="A103" s="249"/>
      <c r="B103" s="280" t="s">
        <v>572</v>
      </c>
      <c r="C103" s="43">
        <v>10576</v>
      </c>
      <c r="D103" s="43">
        <f>-54-920</f>
        <v>-974</v>
      </c>
      <c r="E103" s="184">
        <f t="shared" si="2"/>
        <v>9602</v>
      </c>
      <c r="F103" s="346"/>
      <c r="G103" s="346"/>
      <c r="I103" s="27"/>
      <c r="J103" s="27"/>
    </row>
    <row r="104" spans="1:10" ht="15.75" customHeight="1" x14ac:dyDescent="0.25">
      <c r="A104" s="249"/>
      <c r="B104" s="280" t="s">
        <v>993</v>
      </c>
      <c r="C104" s="43"/>
      <c r="D104" s="43">
        <v>920</v>
      </c>
      <c r="E104" s="184">
        <f t="shared" si="2"/>
        <v>920</v>
      </c>
      <c r="F104" s="346"/>
      <c r="G104" s="346"/>
      <c r="I104" s="27"/>
      <c r="J104" s="27"/>
    </row>
    <row r="105" spans="1:10" ht="18" x14ac:dyDescent="0.25">
      <c r="A105" s="243"/>
      <c r="B105" s="288" t="s">
        <v>500</v>
      </c>
      <c r="C105" s="43">
        <v>1219733</v>
      </c>
      <c r="D105" s="43">
        <v>-21215</v>
      </c>
      <c r="E105" s="184">
        <f t="shared" si="2"/>
        <v>1198518</v>
      </c>
      <c r="F105" s="346"/>
      <c r="G105" s="346"/>
      <c r="I105" s="27"/>
      <c r="J105" s="27"/>
    </row>
    <row r="106" spans="1:10" ht="18" x14ac:dyDescent="0.25">
      <c r="A106" s="243"/>
      <c r="B106" s="288" t="s">
        <v>573</v>
      </c>
      <c r="C106" s="43">
        <v>292606</v>
      </c>
      <c r="D106" s="43">
        <v>21215</v>
      </c>
      <c r="E106" s="184">
        <f t="shared" si="2"/>
        <v>313821</v>
      </c>
      <c r="F106" s="346"/>
      <c r="G106" s="346"/>
      <c r="I106" s="27"/>
      <c r="J106" s="27"/>
    </row>
    <row r="107" spans="1:10" ht="18" x14ac:dyDescent="0.25">
      <c r="A107" s="243"/>
      <c r="B107" s="288" t="s">
        <v>971</v>
      </c>
      <c r="C107" s="43"/>
      <c r="D107" s="43">
        <v>360</v>
      </c>
      <c r="E107" s="184">
        <f t="shared" si="2"/>
        <v>360</v>
      </c>
      <c r="F107" s="346"/>
      <c r="G107" s="346"/>
      <c r="I107" s="27"/>
      <c r="J107" s="27"/>
    </row>
    <row r="108" spans="1:10" ht="15.75" customHeight="1" x14ac:dyDescent="0.25">
      <c r="A108" s="249"/>
      <c r="B108" s="280" t="s">
        <v>574</v>
      </c>
      <c r="C108" s="43">
        <v>1360752</v>
      </c>
      <c r="D108" s="43"/>
      <c r="E108" s="184">
        <f t="shared" si="2"/>
        <v>1360752</v>
      </c>
      <c r="F108" s="346"/>
      <c r="G108" s="346"/>
      <c r="I108" s="27"/>
      <c r="J108" s="27"/>
    </row>
    <row r="109" spans="1:10" ht="18" x14ac:dyDescent="0.25">
      <c r="A109" s="243"/>
      <c r="B109" s="288" t="s">
        <v>562</v>
      </c>
      <c r="C109" s="43">
        <v>395777</v>
      </c>
      <c r="D109" s="43"/>
      <c r="E109" s="184">
        <f t="shared" si="2"/>
        <v>395777</v>
      </c>
      <c r="F109" s="346"/>
      <c r="G109" s="346"/>
      <c r="I109" s="27"/>
      <c r="J109" s="27"/>
    </row>
    <row r="110" spans="1:10" ht="36" x14ac:dyDescent="0.25">
      <c r="A110" s="243"/>
      <c r="B110" s="288" t="s">
        <v>688</v>
      </c>
      <c r="C110" s="43">
        <v>79320</v>
      </c>
      <c r="D110" s="43"/>
      <c r="E110" s="184">
        <f t="shared" si="2"/>
        <v>79320</v>
      </c>
      <c r="F110" s="346"/>
      <c r="G110" s="346"/>
      <c r="I110" s="27"/>
      <c r="J110" s="27"/>
    </row>
    <row r="111" spans="1:10" ht="18" x14ac:dyDescent="0.25">
      <c r="A111" s="243"/>
      <c r="B111" s="543" t="s">
        <v>647</v>
      </c>
      <c r="C111" s="43">
        <v>268610</v>
      </c>
      <c r="D111" s="43">
        <v>-48427</v>
      </c>
      <c r="E111" s="184">
        <f t="shared" si="2"/>
        <v>220183</v>
      </c>
      <c r="F111" s="346"/>
      <c r="G111" s="346"/>
      <c r="I111" s="27"/>
      <c r="J111" s="27"/>
    </row>
    <row r="112" spans="1:10" ht="18" x14ac:dyDescent="0.25">
      <c r="A112" s="243"/>
      <c r="B112" s="543" t="s">
        <v>978</v>
      </c>
      <c r="C112" s="43"/>
      <c r="D112" s="43">
        <v>48427</v>
      </c>
      <c r="E112" s="184">
        <f t="shared" si="2"/>
        <v>48427</v>
      </c>
      <c r="F112" s="346"/>
      <c r="G112" s="346"/>
      <c r="I112" s="27"/>
      <c r="J112" s="27"/>
    </row>
    <row r="113" spans="1:10" ht="15.75" customHeight="1" x14ac:dyDescent="0.25">
      <c r="A113" s="249"/>
      <c r="B113" s="284" t="s">
        <v>930</v>
      </c>
      <c r="C113" s="43">
        <v>680097</v>
      </c>
      <c r="D113" s="43">
        <v>1289</v>
      </c>
      <c r="E113" s="184">
        <f t="shared" si="2"/>
        <v>681386</v>
      </c>
      <c r="F113" s="346"/>
      <c r="G113" s="346"/>
      <c r="I113" s="27"/>
      <c r="J113" s="27"/>
    </row>
    <row r="114" spans="1:10" ht="42" customHeight="1" x14ac:dyDescent="0.25">
      <c r="A114" s="249"/>
      <c r="B114" s="530" t="s">
        <v>931</v>
      </c>
      <c r="C114" s="43">
        <v>165461</v>
      </c>
      <c r="D114" s="43"/>
      <c r="E114" s="184">
        <f t="shared" si="2"/>
        <v>165461</v>
      </c>
      <c r="F114" s="346"/>
      <c r="G114" s="346"/>
      <c r="I114" s="27"/>
      <c r="J114" s="27"/>
    </row>
    <row r="115" spans="1:10" ht="18" x14ac:dyDescent="0.25">
      <c r="A115" s="243"/>
      <c r="B115" s="288" t="s">
        <v>499</v>
      </c>
      <c r="C115" s="43">
        <v>490600</v>
      </c>
      <c r="D115" s="43"/>
      <c r="E115" s="184">
        <f t="shared" si="2"/>
        <v>490600</v>
      </c>
      <c r="F115" s="346"/>
      <c r="G115" s="346"/>
      <c r="I115" s="27"/>
      <c r="J115" s="27"/>
    </row>
    <row r="116" spans="1:10" ht="18" x14ac:dyDescent="0.25">
      <c r="A116" s="243"/>
      <c r="B116" s="288" t="s">
        <v>629</v>
      </c>
      <c r="C116" s="43">
        <v>111020</v>
      </c>
      <c r="D116" s="43"/>
      <c r="E116" s="184">
        <f t="shared" si="2"/>
        <v>111020</v>
      </c>
      <c r="F116" s="346"/>
      <c r="G116" s="346"/>
      <c r="I116" s="27"/>
      <c r="J116" s="27"/>
    </row>
    <row r="117" spans="1:10" ht="18" x14ac:dyDescent="0.25">
      <c r="A117" s="243"/>
      <c r="B117" s="280" t="s">
        <v>575</v>
      </c>
      <c r="C117" s="43">
        <v>34274</v>
      </c>
      <c r="D117" s="43">
        <v>30701</v>
      </c>
      <c r="E117" s="184">
        <f t="shared" si="2"/>
        <v>64975</v>
      </c>
      <c r="F117" s="346"/>
      <c r="G117" s="346"/>
      <c r="I117" s="27"/>
      <c r="J117" s="27"/>
    </row>
    <row r="118" spans="1:10" ht="18" x14ac:dyDescent="0.25">
      <c r="A118" s="243"/>
      <c r="B118" s="280" t="s">
        <v>728</v>
      </c>
      <c r="C118" s="43">
        <v>3614</v>
      </c>
      <c r="D118" s="43"/>
      <c r="E118" s="184">
        <f t="shared" si="2"/>
        <v>3614</v>
      </c>
      <c r="F118" s="346"/>
      <c r="G118" s="346"/>
      <c r="I118" s="27"/>
      <c r="J118" s="27"/>
    </row>
    <row r="119" spans="1:10" ht="15.75" customHeight="1" x14ac:dyDescent="0.25">
      <c r="A119" s="249"/>
      <c r="B119" s="530" t="s">
        <v>466</v>
      </c>
      <c r="C119" s="43">
        <v>100</v>
      </c>
      <c r="D119" s="43"/>
      <c r="E119" s="184">
        <f t="shared" si="2"/>
        <v>100</v>
      </c>
      <c r="F119" s="346"/>
      <c r="G119" s="346"/>
      <c r="I119" s="27"/>
      <c r="J119" s="27"/>
    </row>
    <row r="120" spans="1:10" ht="36" x14ac:dyDescent="0.25">
      <c r="A120" s="572"/>
      <c r="B120" s="530" t="s">
        <v>640</v>
      </c>
      <c r="C120" s="43">
        <v>506</v>
      </c>
      <c r="D120" s="43"/>
      <c r="E120" s="184">
        <f t="shared" si="2"/>
        <v>506</v>
      </c>
      <c r="F120" s="346"/>
      <c r="G120" s="346"/>
      <c r="I120" s="27"/>
      <c r="J120" s="27"/>
    </row>
    <row r="121" spans="1:10" ht="15.75" customHeight="1" x14ac:dyDescent="0.25">
      <c r="A121" s="249"/>
      <c r="B121" s="283" t="s">
        <v>465</v>
      </c>
      <c r="C121" s="43">
        <v>270</v>
      </c>
      <c r="D121" s="43"/>
      <c r="E121" s="184">
        <f t="shared" si="2"/>
        <v>270</v>
      </c>
      <c r="F121" s="346"/>
      <c r="G121" s="346"/>
      <c r="I121" s="27"/>
      <c r="J121" s="27"/>
    </row>
    <row r="122" spans="1:10" ht="18" x14ac:dyDescent="0.25">
      <c r="A122" s="249"/>
      <c r="B122" s="284" t="s">
        <v>628</v>
      </c>
      <c r="C122" s="43">
        <v>0</v>
      </c>
      <c r="D122" s="43"/>
      <c r="E122" s="184">
        <f t="shared" si="2"/>
        <v>0</v>
      </c>
      <c r="F122" s="346"/>
      <c r="G122" s="346"/>
      <c r="I122" s="27"/>
      <c r="J122" s="27"/>
    </row>
    <row r="123" spans="1:10" ht="18" x14ac:dyDescent="0.25">
      <c r="A123" s="243"/>
      <c r="B123" s="280" t="s">
        <v>576</v>
      </c>
      <c r="C123" s="43">
        <v>88</v>
      </c>
      <c r="D123" s="43"/>
      <c r="E123" s="184">
        <f t="shared" si="2"/>
        <v>88</v>
      </c>
      <c r="F123" s="346"/>
      <c r="G123" s="346"/>
      <c r="I123" s="27"/>
      <c r="J123" s="27"/>
    </row>
    <row r="124" spans="1:10" ht="36" x14ac:dyDescent="0.25">
      <c r="A124" s="243"/>
      <c r="B124" s="280" t="s">
        <v>577</v>
      </c>
      <c r="C124" s="43">
        <v>0</v>
      </c>
      <c r="D124" s="43"/>
      <c r="E124" s="184">
        <f t="shared" si="2"/>
        <v>0</v>
      </c>
      <c r="F124" s="346"/>
      <c r="G124" s="346"/>
      <c r="I124" s="27"/>
      <c r="J124" s="27"/>
    </row>
    <row r="125" spans="1:10" ht="18" x14ac:dyDescent="0.25">
      <c r="A125" s="243"/>
      <c r="B125" s="288" t="s">
        <v>489</v>
      </c>
      <c r="C125" s="43">
        <v>148698</v>
      </c>
      <c r="D125" s="43"/>
      <c r="E125" s="184">
        <f t="shared" si="2"/>
        <v>148698</v>
      </c>
      <c r="F125" s="346"/>
      <c r="G125" s="346"/>
      <c r="I125" s="27"/>
      <c r="J125" s="27"/>
    </row>
    <row r="126" spans="1:10" ht="15.75" customHeight="1" x14ac:dyDescent="0.25">
      <c r="A126" s="249"/>
      <c r="B126" s="280" t="s">
        <v>578</v>
      </c>
      <c r="C126" s="43">
        <v>12543</v>
      </c>
      <c r="D126" s="43"/>
      <c r="E126" s="184">
        <f t="shared" si="2"/>
        <v>12543</v>
      </c>
      <c r="F126" s="346"/>
      <c r="G126" s="346"/>
      <c r="I126" s="27"/>
      <c r="J126" s="27"/>
    </row>
    <row r="127" spans="1:10" ht="15.75" customHeight="1" x14ac:dyDescent="0.25">
      <c r="A127" s="249"/>
      <c r="B127" s="280" t="s">
        <v>579</v>
      </c>
      <c r="C127" s="43">
        <v>3640</v>
      </c>
      <c r="D127" s="43">
        <v>6000</v>
      </c>
      <c r="E127" s="184">
        <f t="shared" si="2"/>
        <v>9640</v>
      </c>
      <c r="F127" s="346"/>
      <c r="G127" s="346"/>
      <c r="I127" s="27"/>
      <c r="J127" s="27"/>
    </row>
    <row r="128" spans="1:10" ht="18" x14ac:dyDescent="0.25">
      <c r="A128" s="243"/>
      <c r="B128" s="288" t="s">
        <v>491</v>
      </c>
      <c r="C128" s="43">
        <v>706648</v>
      </c>
      <c r="D128" s="43"/>
      <c r="E128" s="184">
        <f t="shared" si="2"/>
        <v>706648</v>
      </c>
      <c r="F128" s="346"/>
      <c r="G128" s="346"/>
      <c r="I128" s="27"/>
      <c r="J128" s="27"/>
    </row>
    <row r="129" spans="1:10" ht="18" x14ac:dyDescent="0.25">
      <c r="A129" s="243"/>
      <c r="B129" s="288" t="s">
        <v>502</v>
      </c>
      <c r="C129" s="43">
        <v>186282</v>
      </c>
      <c r="D129" s="43"/>
      <c r="E129" s="184">
        <f t="shared" si="2"/>
        <v>186282</v>
      </c>
      <c r="F129" s="346"/>
      <c r="G129" s="346"/>
      <c r="I129" s="27"/>
      <c r="J129" s="27"/>
    </row>
    <row r="130" spans="1:10" ht="36" x14ac:dyDescent="0.25">
      <c r="A130" s="243"/>
      <c r="B130" s="280" t="s">
        <v>580</v>
      </c>
      <c r="C130" s="43">
        <v>52</v>
      </c>
      <c r="D130" s="43"/>
      <c r="E130" s="184">
        <f t="shared" si="2"/>
        <v>52</v>
      </c>
      <c r="F130" s="346"/>
      <c r="G130" s="346"/>
      <c r="I130" s="27"/>
      <c r="J130" s="27"/>
    </row>
    <row r="131" spans="1:10" ht="36" x14ac:dyDescent="0.25">
      <c r="A131" s="243"/>
      <c r="B131" s="280" t="s">
        <v>656</v>
      </c>
      <c r="C131" s="43">
        <v>0</v>
      </c>
      <c r="D131" s="43"/>
      <c r="E131" s="184">
        <f t="shared" si="2"/>
        <v>0</v>
      </c>
      <c r="F131" s="346"/>
      <c r="G131" s="346"/>
      <c r="I131" s="27"/>
      <c r="J131" s="27"/>
    </row>
    <row r="132" spans="1:10" ht="36" x14ac:dyDescent="0.25">
      <c r="A132" s="243"/>
      <c r="B132" s="280" t="s">
        <v>651</v>
      </c>
      <c r="C132" s="43">
        <v>24913</v>
      </c>
      <c r="D132" s="43"/>
      <c r="E132" s="184">
        <f t="shared" si="2"/>
        <v>24913</v>
      </c>
      <c r="F132" s="346"/>
      <c r="G132" s="346"/>
      <c r="I132" s="27"/>
      <c r="J132" s="27"/>
    </row>
    <row r="133" spans="1:10" ht="36" x14ac:dyDescent="0.25">
      <c r="A133" s="243"/>
      <c r="B133" s="280" t="s">
        <v>655</v>
      </c>
      <c r="C133" s="43">
        <v>6726</v>
      </c>
      <c r="D133" s="43"/>
      <c r="E133" s="184">
        <f t="shared" si="2"/>
        <v>6726</v>
      </c>
      <c r="F133" s="346"/>
      <c r="G133" s="346"/>
      <c r="I133" s="27"/>
      <c r="J133" s="27"/>
    </row>
    <row r="134" spans="1:10" ht="36" x14ac:dyDescent="0.25">
      <c r="A134" s="243"/>
      <c r="B134" s="280" t="s">
        <v>652</v>
      </c>
      <c r="C134" s="43">
        <v>49825</v>
      </c>
      <c r="D134" s="43"/>
      <c r="E134" s="184">
        <f t="shared" si="2"/>
        <v>49825</v>
      </c>
      <c r="F134" s="346"/>
      <c r="G134" s="346"/>
      <c r="I134" s="27"/>
      <c r="J134" s="27"/>
    </row>
    <row r="135" spans="1:10" ht="36" x14ac:dyDescent="0.25">
      <c r="A135" s="243"/>
      <c r="B135" s="280" t="s">
        <v>657</v>
      </c>
      <c r="C135" s="43">
        <v>13453</v>
      </c>
      <c r="D135" s="43"/>
      <c r="E135" s="184">
        <f t="shared" si="2"/>
        <v>13453</v>
      </c>
      <c r="F135" s="346"/>
      <c r="G135" s="346"/>
      <c r="I135" s="27"/>
      <c r="J135" s="27"/>
    </row>
    <row r="136" spans="1:10" ht="36" x14ac:dyDescent="0.25">
      <c r="A136" s="243"/>
      <c r="B136" s="280" t="s">
        <v>653</v>
      </c>
      <c r="C136" s="43">
        <v>25000</v>
      </c>
      <c r="D136" s="43"/>
      <c r="E136" s="184">
        <f t="shared" si="2"/>
        <v>25000</v>
      </c>
      <c r="F136" s="346"/>
      <c r="G136" s="346"/>
      <c r="I136" s="27"/>
      <c r="J136" s="27"/>
    </row>
    <row r="137" spans="1:10" ht="36" x14ac:dyDescent="0.25">
      <c r="A137" s="243"/>
      <c r="B137" s="280" t="s">
        <v>658</v>
      </c>
      <c r="C137" s="43">
        <v>6750</v>
      </c>
      <c r="D137" s="43"/>
      <c r="E137" s="184">
        <f t="shared" si="2"/>
        <v>6750</v>
      </c>
      <c r="F137" s="346"/>
      <c r="G137" s="346"/>
      <c r="I137" s="27"/>
      <c r="J137" s="27"/>
    </row>
    <row r="138" spans="1:10" ht="36" x14ac:dyDescent="0.25">
      <c r="A138" s="243"/>
      <c r="B138" s="280" t="s">
        <v>654</v>
      </c>
      <c r="C138" s="43">
        <v>70000</v>
      </c>
      <c r="D138" s="43"/>
      <c r="E138" s="184">
        <f t="shared" si="2"/>
        <v>70000</v>
      </c>
      <c r="F138" s="346"/>
      <c r="G138" s="346"/>
      <c r="I138" s="27"/>
      <c r="J138" s="27"/>
    </row>
    <row r="139" spans="1:10" ht="36" x14ac:dyDescent="0.25">
      <c r="A139" s="243"/>
      <c r="B139" s="280" t="s">
        <v>659</v>
      </c>
      <c r="C139" s="43">
        <v>18900</v>
      </c>
      <c r="D139" s="43"/>
      <c r="E139" s="184">
        <f t="shared" si="2"/>
        <v>18900</v>
      </c>
      <c r="F139" s="346"/>
      <c r="G139" s="346"/>
      <c r="I139" s="27"/>
      <c r="J139" s="27"/>
    </row>
    <row r="140" spans="1:10" ht="36" x14ac:dyDescent="0.25">
      <c r="A140" s="243"/>
      <c r="B140" s="280" t="s">
        <v>942</v>
      </c>
      <c r="C140" s="43">
        <v>18000</v>
      </c>
      <c r="D140" s="43">
        <v>4847</v>
      </c>
      <c r="E140" s="184">
        <f t="shared" si="2"/>
        <v>22847</v>
      </c>
      <c r="F140" s="346"/>
      <c r="G140" s="346"/>
      <c r="I140" s="27"/>
      <c r="J140" s="27"/>
    </row>
    <row r="141" spans="1:10" ht="36" x14ac:dyDescent="0.25">
      <c r="A141" s="243"/>
      <c r="B141" s="280" t="s">
        <v>581</v>
      </c>
      <c r="C141" s="43">
        <v>125782</v>
      </c>
      <c r="D141" s="43"/>
      <c r="E141" s="184">
        <f t="shared" si="2"/>
        <v>125782</v>
      </c>
      <c r="F141" s="346"/>
      <c r="G141" s="346"/>
      <c r="I141" s="27"/>
      <c r="J141" s="27"/>
    </row>
    <row r="142" spans="1:10" ht="36.75" thickBot="1" x14ac:dyDescent="0.3">
      <c r="A142" s="536"/>
      <c r="B142" s="546" t="s">
        <v>660</v>
      </c>
      <c r="C142" s="538">
        <v>29128</v>
      </c>
      <c r="D142" s="538"/>
      <c r="E142" s="692">
        <f t="shared" si="2"/>
        <v>29128</v>
      </c>
      <c r="F142" s="346"/>
      <c r="G142" s="346"/>
      <c r="I142" s="27"/>
      <c r="J142" s="27"/>
    </row>
    <row r="143" spans="1:10" ht="18" x14ac:dyDescent="0.25">
      <c r="A143" s="243"/>
      <c r="B143" s="288" t="s">
        <v>492</v>
      </c>
      <c r="C143" s="43">
        <v>966465</v>
      </c>
      <c r="D143" s="43"/>
      <c r="E143" s="43">
        <f>SUM(C143:D143)</f>
        <v>966465</v>
      </c>
      <c r="F143" s="346"/>
      <c r="G143" s="346"/>
      <c r="I143" s="27"/>
      <c r="J143" s="27"/>
    </row>
    <row r="144" spans="1:10" ht="18" x14ac:dyDescent="0.25">
      <c r="A144" s="243"/>
      <c r="B144" s="288" t="s">
        <v>582</v>
      </c>
      <c r="C144" s="43">
        <v>105848</v>
      </c>
      <c r="D144" s="43"/>
      <c r="E144" s="184">
        <f t="shared" si="2"/>
        <v>105848</v>
      </c>
      <c r="F144" s="346"/>
      <c r="G144" s="346"/>
      <c r="I144" s="27"/>
      <c r="J144" s="27"/>
    </row>
    <row r="145" spans="1:10" ht="36" x14ac:dyDescent="0.25">
      <c r="A145" s="243"/>
      <c r="B145" s="280" t="s">
        <v>650</v>
      </c>
      <c r="C145" s="43">
        <v>2919</v>
      </c>
      <c r="D145" s="43"/>
      <c r="E145" s="184">
        <f t="shared" si="2"/>
        <v>2919</v>
      </c>
      <c r="F145" s="346"/>
      <c r="G145" s="346"/>
      <c r="I145" s="27"/>
      <c r="J145" s="27"/>
    </row>
    <row r="146" spans="1:10" ht="36" x14ac:dyDescent="0.25">
      <c r="A146" s="249"/>
      <c r="B146" s="547" t="s">
        <v>712</v>
      </c>
      <c r="C146" s="43">
        <v>26000</v>
      </c>
      <c r="D146" s="43"/>
      <c r="E146" s="184">
        <f t="shared" si="2"/>
        <v>26000</v>
      </c>
      <c r="F146" s="346"/>
      <c r="G146" s="346"/>
      <c r="I146" s="27"/>
      <c r="J146" s="27"/>
    </row>
    <row r="147" spans="1:10" ht="15.75" customHeight="1" x14ac:dyDescent="0.25">
      <c r="A147" s="249"/>
      <c r="B147" s="284" t="s">
        <v>975</v>
      </c>
      <c r="C147" s="43">
        <v>551632</v>
      </c>
      <c r="D147" s="43">
        <f>-16744+51</f>
        <v>-16693</v>
      </c>
      <c r="E147" s="184">
        <f t="shared" si="2"/>
        <v>534939</v>
      </c>
      <c r="F147" s="346"/>
      <c r="G147" s="346"/>
      <c r="I147" s="27"/>
      <c r="J147" s="27"/>
    </row>
    <row r="148" spans="1:10" ht="15.75" customHeight="1" x14ac:dyDescent="0.25">
      <c r="A148" s="249"/>
      <c r="B148" s="284" t="s">
        <v>976</v>
      </c>
      <c r="C148" s="43">
        <v>126688</v>
      </c>
      <c r="D148" s="43"/>
      <c r="E148" s="184">
        <f t="shared" si="2"/>
        <v>126688</v>
      </c>
      <c r="F148" s="346"/>
      <c r="G148" s="346"/>
      <c r="I148" s="27"/>
      <c r="J148" s="27"/>
    </row>
    <row r="149" spans="1:10" ht="18" x14ac:dyDescent="0.25">
      <c r="A149" s="243"/>
      <c r="B149" s="284" t="s">
        <v>928</v>
      </c>
      <c r="C149" s="43">
        <v>776347</v>
      </c>
      <c r="D149" s="43"/>
      <c r="E149" s="184">
        <f t="shared" si="2"/>
        <v>776347</v>
      </c>
      <c r="F149" s="346"/>
      <c r="G149" s="346"/>
      <c r="I149" s="27"/>
      <c r="J149" s="27"/>
    </row>
    <row r="150" spans="1:10" ht="18" x14ac:dyDescent="0.25">
      <c r="A150" s="243"/>
      <c r="B150" s="284" t="s">
        <v>929</v>
      </c>
      <c r="C150" s="43">
        <v>174929</v>
      </c>
      <c r="D150" s="43"/>
      <c r="E150" s="184">
        <f t="shared" si="2"/>
        <v>174929</v>
      </c>
      <c r="F150" s="346"/>
      <c r="G150" s="346"/>
      <c r="I150" s="27"/>
      <c r="J150" s="27"/>
    </row>
    <row r="151" spans="1:10" ht="18" x14ac:dyDescent="0.25">
      <c r="A151" s="243"/>
      <c r="B151" s="284" t="s">
        <v>692</v>
      </c>
      <c r="C151" s="43">
        <v>2400</v>
      </c>
      <c r="D151" s="43"/>
      <c r="E151" s="184">
        <f t="shared" si="2"/>
        <v>2400</v>
      </c>
      <c r="F151" s="346"/>
      <c r="G151" s="346"/>
      <c r="I151" s="27"/>
      <c r="J151" s="27"/>
    </row>
    <row r="152" spans="1:10" ht="18" x14ac:dyDescent="0.25">
      <c r="A152" s="243"/>
      <c r="B152" s="288" t="s">
        <v>498</v>
      </c>
      <c r="C152" s="43">
        <v>82928</v>
      </c>
      <c r="D152" s="43"/>
      <c r="E152" s="184">
        <f t="shared" si="2"/>
        <v>82928</v>
      </c>
      <c r="F152" s="346"/>
      <c r="G152" s="346"/>
      <c r="I152" s="27"/>
      <c r="J152" s="27"/>
    </row>
    <row r="153" spans="1:10" ht="18" x14ac:dyDescent="0.25">
      <c r="A153" s="243"/>
      <c r="B153" s="280" t="s">
        <v>583</v>
      </c>
      <c r="C153" s="43">
        <v>0</v>
      </c>
      <c r="D153" s="43"/>
      <c r="E153" s="184">
        <f t="shared" si="2"/>
        <v>0</v>
      </c>
      <c r="F153" s="346"/>
      <c r="G153" s="346"/>
      <c r="I153" s="27"/>
      <c r="J153" s="27"/>
    </row>
    <row r="154" spans="1:10" ht="18" x14ac:dyDescent="0.25">
      <c r="A154" s="243"/>
      <c r="B154" s="288" t="s">
        <v>493</v>
      </c>
      <c r="C154" s="43">
        <v>42071</v>
      </c>
      <c r="D154" s="43"/>
      <c r="E154" s="184">
        <f t="shared" si="2"/>
        <v>42071</v>
      </c>
      <c r="F154" s="346"/>
      <c r="G154" s="346"/>
      <c r="I154" s="27"/>
      <c r="J154" s="27"/>
    </row>
    <row r="155" spans="1:10" ht="18" x14ac:dyDescent="0.25">
      <c r="A155" s="243"/>
      <c r="B155" s="288" t="s">
        <v>584</v>
      </c>
      <c r="C155" s="43">
        <v>13899</v>
      </c>
      <c r="D155" s="43"/>
      <c r="E155" s="184">
        <f t="shared" ref="E155:E175" si="3">C155+D155</f>
        <v>13899</v>
      </c>
      <c r="F155" s="346"/>
      <c r="G155" s="346"/>
      <c r="I155" s="27"/>
      <c r="J155" s="27"/>
    </row>
    <row r="156" spans="1:10" ht="18" x14ac:dyDescent="0.25">
      <c r="A156" s="243"/>
      <c r="B156" s="288" t="s">
        <v>495</v>
      </c>
      <c r="C156" s="43">
        <v>75522</v>
      </c>
      <c r="D156" s="43"/>
      <c r="E156" s="184">
        <f t="shared" si="3"/>
        <v>75522</v>
      </c>
      <c r="F156" s="346"/>
      <c r="G156" s="346"/>
      <c r="I156" s="27"/>
      <c r="J156" s="27"/>
    </row>
    <row r="157" spans="1:10" ht="15.75" customHeight="1" x14ac:dyDescent="0.25">
      <c r="A157" s="249"/>
      <c r="B157" s="280" t="s">
        <v>585</v>
      </c>
      <c r="C157" s="43">
        <v>0</v>
      </c>
      <c r="D157" s="43"/>
      <c r="E157" s="184">
        <f t="shared" si="3"/>
        <v>0</v>
      </c>
      <c r="F157" s="346"/>
      <c r="G157" s="346"/>
      <c r="I157" s="27"/>
      <c r="J157" s="27"/>
    </row>
    <row r="158" spans="1:10" ht="18" x14ac:dyDescent="0.25">
      <c r="A158" s="243"/>
      <c r="B158" s="288" t="s">
        <v>494</v>
      </c>
      <c r="C158" s="43">
        <v>46577</v>
      </c>
      <c r="D158" s="43"/>
      <c r="E158" s="184">
        <f t="shared" si="3"/>
        <v>46577</v>
      </c>
      <c r="F158" s="346"/>
      <c r="G158" s="346"/>
      <c r="I158" s="27"/>
      <c r="J158" s="27"/>
    </row>
    <row r="159" spans="1:10" ht="15.75" customHeight="1" x14ac:dyDescent="0.25">
      <c r="A159" s="249"/>
      <c r="B159" s="280" t="s">
        <v>586</v>
      </c>
      <c r="C159" s="43">
        <v>0</v>
      </c>
      <c r="D159" s="43"/>
      <c r="E159" s="184">
        <f t="shared" si="3"/>
        <v>0</v>
      </c>
      <c r="F159" s="346"/>
      <c r="G159" s="346"/>
      <c r="I159" s="27"/>
      <c r="J159" s="27"/>
    </row>
    <row r="160" spans="1:10" ht="15.75" customHeight="1" x14ac:dyDescent="0.25">
      <c r="A160" s="249"/>
      <c r="B160" s="284" t="s">
        <v>467</v>
      </c>
      <c r="C160" s="43">
        <v>0</v>
      </c>
      <c r="D160" s="43"/>
      <c r="E160" s="184">
        <f t="shared" si="3"/>
        <v>0</v>
      </c>
      <c r="F160" s="346"/>
      <c r="G160" s="346"/>
      <c r="I160" s="27"/>
      <c r="J160" s="27"/>
    </row>
    <row r="161" spans="1:10" ht="15.75" customHeight="1" x14ac:dyDescent="0.25">
      <c r="A161" s="249"/>
      <c r="B161" s="284" t="s">
        <v>587</v>
      </c>
      <c r="C161" s="43">
        <v>0</v>
      </c>
      <c r="D161" s="43"/>
      <c r="E161" s="184">
        <f t="shared" si="3"/>
        <v>0</v>
      </c>
      <c r="F161" s="346"/>
      <c r="G161" s="346"/>
      <c r="I161" s="27"/>
      <c r="J161" s="27"/>
    </row>
    <row r="162" spans="1:10" ht="36" x14ac:dyDescent="0.25">
      <c r="A162" s="249"/>
      <c r="B162" s="280" t="s">
        <v>588</v>
      </c>
      <c r="C162" s="43">
        <v>46662</v>
      </c>
      <c r="D162" s="43"/>
      <c r="E162" s="184">
        <f t="shared" si="3"/>
        <v>46662</v>
      </c>
      <c r="F162" s="346"/>
      <c r="G162" s="346"/>
      <c r="I162" s="27"/>
      <c r="J162" s="27"/>
    </row>
    <row r="163" spans="1:10" ht="50.1" customHeight="1" x14ac:dyDescent="0.25">
      <c r="A163" s="249"/>
      <c r="B163" s="530" t="s">
        <v>868</v>
      </c>
      <c r="C163" s="43">
        <v>685928</v>
      </c>
      <c r="D163" s="43">
        <f>-136938-11237</f>
        <v>-148175</v>
      </c>
      <c r="E163" s="184">
        <f t="shared" si="3"/>
        <v>537753</v>
      </c>
      <c r="F163" s="346"/>
      <c r="G163" s="346"/>
      <c r="I163" s="27"/>
      <c r="J163" s="27"/>
    </row>
    <row r="164" spans="1:10" ht="50.1" customHeight="1" x14ac:dyDescent="0.25">
      <c r="A164" s="249"/>
      <c r="B164" s="530" t="s">
        <v>979</v>
      </c>
      <c r="C164" s="43"/>
      <c r="D164" s="43">
        <f>136938+11237</f>
        <v>148175</v>
      </c>
      <c r="E164" s="184">
        <f t="shared" si="3"/>
        <v>148175</v>
      </c>
      <c r="F164" s="346"/>
      <c r="G164" s="346"/>
      <c r="I164" s="27"/>
      <c r="J164" s="27"/>
    </row>
    <row r="165" spans="1:10" ht="36" x14ac:dyDescent="0.25">
      <c r="A165" s="249"/>
      <c r="B165" s="530" t="s">
        <v>869</v>
      </c>
      <c r="C165" s="43">
        <v>13329</v>
      </c>
      <c r="D165" s="43"/>
      <c r="E165" s="184">
        <f t="shared" si="3"/>
        <v>13329</v>
      </c>
      <c r="F165" s="346"/>
      <c r="G165" s="346"/>
      <c r="I165" s="27"/>
      <c r="J165" s="27"/>
    </row>
    <row r="166" spans="1:10" ht="15.75" customHeight="1" x14ac:dyDescent="0.25">
      <c r="A166" s="249"/>
      <c r="B166" s="280" t="s">
        <v>490</v>
      </c>
      <c r="C166" s="43">
        <v>17434</v>
      </c>
      <c r="D166" s="43"/>
      <c r="E166" s="184">
        <f t="shared" si="3"/>
        <v>17434</v>
      </c>
      <c r="F166" s="346"/>
      <c r="G166" s="346"/>
      <c r="I166" s="27"/>
      <c r="J166" s="27"/>
    </row>
    <row r="167" spans="1:10" ht="15.75" customHeight="1" x14ac:dyDescent="0.25">
      <c r="A167" s="249"/>
      <c r="B167" s="280" t="s">
        <v>589</v>
      </c>
      <c r="C167" s="43">
        <v>8259</v>
      </c>
      <c r="D167" s="43"/>
      <c r="E167" s="184">
        <f t="shared" si="3"/>
        <v>8259</v>
      </c>
      <c r="F167" s="346"/>
      <c r="G167" s="346"/>
      <c r="I167" s="27"/>
      <c r="J167" s="27"/>
    </row>
    <row r="168" spans="1:10" ht="15.75" customHeight="1" x14ac:dyDescent="0.25">
      <c r="A168" s="249"/>
      <c r="B168" s="280" t="s">
        <v>497</v>
      </c>
      <c r="C168" s="43">
        <v>144758</v>
      </c>
      <c r="D168" s="43">
        <v>19500</v>
      </c>
      <c r="E168" s="184">
        <f t="shared" si="3"/>
        <v>164258</v>
      </c>
      <c r="F168" s="346"/>
      <c r="G168" s="346"/>
      <c r="I168" s="27"/>
      <c r="J168" s="27"/>
    </row>
    <row r="169" spans="1:10" ht="15.75" customHeight="1" x14ac:dyDescent="0.25">
      <c r="A169" s="249"/>
      <c r="B169" s="280" t="s">
        <v>638</v>
      </c>
      <c r="C169" s="43">
        <v>4320</v>
      </c>
      <c r="D169" s="43"/>
      <c r="E169" s="184">
        <f t="shared" si="3"/>
        <v>4320</v>
      </c>
      <c r="F169" s="346"/>
      <c r="G169" s="346"/>
      <c r="I169" s="27"/>
      <c r="J169" s="27"/>
    </row>
    <row r="170" spans="1:10" ht="15.75" customHeight="1" x14ac:dyDescent="0.25">
      <c r="A170" s="249"/>
      <c r="B170" s="280" t="s">
        <v>925</v>
      </c>
      <c r="C170" s="43">
        <v>74</v>
      </c>
      <c r="D170" s="43"/>
      <c r="E170" s="184">
        <f t="shared" si="3"/>
        <v>74</v>
      </c>
      <c r="F170" s="346"/>
      <c r="G170" s="346"/>
      <c r="I170" s="27"/>
      <c r="J170" s="27"/>
    </row>
    <row r="171" spans="1:10" ht="37.5" customHeight="1" x14ac:dyDescent="0.25">
      <c r="A171" s="249"/>
      <c r="B171" s="280" t="s">
        <v>866</v>
      </c>
      <c r="C171" s="43">
        <v>231030</v>
      </c>
      <c r="D171" s="43">
        <v>-1055</v>
      </c>
      <c r="E171" s="184">
        <f t="shared" si="3"/>
        <v>229975</v>
      </c>
      <c r="F171" s="346"/>
      <c r="G171" s="346"/>
      <c r="I171" s="27"/>
      <c r="J171" s="27"/>
    </row>
    <row r="172" spans="1:10" ht="42.6" customHeight="1" x14ac:dyDescent="0.25">
      <c r="A172" s="249"/>
      <c r="B172" s="280" t="s">
        <v>917</v>
      </c>
      <c r="C172" s="43">
        <v>401755</v>
      </c>
      <c r="D172" s="43">
        <v>-1800</v>
      </c>
      <c r="E172" s="184">
        <f t="shared" si="3"/>
        <v>399955</v>
      </c>
      <c r="F172" s="346"/>
      <c r="G172" s="346"/>
      <c r="I172" s="27"/>
      <c r="J172" s="27"/>
    </row>
    <row r="173" spans="1:10" ht="37.5" customHeight="1" x14ac:dyDescent="0.25">
      <c r="A173" s="249"/>
      <c r="B173" s="280" t="s">
        <v>968</v>
      </c>
      <c r="C173" s="43"/>
      <c r="D173" s="43">
        <v>4364</v>
      </c>
      <c r="E173" s="184">
        <f t="shared" si="3"/>
        <v>4364</v>
      </c>
      <c r="F173" s="346"/>
      <c r="G173" s="346"/>
      <c r="I173" s="27"/>
      <c r="J173" s="27"/>
    </row>
    <row r="174" spans="1:10" ht="37.5" customHeight="1" x14ac:dyDescent="0.25">
      <c r="A174" s="249"/>
      <c r="B174" s="280" t="s">
        <v>998</v>
      </c>
      <c r="C174" s="43"/>
      <c r="D174" s="43">
        <v>10085</v>
      </c>
      <c r="E174" s="184">
        <f t="shared" si="3"/>
        <v>10085</v>
      </c>
      <c r="F174" s="346"/>
      <c r="G174" s="346"/>
      <c r="I174" s="27"/>
      <c r="J174" s="27"/>
    </row>
    <row r="175" spans="1:10" ht="18.600000000000001" customHeight="1" thickBot="1" x14ac:dyDescent="0.3">
      <c r="A175" s="249"/>
      <c r="B175" s="564" t="s">
        <v>679</v>
      </c>
      <c r="C175" s="333">
        <v>0</v>
      </c>
      <c r="D175" s="333"/>
      <c r="E175" s="184">
        <f t="shared" si="3"/>
        <v>0</v>
      </c>
      <c r="F175" s="346"/>
      <c r="G175" s="346"/>
      <c r="I175" s="27"/>
      <c r="J175" s="27"/>
    </row>
    <row r="176" spans="1:10" ht="18.75" thickBot="1" x14ac:dyDescent="0.3">
      <c r="A176" s="414"/>
      <c r="B176" s="295" t="s">
        <v>361</v>
      </c>
      <c r="C176" s="415">
        <f>SUM(C37:C175)</f>
        <v>15297606</v>
      </c>
      <c r="D176" s="415">
        <f>SUM(D37:D175)</f>
        <v>-229947</v>
      </c>
      <c r="E176" s="415">
        <f>SUM(E37:E175)</f>
        <v>15067659</v>
      </c>
      <c r="F176" s="346"/>
      <c r="G176" s="346"/>
      <c r="I176" s="27"/>
      <c r="J176" s="27"/>
    </row>
    <row r="177" spans="1:10" ht="15" customHeight="1" x14ac:dyDescent="0.25">
      <c r="A177" s="242" t="s">
        <v>326</v>
      </c>
      <c r="B177" s="562" t="s">
        <v>330</v>
      </c>
      <c r="C177" s="413"/>
      <c r="D177" s="413"/>
      <c r="E177" s="413"/>
      <c r="F177" s="346"/>
      <c r="G177" s="346"/>
      <c r="I177" s="27"/>
      <c r="J177" s="27"/>
    </row>
    <row r="178" spans="1:10" ht="15.75" customHeight="1" x14ac:dyDescent="0.25">
      <c r="A178" s="249"/>
      <c r="B178" s="547"/>
      <c r="C178" s="43"/>
      <c r="D178" s="43"/>
      <c r="E178" s="43"/>
      <c r="F178" s="346"/>
      <c r="G178" s="346"/>
      <c r="I178" s="27"/>
      <c r="J178" s="27"/>
    </row>
    <row r="179" spans="1:10" ht="15" hidden="1" customHeight="1" x14ac:dyDescent="0.25">
      <c r="A179" s="242"/>
      <c r="B179" s="289" t="s">
        <v>113</v>
      </c>
      <c r="C179" s="294"/>
      <c r="D179" s="294"/>
      <c r="E179" s="306"/>
      <c r="F179" s="346"/>
      <c r="G179" s="346"/>
      <c r="I179" s="27"/>
      <c r="J179" s="27"/>
    </row>
    <row r="180" spans="1:10" ht="15" customHeight="1" x14ac:dyDescent="0.25">
      <c r="A180" s="244"/>
      <c r="B180" s="285" t="s">
        <v>75</v>
      </c>
      <c r="C180" s="183">
        <f>SUM(C178)</f>
        <v>0</v>
      </c>
      <c r="D180" s="183">
        <f>SUM(D178)</f>
        <v>0</v>
      </c>
      <c r="E180" s="183">
        <f>SUM(E178)</f>
        <v>0</v>
      </c>
      <c r="F180" s="346"/>
      <c r="G180" s="346"/>
      <c r="I180" s="27"/>
      <c r="J180" s="27"/>
    </row>
    <row r="181" spans="1:10" ht="18.75" thickBot="1" x14ac:dyDescent="0.3">
      <c r="A181" s="250" t="s">
        <v>327</v>
      </c>
      <c r="B181" s="290" t="s">
        <v>56</v>
      </c>
      <c r="C181" s="186">
        <v>13569</v>
      </c>
      <c r="D181" s="186"/>
      <c r="E181" s="186">
        <f>C181+D181</f>
        <v>13569</v>
      </c>
      <c r="F181" s="346"/>
      <c r="G181" s="346"/>
      <c r="I181" s="27"/>
      <c r="J181" s="27"/>
    </row>
    <row r="182" spans="1:10" ht="20.25" customHeight="1" thickBot="1" x14ac:dyDescent="0.35">
      <c r="A182" s="539" t="s">
        <v>550</v>
      </c>
      <c r="B182" s="406"/>
      <c r="C182" s="187">
        <f>C20+C26+C29+C34+C176+C180+C181</f>
        <v>15751624</v>
      </c>
      <c r="D182" s="187">
        <f>D20+D26+D29+D34+D176+D180+D181</f>
        <v>-232480</v>
      </c>
      <c r="E182" s="187">
        <f>E20+E26+E29+E34+E176+E180+E181</f>
        <v>15519144</v>
      </c>
      <c r="F182" s="346"/>
      <c r="G182" s="346"/>
      <c r="I182" s="27"/>
      <c r="J182" s="27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78:B78"/>
    <mergeCell ref="A2:E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5" fitToHeight="0" orientation="portrait" r:id="rId3"/>
  <headerFooter alignWithMargins="0">
    <oddHeader xml:space="preserve">&amp;R&amp;"Times New Roman CE,Félkövér"&amp;20 18. melléklet a …./2019. (…….) önkormányzati rendelethez
„18. melléklet a 5/2019. (IV. 1.) önkormányzati rendelethez”
</oddHeader>
  </headerFooter>
  <rowBreaks count="2" manualBreakCount="2">
    <brk id="89" max="4" man="1"/>
    <brk id="142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6"/>
  <sheetViews>
    <sheetView zoomScaleNormal="100" workbookViewId="0">
      <selection activeCell="C120" sqref="C120"/>
    </sheetView>
  </sheetViews>
  <sheetFormatPr defaultColWidth="9" defaultRowHeight="15" x14ac:dyDescent="0.2"/>
  <cols>
    <col min="1" max="1" width="13.6640625" style="677" bestFit="1" customWidth="1"/>
    <col min="2" max="2" width="143.6640625" style="677" customWidth="1"/>
    <col min="3" max="6" width="9" style="677"/>
    <col min="7" max="7" width="12.6640625" style="677" customWidth="1"/>
    <col min="8" max="11" width="9" style="677"/>
    <col min="12" max="12" width="117.5" style="677" customWidth="1"/>
    <col min="13" max="16384" width="9" style="677"/>
  </cols>
  <sheetData>
    <row r="1" spans="1:6" x14ac:dyDescent="0.2">
      <c r="A1" s="1033" t="s">
        <v>748</v>
      </c>
      <c r="B1" s="1033"/>
    </row>
    <row r="2" spans="1:6" x14ac:dyDescent="0.2">
      <c r="A2" s="1033" t="s">
        <v>749</v>
      </c>
      <c r="B2" s="1033"/>
    </row>
    <row r="3" spans="1:6" x14ac:dyDescent="0.2">
      <c r="A3" s="1033" t="s">
        <v>752</v>
      </c>
      <c r="B3" s="1033"/>
    </row>
    <row r="4" spans="1:6" x14ac:dyDescent="0.2">
      <c r="A4" s="1033" t="s">
        <v>753</v>
      </c>
      <c r="B4" s="1033"/>
    </row>
    <row r="5" spans="1:6" ht="18.75" thickBot="1" x14ac:dyDescent="0.3">
      <c r="A5" s="248"/>
      <c r="B5" s="248"/>
    </row>
    <row r="6" spans="1:6" ht="22.5" customHeight="1" x14ac:dyDescent="0.25">
      <c r="A6" s="679" t="s">
        <v>670</v>
      </c>
      <c r="B6" s="680" t="s">
        <v>303</v>
      </c>
    </row>
    <row r="7" spans="1:6" x14ac:dyDescent="0.2">
      <c r="A7" s="681" t="s">
        <v>320</v>
      </c>
      <c r="B7" s="682" t="s">
        <v>754</v>
      </c>
    </row>
    <row r="8" spans="1:6" x14ac:dyDescent="0.2">
      <c r="A8" s="681" t="s">
        <v>321</v>
      </c>
      <c r="B8" s="682" t="s">
        <v>755</v>
      </c>
    </row>
    <row r="9" spans="1:6" x14ac:dyDescent="0.2">
      <c r="A9" s="681" t="s">
        <v>322</v>
      </c>
      <c r="B9" s="682" t="s">
        <v>756</v>
      </c>
      <c r="F9" s="678"/>
    </row>
    <row r="10" spans="1:6" x14ac:dyDescent="0.2">
      <c r="A10" s="681" t="s">
        <v>323</v>
      </c>
      <c r="B10" s="682" t="s">
        <v>860</v>
      </c>
      <c r="F10" s="686"/>
    </row>
    <row r="11" spans="1:6" x14ac:dyDescent="0.2">
      <c r="A11" s="681" t="s">
        <v>325</v>
      </c>
      <c r="B11" s="682" t="s">
        <v>757</v>
      </c>
    </row>
    <row r="12" spans="1:6" x14ac:dyDescent="0.2">
      <c r="A12" s="681" t="s">
        <v>326</v>
      </c>
      <c r="B12" s="682" t="s">
        <v>758</v>
      </c>
    </row>
    <row r="13" spans="1:6" x14ac:dyDescent="0.2">
      <c r="A13" s="681" t="s">
        <v>327</v>
      </c>
      <c r="B13" s="682" t="s">
        <v>759</v>
      </c>
    </row>
    <row r="14" spans="1:6" x14ac:dyDescent="0.2">
      <c r="A14" s="681" t="s">
        <v>328</v>
      </c>
      <c r="B14" s="682" t="s">
        <v>851</v>
      </c>
    </row>
    <row r="15" spans="1:6" ht="15.75" customHeight="1" x14ac:dyDescent="0.2">
      <c r="A15" s="681" t="s">
        <v>390</v>
      </c>
      <c r="B15" s="682" t="s">
        <v>760</v>
      </c>
    </row>
    <row r="16" spans="1:6" ht="15" customHeight="1" x14ac:dyDescent="0.2">
      <c r="A16" s="681" t="s">
        <v>391</v>
      </c>
      <c r="B16" s="682" t="s">
        <v>852</v>
      </c>
    </row>
    <row r="17" spans="1:2" ht="15" customHeight="1" x14ac:dyDescent="0.2">
      <c r="A17" s="681" t="s">
        <v>392</v>
      </c>
      <c r="B17" s="682" t="s">
        <v>761</v>
      </c>
    </row>
    <row r="18" spans="1:2" x14ac:dyDescent="0.2">
      <c r="A18" s="681" t="s">
        <v>393</v>
      </c>
      <c r="B18" s="682" t="s">
        <v>762</v>
      </c>
    </row>
    <row r="19" spans="1:2" x14ac:dyDescent="0.2">
      <c r="A19" s="681" t="s">
        <v>764</v>
      </c>
      <c r="B19" s="682" t="s">
        <v>763</v>
      </c>
    </row>
    <row r="20" spans="1:2" x14ac:dyDescent="0.2">
      <c r="A20" s="681" t="s">
        <v>766</v>
      </c>
      <c r="B20" s="682" t="s">
        <v>765</v>
      </c>
    </row>
    <row r="21" spans="1:2" x14ac:dyDescent="0.2">
      <c r="A21" s="681" t="s">
        <v>768</v>
      </c>
      <c r="B21" s="682" t="s">
        <v>767</v>
      </c>
    </row>
    <row r="22" spans="1:2" x14ac:dyDescent="0.2">
      <c r="A22" s="681" t="s">
        <v>770</v>
      </c>
      <c r="B22" s="683" t="s">
        <v>769</v>
      </c>
    </row>
    <row r="23" spans="1:2" x14ac:dyDescent="0.2">
      <c r="A23" s="681" t="s">
        <v>772</v>
      </c>
      <c r="B23" s="682" t="s">
        <v>771</v>
      </c>
    </row>
    <row r="24" spans="1:2" x14ac:dyDescent="0.2">
      <c r="A24" s="681" t="s">
        <v>774</v>
      </c>
      <c r="B24" s="683" t="s">
        <v>773</v>
      </c>
    </row>
    <row r="25" spans="1:2" ht="13.5" customHeight="1" x14ac:dyDescent="0.2">
      <c r="A25" s="681" t="s">
        <v>776</v>
      </c>
      <c r="B25" s="682" t="s">
        <v>775</v>
      </c>
    </row>
    <row r="26" spans="1:2" ht="17.25" customHeight="1" x14ac:dyDescent="0.2">
      <c r="A26" s="681" t="s">
        <v>778</v>
      </c>
      <c r="B26" s="682" t="s">
        <v>777</v>
      </c>
    </row>
    <row r="27" spans="1:2" x14ac:dyDescent="0.2">
      <c r="A27" s="681" t="s">
        <v>780</v>
      </c>
      <c r="B27" s="682" t="s">
        <v>779</v>
      </c>
    </row>
    <row r="28" spans="1:2" x14ac:dyDescent="0.2">
      <c r="A28" s="681" t="s">
        <v>782</v>
      </c>
      <c r="B28" s="682" t="s">
        <v>781</v>
      </c>
    </row>
    <row r="29" spans="1:2" x14ac:dyDescent="0.2">
      <c r="A29" s="681" t="s">
        <v>783</v>
      </c>
      <c r="B29" s="682" t="s">
        <v>853</v>
      </c>
    </row>
    <row r="30" spans="1:2" x14ac:dyDescent="0.2">
      <c r="A30" s="681" t="s">
        <v>784</v>
      </c>
      <c r="B30" s="682" t="s">
        <v>854</v>
      </c>
    </row>
    <row r="31" spans="1:2" x14ac:dyDescent="0.2">
      <c r="A31" s="681" t="s">
        <v>786</v>
      </c>
      <c r="B31" s="682" t="s">
        <v>785</v>
      </c>
    </row>
    <row r="32" spans="1:2" ht="29.25" customHeight="1" x14ac:dyDescent="0.2">
      <c r="A32" s="681" t="s">
        <v>787</v>
      </c>
      <c r="B32" s="683" t="s">
        <v>855</v>
      </c>
    </row>
    <row r="33" spans="1:2" x14ac:dyDescent="0.2">
      <c r="A33" s="681" t="s">
        <v>789</v>
      </c>
      <c r="B33" s="682" t="s">
        <v>788</v>
      </c>
    </row>
    <row r="34" spans="1:2" x14ac:dyDescent="0.2">
      <c r="A34" s="681" t="s">
        <v>791</v>
      </c>
      <c r="B34" s="682" t="s">
        <v>790</v>
      </c>
    </row>
    <row r="35" spans="1:2" x14ac:dyDescent="0.2">
      <c r="A35" s="681" t="s">
        <v>793</v>
      </c>
      <c r="B35" s="682" t="s">
        <v>792</v>
      </c>
    </row>
    <row r="36" spans="1:2" x14ac:dyDescent="0.2">
      <c r="A36" s="681" t="s">
        <v>795</v>
      </c>
      <c r="B36" s="682" t="s">
        <v>794</v>
      </c>
    </row>
    <row r="37" spans="1:2" x14ac:dyDescent="0.2">
      <c r="A37" s="681" t="s">
        <v>797</v>
      </c>
      <c r="B37" s="682" t="s">
        <v>796</v>
      </c>
    </row>
    <row r="38" spans="1:2" x14ac:dyDescent="0.2">
      <c r="A38" s="681" t="s">
        <v>799</v>
      </c>
      <c r="B38" s="682" t="s">
        <v>798</v>
      </c>
    </row>
    <row r="39" spans="1:2" x14ac:dyDescent="0.2">
      <c r="A39" s="681" t="s">
        <v>801</v>
      </c>
      <c r="B39" s="682" t="s">
        <v>800</v>
      </c>
    </row>
    <row r="40" spans="1:2" x14ac:dyDescent="0.2">
      <c r="A40" s="681" t="s">
        <v>803</v>
      </c>
      <c r="B40" s="682" t="s">
        <v>802</v>
      </c>
    </row>
    <row r="41" spans="1:2" x14ac:dyDescent="0.2">
      <c r="A41" s="681" t="s">
        <v>805</v>
      </c>
      <c r="B41" s="682" t="s">
        <v>804</v>
      </c>
    </row>
    <row r="42" spans="1:2" x14ac:dyDescent="0.2">
      <c r="A42" s="681" t="s">
        <v>806</v>
      </c>
      <c r="B42" s="682" t="s">
        <v>856</v>
      </c>
    </row>
    <row r="43" spans="1:2" x14ac:dyDescent="0.2">
      <c r="A43" s="681" t="s">
        <v>808</v>
      </c>
      <c r="B43" s="682" t="s">
        <v>807</v>
      </c>
    </row>
    <row r="44" spans="1:2" x14ac:dyDescent="0.2">
      <c r="A44" s="681" t="s">
        <v>810</v>
      </c>
      <c r="B44" s="682" t="s">
        <v>809</v>
      </c>
    </row>
    <row r="45" spans="1:2" x14ac:dyDescent="0.2">
      <c r="A45" s="681" t="s">
        <v>812</v>
      </c>
      <c r="B45" s="682" t="s">
        <v>811</v>
      </c>
    </row>
    <row r="46" spans="1:2" x14ac:dyDescent="0.2">
      <c r="A46" s="681" t="s">
        <v>814</v>
      </c>
      <c r="B46" s="682" t="s">
        <v>813</v>
      </c>
    </row>
    <row r="47" spans="1:2" x14ac:dyDescent="0.2">
      <c r="A47" s="681" t="s">
        <v>816</v>
      </c>
      <c r="B47" s="682" t="s">
        <v>815</v>
      </c>
    </row>
    <row r="48" spans="1:2" ht="33" customHeight="1" x14ac:dyDescent="0.2">
      <c r="A48" s="681" t="s">
        <v>817</v>
      </c>
      <c r="B48" s="683" t="s">
        <v>857</v>
      </c>
    </row>
    <row r="49" spans="1:2" x14ac:dyDescent="0.2">
      <c r="A49" s="681" t="s">
        <v>818</v>
      </c>
      <c r="B49" s="682" t="s">
        <v>819</v>
      </c>
    </row>
    <row r="50" spans="1:2" x14ac:dyDescent="0.2">
      <c r="A50" s="681" t="s">
        <v>820</v>
      </c>
      <c r="B50" s="682" t="s">
        <v>822</v>
      </c>
    </row>
    <row r="51" spans="1:2" x14ac:dyDescent="0.2">
      <c r="A51" s="681" t="s">
        <v>821</v>
      </c>
      <c r="B51" s="682" t="s">
        <v>858</v>
      </c>
    </row>
    <row r="52" spans="1:2" x14ac:dyDescent="0.2">
      <c r="A52" s="681" t="s">
        <v>823</v>
      </c>
      <c r="B52" s="682" t="s">
        <v>825</v>
      </c>
    </row>
    <row r="53" spans="1:2" x14ac:dyDescent="0.2">
      <c r="A53" s="681" t="s">
        <v>824</v>
      </c>
      <c r="B53" s="682" t="s">
        <v>827</v>
      </c>
    </row>
    <row r="54" spans="1:2" x14ac:dyDescent="0.2">
      <c r="A54" s="681" t="s">
        <v>826</v>
      </c>
      <c r="B54" s="682" t="s">
        <v>875</v>
      </c>
    </row>
    <row r="55" spans="1:2" x14ac:dyDescent="0.2">
      <c r="A55" s="681" t="s">
        <v>828</v>
      </c>
      <c r="B55" s="682" t="s">
        <v>830</v>
      </c>
    </row>
    <row r="56" spans="1:2" x14ac:dyDescent="0.2">
      <c r="A56" s="681" t="s">
        <v>829</v>
      </c>
      <c r="B56" s="682" t="s">
        <v>832</v>
      </c>
    </row>
    <row r="57" spans="1:2" x14ac:dyDescent="0.2">
      <c r="A57" s="681" t="s">
        <v>831</v>
      </c>
      <c r="B57" s="682" t="s">
        <v>834</v>
      </c>
    </row>
    <row r="58" spans="1:2" x14ac:dyDescent="0.2">
      <c r="A58" s="681" t="s">
        <v>833</v>
      </c>
      <c r="B58" s="682" t="s">
        <v>836</v>
      </c>
    </row>
    <row r="59" spans="1:2" x14ac:dyDescent="0.2">
      <c r="A59" s="681" t="s">
        <v>835</v>
      </c>
      <c r="B59" s="682" t="s">
        <v>838</v>
      </c>
    </row>
    <row r="60" spans="1:2" x14ac:dyDescent="0.2">
      <c r="A60" s="681" t="s">
        <v>837</v>
      </c>
      <c r="B60" s="682" t="s">
        <v>840</v>
      </c>
    </row>
    <row r="61" spans="1:2" x14ac:dyDescent="0.2">
      <c r="A61" s="681" t="s">
        <v>839</v>
      </c>
      <c r="B61" s="682" t="s">
        <v>842</v>
      </c>
    </row>
    <row r="62" spans="1:2" x14ac:dyDescent="0.2">
      <c r="A62" s="681" t="s">
        <v>841</v>
      </c>
      <c r="B62" s="682" t="s">
        <v>859</v>
      </c>
    </row>
    <row r="63" spans="1:2" x14ac:dyDescent="0.2">
      <c r="A63" s="681" t="s">
        <v>843</v>
      </c>
      <c r="B63" s="682" t="s">
        <v>844</v>
      </c>
    </row>
    <row r="64" spans="1:2" x14ac:dyDescent="0.2">
      <c r="A64" s="681" t="s">
        <v>845</v>
      </c>
      <c r="B64" s="682" t="s">
        <v>846</v>
      </c>
    </row>
    <row r="65" spans="1:2" x14ac:dyDescent="0.2">
      <c r="A65" s="681" t="s">
        <v>847</v>
      </c>
      <c r="B65" s="682" t="s">
        <v>848</v>
      </c>
    </row>
    <row r="66" spans="1:2" ht="15.75" thickBot="1" x14ac:dyDescent="0.25">
      <c r="A66" s="684" t="s">
        <v>849</v>
      </c>
      <c r="B66" s="685" t="s">
        <v>850</v>
      </c>
    </row>
  </sheetData>
  <mergeCells count="4">
    <mergeCell ref="A1:B1"/>
    <mergeCell ref="A2:B2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&amp;R&amp;"Arial,Normál"&amp;10 18/A. melléklet a …./2019. (…….) önkormányzati rendelethez
„18/A. melléklet a 5/2019. (IV. 1.) önkormányzati rendelethez”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2:K62"/>
  <sheetViews>
    <sheetView zoomScale="75" zoomScaleNormal="75" workbookViewId="0">
      <selection activeCell="A63" sqref="A63:XFD126"/>
    </sheetView>
  </sheetViews>
  <sheetFormatPr defaultColWidth="9.33203125" defaultRowHeight="15" customHeight="1" x14ac:dyDescent="0.25"/>
  <cols>
    <col min="1" max="1" width="3.1640625" style="28" customWidth="1"/>
    <col min="2" max="2" width="5" style="28" customWidth="1"/>
    <col min="3" max="3" width="107.1640625" style="28" customWidth="1"/>
    <col min="4" max="4" width="37.33203125" style="28" bestFit="1" customWidth="1"/>
    <col min="5" max="5" width="40" style="28" customWidth="1"/>
    <col min="6" max="6" width="40.1640625" style="28" customWidth="1"/>
    <col min="7" max="7" width="8.5" style="28" customWidth="1"/>
    <col min="8" max="8" width="116.1640625" style="28" customWidth="1"/>
    <col min="9" max="9" width="37.33203125" style="28" bestFit="1" customWidth="1"/>
    <col min="10" max="10" width="39.6640625" style="28" customWidth="1"/>
    <col min="11" max="11" width="40.6640625" style="28" customWidth="1"/>
    <col min="12" max="12" width="18.1640625" style="28" bestFit="1" customWidth="1"/>
    <col min="13" max="16384" width="9.33203125" style="28"/>
  </cols>
  <sheetData>
    <row r="2" spans="1:11" ht="18.75" customHeight="1" x14ac:dyDescent="0.25">
      <c r="A2" s="961" t="s">
        <v>351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</row>
    <row r="3" spans="1:11" ht="15" customHeight="1" thickBot="1" x14ac:dyDescent="0.3">
      <c r="A3" s="549"/>
      <c r="B3" s="549"/>
      <c r="C3" s="549"/>
      <c r="D3" s="549"/>
      <c r="E3" s="549"/>
      <c r="F3" s="549"/>
      <c r="G3" s="549"/>
      <c r="H3" s="549"/>
      <c r="I3" s="549"/>
      <c r="J3" s="549"/>
      <c r="K3" s="575" t="s">
        <v>380</v>
      </c>
    </row>
    <row r="4" spans="1:11" ht="18" x14ac:dyDescent="0.25">
      <c r="A4" s="576"/>
      <c r="B4" s="577" t="s">
        <v>23</v>
      </c>
      <c r="C4" s="577"/>
      <c r="D4" s="266" t="s">
        <v>923</v>
      </c>
      <c r="E4" s="266" t="s">
        <v>863</v>
      </c>
      <c r="F4" s="266" t="s">
        <v>955</v>
      </c>
      <c r="G4" s="577" t="s">
        <v>24</v>
      </c>
      <c r="H4" s="578"/>
      <c r="I4" s="266" t="s">
        <v>923</v>
      </c>
      <c r="J4" s="266" t="s">
        <v>863</v>
      </c>
      <c r="K4" s="266" t="s">
        <v>955</v>
      </c>
    </row>
    <row r="5" spans="1:11" ht="18" x14ac:dyDescent="0.25">
      <c r="A5" s="579"/>
      <c r="B5" s="580"/>
      <c r="C5" s="580"/>
      <c r="D5" s="581" t="s">
        <v>635</v>
      </c>
      <c r="E5" s="581" t="s">
        <v>864</v>
      </c>
      <c r="F5" s="581" t="s">
        <v>635</v>
      </c>
      <c r="G5" s="580"/>
      <c r="I5" s="581" t="s">
        <v>635</v>
      </c>
      <c r="J5" s="581" t="s">
        <v>864</v>
      </c>
      <c r="K5" s="581" t="s">
        <v>635</v>
      </c>
    </row>
    <row r="6" spans="1:11" ht="18.75" thickBot="1" x14ac:dyDescent="0.3">
      <c r="A6" s="582"/>
      <c r="B6" s="583"/>
      <c r="C6" s="583"/>
      <c r="D6" s="584"/>
      <c r="E6" s="584"/>
      <c r="F6" s="584"/>
      <c r="G6" s="585"/>
      <c r="H6" s="586"/>
      <c r="I6" s="584"/>
      <c r="J6" s="584"/>
      <c r="K6" s="584"/>
    </row>
    <row r="7" spans="1:11" ht="20.25" x14ac:dyDescent="0.3">
      <c r="A7" s="587" t="s">
        <v>184</v>
      </c>
      <c r="B7" s="588"/>
      <c r="C7" s="588"/>
      <c r="D7" s="589">
        <f>'3 működési bevételek'!G53</f>
        <v>4235823</v>
      </c>
      <c r="E7" s="589">
        <f>'3 működési bevételek'!H53</f>
        <v>232507</v>
      </c>
      <c r="F7" s="589">
        <f>'3 működési bevételek'!I53</f>
        <v>4468330</v>
      </c>
      <c r="G7" s="588" t="s">
        <v>369</v>
      </c>
      <c r="H7" s="590"/>
      <c r="I7" s="591">
        <f>+'8 oktatás'!C34+'8 oktatás'!C9</f>
        <v>3609352</v>
      </c>
      <c r="J7" s="591">
        <f>+'8 oktatás'!D34+'8 oktatás'!D9</f>
        <v>-44630</v>
      </c>
      <c r="K7" s="591">
        <f>+'8 oktatás'!E34+'8 oktatás'!E9</f>
        <v>3564722</v>
      </c>
    </row>
    <row r="8" spans="1:11" ht="20.25" x14ac:dyDescent="0.3">
      <c r="A8" s="592" t="s">
        <v>341</v>
      </c>
      <c r="B8" s="162"/>
      <c r="C8" s="162"/>
      <c r="D8" s="593">
        <f>'3 működési bevételek'!G68</f>
        <v>10792995</v>
      </c>
      <c r="E8" s="593">
        <f>'3 működési bevételek'!H68</f>
        <v>2445</v>
      </c>
      <c r="F8" s="593">
        <f>'3 működési bevételek'!I68</f>
        <v>10795440</v>
      </c>
      <c r="G8" s="162" t="s">
        <v>529</v>
      </c>
      <c r="H8" s="259"/>
      <c r="I8" s="594">
        <f>+'9 kultúra'!C100</f>
        <v>3035941</v>
      </c>
      <c r="J8" s="594">
        <f>+'9 kultúra'!D100</f>
        <v>114882</v>
      </c>
      <c r="K8" s="594">
        <f>+'9 kultúra'!E100</f>
        <v>3150823</v>
      </c>
    </row>
    <row r="9" spans="1:11" ht="20.25" x14ac:dyDescent="0.3">
      <c r="A9" s="595" t="s">
        <v>102</v>
      </c>
      <c r="B9" s="104"/>
      <c r="C9" s="104"/>
      <c r="D9" s="596">
        <f>'3 működési bevételek'!G104</f>
        <v>2631583</v>
      </c>
      <c r="E9" s="596">
        <f>'3 működési bevételek'!H104</f>
        <v>-14398</v>
      </c>
      <c r="F9" s="596">
        <f>'3 működési bevételek'!I104</f>
        <v>2617185</v>
      </c>
      <c r="G9" s="104" t="s">
        <v>285</v>
      </c>
      <c r="H9" s="597"/>
      <c r="I9" s="598">
        <f>'10 szociális'!C37</f>
        <v>1369987</v>
      </c>
      <c r="J9" s="598">
        <f>'10 szociális'!D37</f>
        <v>78358</v>
      </c>
      <c r="K9" s="598">
        <f>'10 szociális'!E37</f>
        <v>1448345</v>
      </c>
    </row>
    <row r="10" spans="1:11" ht="20.25" x14ac:dyDescent="0.3">
      <c r="A10" s="595" t="s">
        <v>185</v>
      </c>
      <c r="B10" s="104"/>
      <c r="C10" s="104"/>
      <c r="D10" s="596">
        <f>'3 működési bevételek'!G114</f>
        <v>563981</v>
      </c>
      <c r="E10" s="596">
        <f>'3 működési bevételek'!H114</f>
        <v>15589</v>
      </c>
      <c r="F10" s="596">
        <f>'3 működési bevételek'!I114</f>
        <v>579570</v>
      </c>
      <c r="G10" s="104" t="s">
        <v>278</v>
      </c>
      <c r="H10" s="597"/>
      <c r="I10" s="598">
        <f>'11 egészségügy'!C25</f>
        <v>814885</v>
      </c>
      <c r="J10" s="598">
        <f>'11 egészségügy'!D25</f>
        <v>28093</v>
      </c>
      <c r="K10" s="598">
        <f>'11 egészségügy'!E25</f>
        <v>842978</v>
      </c>
    </row>
    <row r="11" spans="1:11" ht="20.25" x14ac:dyDescent="0.3">
      <c r="A11" s="595" t="s">
        <v>147</v>
      </c>
      <c r="B11" s="104"/>
      <c r="C11" s="104"/>
      <c r="D11" s="596">
        <f>'3 működési bevételek'!G129</f>
        <v>1868329</v>
      </c>
      <c r="E11" s="596">
        <f>'3 működési bevételek'!H129</f>
        <v>156208</v>
      </c>
      <c r="F11" s="596">
        <f>'3 működési bevételek'!I129</f>
        <v>2024537</v>
      </c>
      <c r="G11" s="104" t="s">
        <v>541</v>
      </c>
      <c r="H11" s="597"/>
      <c r="I11" s="598">
        <f>'12 gyermek és ifj.véd.'!C15</f>
        <v>810587</v>
      </c>
      <c r="J11" s="598">
        <f>'12 gyermek és ifj.véd.'!D15</f>
        <v>15426</v>
      </c>
      <c r="K11" s="598">
        <f>'12 gyermek és ifj.véd.'!E15</f>
        <v>826013</v>
      </c>
    </row>
    <row r="12" spans="1:11" ht="20.25" x14ac:dyDescent="0.3">
      <c r="A12" s="599"/>
      <c r="D12" s="600"/>
      <c r="E12" s="600"/>
      <c r="F12" s="600"/>
      <c r="G12" s="104" t="s">
        <v>542</v>
      </c>
      <c r="H12" s="258"/>
      <c r="I12" s="598">
        <f>'13 egyéb'!C110</f>
        <v>7091720</v>
      </c>
      <c r="J12" s="598">
        <f>'13 egyéb'!D110</f>
        <v>125887</v>
      </c>
      <c r="K12" s="598">
        <f>'13 egyéb'!E110</f>
        <v>7217607</v>
      </c>
    </row>
    <row r="13" spans="1:11" ht="20.25" x14ac:dyDescent="0.3">
      <c r="A13" s="37"/>
      <c r="B13" s="36"/>
      <c r="C13" s="36"/>
      <c r="D13" s="601"/>
      <c r="E13" s="601"/>
      <c r="F13" s="601"/>
      <c r="G13" s="104" t="s">
        <v>300</v>
      </c>
      <c r="H13" s="329"/>
      <c r="I13" s="598">
        <f>'14 sport'!C56</f>
        <v>1099778</v>
      </c>
      <c r="J13" s="598">
        <f>'14 sport'!D56</f>
        <v>177450</v>
      </c>
      <c r="K13" s="598">
        <f>'14 sport'!E56</f>
        <v>1277228</v>
      </c>
    </row>
    <row r="14" spans="1:11" ht="20.25" x14ac:dyDescent="0.3">
      <c r="A14" s="37"/>
      <c r="C14" s="36"/>
      <c r="D14" s="601"/>
      <c r="E14" s="601"/>
      <c r="F14" s="601"/>
      <c r="G14" s="104" t="s">
        <v>161</v>
      </c>
      <c r="H14" s="602"/>
      <c r="I14" s="598">
        <f>+'15 város.ü.'!C29</f>
        <v>1302518</v>
      </c>
      <c r="J14" s="598">
        <f>+'15 város.ü.'!D29</f>
        <v>-24478</v>
      </c>
      <c r="K14" s="598">
        <f>+'15 város.ü.'!E29</f>
        <v>1278040</v>
      </c>
    </row>
    <row r="15" spans="1:11" ht="20.25" x14ac:dyDescent="0.3">
      <c r="A15" s="37"/>
      <c r="C15" s="36"/>
      <c r="D15" s="601"/>
      <c r="E15" s="601"/>
      <c r="F15" s="600"/>
      <c r="G15" s="104" t="s">
        <v>352</v>
      </c>
      <c r="H15" s="602"/>
      <c r="I15" s="598">
        <f>+'16 út-híd'!C32</f>
        <v>386508</v>
      </c>
      <c r="J15" s="598">
        <f>+'16 út-híd'!D32</f>
        <v>22489</v>
      </c>
      <c r="K15" s="598">
        <f>+'16 út-híd'!E32</f>
        <v>408997</v>
      </c>
    </row>
    <row r="16" spans="1:11" ht="20.25" x14ac:dyDescent="0.3">
      <c r="A16" s="37"/>
      <c r="C16" s="36"/>
      <c r="D16" s="603"/>
      <c r="E16" s="603"/>
      <c r="F16" s="600"/>
      <c r="G16" s="36" t="s">
        <v>17</v>
      </c>
      <c r="H16" s="604"/>
      <c r="I16" s="228"/>
      <c r="J16" s="228"/>
      <c r="K16" s="228"/>
    </row>
    <row r="17" spans="1:11" ht="20.25" x14ac:dyDescent="0.3">
      <c r="A17" s="605"/>
      <c r="B17" s="606"/>
      <c r="C17" s="606"/>
      <c r="D17" s="607"/>
      <c r="E17" s="607"/>
      <c r="F17" s="600"/>
      <c r="G17" s="36"/>
      <c r="H17" s="162" t="s">
        <v>269</v>
      </c>
      <c r="I17" s="593">
        <v>236</v>
      </c>
      <c r="J17" s="593"/>
      <c r="K17" s="593">
        <f>SUM(I17:J17)</f>
        <v>236</v>
      </c>
    </row>
    <row r="18" spans="1:11" ht="20.25" x14ac:dyDescent="0.3">
      <c r="A18" s="605"/>
      <c r="B18" s="606"/>
      <c r="C18" s="606"/>
      <c r="D18" s="607"/>
      <c r="E18" s="607"/>
      <c r="F18" s="600"/>
      <c r="G18" s="36"/>
      <c r="H18" s="104" t="s">
        <v>291</v>
      </c>
      <c r="I18" s="596">
        <v>0</v>
      </c>
      <c r="J18" s="596"/>
      <c r="K18" s="593">
        <f t="shared" ref="K18:K23" si="0">SUM(I18:J18)</f>
        <v>0</v>
      </c>
    </row>
    <row r="19" spans="1:11" ht="36.75" x14ac:dyDescent="0.3">
      <c r="A19" s="605"/>
      <c r="B19" s="606"/>
      <c r="C19" s="606"/>
      <c r="D19" s="607"/>
      <c r="E19" s="607"/>
      <c r="F19" s="608"/>
      <c r="G19" s="36"/>
      <c r="H19" s="280" t="s">
        <v>740</v>
      </c>
      <c r="I19" s="596">
        <v>0</v>
      </c>
      <c r="J19" s="596"/>
      <c r="K19" s="593">
        <f t="shared" si="0"/>
        <v>0</v>
      </c>
    </row>
    <row r="20" spans="1:11" ht="36.75" x14ac:dyDescent="0.3">
      <c r="A20" s="605"/>
      <c r="B20" s="606"/>
      <c r="C20" s="606"/>
      <c r="D20" s="607"/>
      <c r="E20" s="607"/>
      <c r="F20" s="608"/>
      <c r="G20" s="36"/>
      <c r="H20" s="280" t="s">
        <v>674</v>
      </c>
      <c r="I20" s="596">
        <v>1600</v>
      </c>
      <c r="J20" s="596">
        <v>-1600</v>
      </c>
      <c r="K20" s="593">
        <f t="shared" si="0"/>
        <v>0</v>
      </c>
    </row>
    <row r="21" spans="1:11" ht="36.75" x14ac:dyDescent="0.3">
      <c r="A21" s="605"/>
      <c r="B21" s="606"/>
      <c r="C21" s="606"/>
      <c r="D21" s="607"/>
      <c r="E21" s="607"/>
      <c r="F21" s="608"/>
      <c r="G21" s="36"/>
      <c r="H21" s="280" t="s">
        <v>675</v>
      </c>
      <c r="I21" s="596">
        <v>2400</v>
      </c>
      <c r="J21" s="596">
        <v>-2400</v>
      </c>
      <c r="K21" s="593">
        <f t="shared" si="0"/>
        <v>0</v>
      </c>
    </row>
    <row r="22" spans="1:11" ht="20.25" x14ac:dyDescent="0.3">
      <c r="A22" s="605"/>
      <c r="B22" s="606"/>
      <c r="C22" s="606"/>
      <c r="D22" s="607"/>
      <c r="E22" s="607"/>
      <c r="F22" s="608"/>
      <c r="G22" s="36"/>
      <c r="H22" s="280" t="s">
        <v>700</v>
      </c>
      <c r="I22" s="596">
        <v>13572</v>
      </c>
      <c r="J22" s="596"/>
      <c r="K22" s="593">
        <f t="shared" si="0"/>
        <v>13572</v>
      </c>
    </row>
    <row r="23" spans="1:11" ht="20.25" x14ac:dyDescent="0.3">
      <c r="A23" s="605"/>
      <c r="B23" s="606"/>
      <c r="C23" s="606"/>
      <c r="D23" s="607"/>
      <c r="E23" s="607"/>
      <c r="F23" s="608"/>
      <c r="G23" s="36"/>
      <c r="H23" s="280" t="s">
        <v>744</v>
      </c>
      <c r="I23" s="596">
        <v>0</v>
      </c>
      <c r="J23" s="596"/>
      <c r="K23" s="593">
        <f t="shared" si="0"/>
        <v>0</v>
      </c>
    </row>
    <row r="24" spans="1:11" ht="20.25" x14ac:dyDescent="0.3">
      <c r="A24" s="605"/>
      <c r="B24" s="606"/>
      <c r="C24" s="606"/>
      <c r="D24" s="607"/>
      <c r="E24" s="607"/>
      <c r="F24" s="608"/>
      <c r="G24" s="36"/>
      <c r="I24" s="594"/>
      <c r="J24" s="594"/>
      <c r="K24" s="594"/>
    </row>
    <row r="25" spans="1:11" ht="21" thickBot="1" x14ac:dyDescent="0.35">
      <c r="A25" s="609"/>
      <c r="B25" s="610"/>
      <c r="C25" s="611"/>
      <c r="D25" s="612"/>
      <c r="E25" s="612"/>
      <c r="F25" s="613"/>
      <c r="G25" s="614" t="s">
        <v>61</v>
      </c>
      <c r="H25" s="615"/>
      <c r="I25" s="616">
        <f>SUM(I17:I24)</f>
        <v>17808</v>
      </c>
      <c r="J25" s="616">
        <f>SUM(J17:J24)</f>
        <v>-4000</v>
      </c>
      <c r="K25" s="616">
        <f>SUM(K17:K24)</f>
        <v>13808</v>
      </c>
    </row>
    <row r="26" spans="1:11" ht="21" thickBot="1" x14ac:dyDescent="0.35">
      <c r="A26" s="617" t="s">
        <v>250</v>
      </c>
      <c r="B26" s="618"/>
      <c r="C26" s="619"/>
      <c r="D26" s="620">
        <f>SUM(D7:D25)</f>
        <v>20092711</v>
      </c>
      <c r="E26" s="620">
        <f>SUM(E7:E25)</f>
        <v>392351</v>
      </c>
      <c r="F26" s="620">
        <f>SUM(F7:F25)</f>
        <v>20485062</v>
      </c>
      <c r="G26" s="583" t="s">
        <v>296</v>
      </c>
      <c r="H26" s="583"/>
      <c r="I26" s="621">
        <f>+I25+I15+I14+I13+I12+I11+I10+I9+I8+I7</f>
        <v>19539084</v>
      </c>
      <c r="J26" s="621">
        <f>+J25+J15+J14+J13+J12+J11+J10+J9+J8+J7</f>
        <v>489477</v>
      </c>
      <c r="K26" s="621">
        <f>+K25+K15+K14+K13+K12+K11+K10+K9+K8+K7</f>
        <v>20028561</v>
      </c>
    </row>
    <row r="27" spans="1:11" ht="18.75" customHeight="1" thickBot="1" x14ac:dyDescent="0.3">
      <c r="A27" s="622"/>
      <c r="B27" s="622"/>
      <c r="C27" s="622"/>
      <c r="D27" s="622"/>
      <c r="E27" s="622"/>
      <c r="F27" s="549"/>
      <c r="G27" s="549"/>
      <c r="H27" s="549"/>
      <c r="I27" s="549"/>
      <c r="J27" s="549"/>
      <c r="K27" s="549"/>
    </row>
    <row r="28" spans="1:11" ht="18.75" customHeight="1" x14ac:dyDescent="0.25">
      <c r="A28" s="576"/>
      <c r="B28" s="577"/>
      <c r="C28" s="577" t="s">
        <v>112</v>
      </c>
      <c r="D28" s="266" t="s">
        <v>923</v>
      </c>
      <c r="E28" s="266" t="s">
        <v>863</v>
      </c>
      <c r="F28" s="266" t="s">
        <v>955</v>
      </c>
      <c r="G28" s="623"/>
      <c r="H28" s="577" t="s">
        <v>126</v>
      </c>
      <c r="I28" s="266" t="s">
        <v>923</v>
      </c>
      <c r="J28" s="266" t="s">
        <v>863</v>
      </c>
      <c r="K28" s="266" t="s">
        <v>955</v>
      </c>
    </row>
    <row r="29" spans="1:11" ht="18.75" customHeight="1" x14ac:dyDescent="0.25">
      <c r="A29" s="579"/>
      <c r="B29" s="580"/>
      <c r="C29" s="580"/>
      <c r="D29" s="581" t="s">
        <v>635</v>
      </c>
      <c r="E29" s="581" t="s">
        <v>864</v>
      </c>
      <c r="F29" s="581" t="s">
        <v>635</v>
      </c>
      <c r="G29" s="100"/>
      <c r="H29" s="580"/>
      <c r="I29" s="581" t="s">
        <v>635</v>
      </c>
      <c r="J29" s="581" t="s">
        <v>864</v>
      </c>
      <c r="K29" s="581" t="s">
        <v>635</v>
      </c>
    </row>
    <row r="30" spans="1:11" ht="18.75" customHeight="1" thickBot="1" x14ac:dyDescent="0.3">
      <c r="A30" s="582"/>
      <c r="B30" s="583"/>
      <c r="C30" s="583"/>
      <c r="D30" s="584"/>
      <c r="E30" s="584"/>
      <c r="F30" s="584"/>
      <c r="G30" s="585"/>
      <c r="H30" s="586"/>
      <c r="I30" s="584"/>
      <c r="J30" s="584"/>
      <c r="K30" s="584"/>
    </row>
    <row r="31" spans="1:11" ht="20.25" x14ac:dyDescent="0.3">
      <c r="A31" s="624" t="s">
        <v>124</v>
      </c>
      <c r="B31" s="625"/>
      <c r="C31" s="626"/>
      <c r="D31" s="627">
        <f>'17 felhalm.bevétel '!D37</f>
        <v>5131458</v>
      </c>
      <c r="E31" s="627">
        <f>'17 felhalm.bevétel '!E37</f>
        <v>10215</v>
      </c>
      <c r="F31" s="627">
        <f>'17 felhalm.bevétel '!F37</f>
        <v>5141673</v>
      </c>
      <c r="G31" s="628" t="s">
        <v>306</v>
      </c>
      <c r="H31" s="629"/>
      <c r="I31" s="630"/>
      <c r="J31" s="630"/>
      <c r="K31" s="630"/>
    </row>
    <row r="32" spans="1:11" ht="20.25" x14ac:dyDescent="0.3">
      <c r="A32" s="631" t="s">
        <v>123</v>
      </c>
      <c r="B32" s="602"/>
      <c r="C32" s="632"/>
      <c r="D32" s="598">
        <f>'17 felhalm.bevétel '!D40</f>
        <v>200000</v>
      </c>
      <c r="E32" s="598">
        <f>'17 felhalm.bevétel '!E40</f>
        <v>0</v>
      </c>
      <c r="F32" s="598">
        <f>'17 felhalm.bevétel '!F40</f>
        <v>200000</v>
      </c>
      <c r="G32" s="162" t="s">
        <v>369</v>
      </c>
      <c r="H32" s="633"/>
      <c r="I32" s="594">
        <f>+'8 oktatás'!C42</f>
        <v>164152</v>
      </c>
      <c r="J32" s="594">
        <f>+'8 oktatás'!D42</f>
        <v>86462</v>
      </c>
      <c r="K32" s="594">
        <f>+'8 oktatás'!E42</f>
        <v>250614</v>
      </c>
    </row>
    <row r="33" spans="1:11" ht="20.25" x14ac:dyDescent="0.3">
      <c r="A33" s="631" t="s">
        <v>125</v>
      </c>
      <c r="B33" s="632"/>
      <c r="C33" s="634"/>
      <c r="D33" s="598">
        <f>'17 felhalm.bevétel '!D47</f>
        <v>20000</v>
      </c>
      <c r="E33" s="598">
        <f>'17 felhalm.bevétel '!E47</f>
        <v>0</v>
      </c>
      <c r="F33" s="598">
        <f>'17 felhalm.bevétel '!F47</f>
        <v>20000</v>
      </c>
      <c r="G33" s="104" t="s">
        <v>529</v>
      </c>
      <c r="H33" s="635"/>
      <c r="I33" s="594">
        <f>+'9 kultúra'!C125</f>
        <v>76405</v>
      </c>
      <c r="J33" s="594">
        <f>+'9 kultúra'!D125</f>
        <v>12399</v>
      </c>
      <c r="K33" s="598">
        <f>+'9 kultúra'!E125</f>
        <v>88804</v>
      </c>
    </row>
    <row r="34" spans="1:11" ht="20.25" x14ac:dyDescent="0.3">
      <c r="A34" s="595" t="s">
        <v>148</v>
      </c>
      <c r="B34" s="104"/>
      <c r="C34" s="104"/>
      <c r="D34" s="598">
        <f>'17 felhalm.bevétel '!D62</f>
        <v>10090</v>
      </c>
      <c r="E34" s="598">
        <f>'17 felhalm.bevétel '!E62</f>
        <v>24866</v>
      </c>
      <c r="F34" s="598">
        <f>'17 felhalm.bevétel '!F62</f>
        <v>34956</v>
      </c>
      <c r="G34" s="104" t="s">
        <v>285</v>
      </c>
      <c r="H34" s="635"/>
      <c r="I34" s="594">
        <f>'10 szociális'!C45</f>
        <v>14606</v>
      </c>
      <c r="J34" s="594">
        <f>'10 szociális'!D45</f>
        <v>14594</v>
      </c>
      <c r="K34" s="598">
        <f>'10 szociális'!E45</f>
        <v>29200</v>
      </c>
    </row>
    <row r="35" spans="1:11" ht="20.25" x14ac:dyDescent="0.3">
      <c r="A35" s="636"/>
      <c r="B35" s="626"/>
      <c r="C35" s="626"/>
      <c r="D35" s="637"/>
      <c r="E35" s="637"/>
      <c r="F35" s="638"/>
      <c r="G35" s="104" t="s">
        <v>278</v>
      </c>
      <c r="H35" s="635"/>
      <c r="I35" s="594">
        <f>'11 egészségügy'!C34</f>
        <v>45113</v>
      </c>
      <c r="J35" s="594">
        <f>'11 egészségügy'!D34</f>
        <v>2801</v>
      </c>
      <c r="K35" s="598">
        <f>'11 egészségügy'!E34</f>
        <v>47914</v>
      </c>
    </row>
    <row r="36" spans="1:11" ht="20.25" x14ac:dyDescent="0.3">
      <c r="A36" s="636"/>
      <c r="B36" s="626"/>
      <c r="C36" s="626"/>
      <c r="D36" s="637"/>
      <c r="E36" s="637"/>
      <c r="F36" s="638"/>
      <c r="G36" s="104" t="s">
        <v>541</v>
      </c>
      <c r="H36" s="635"/>
      <c r="I36" s="594">
        <f>'12 gyermek és ifj.véd.'!C23</f>
        <v>29847</v>
      </c>
      <c r="J36" s="594">
        <f>'12 gyermek és ifj.véd.'!D23</f>
        <v>789</v>
      </c>
      <c r="K36" s="598">
        <f>'12 gyermek és ifj.véd.'!E23</f>
        <v>30636</v>
      </c>
    </row>
    <row r="37" spans="1:11" ht="21" thickBot="1" x14ac:dyDescent="0.35">
      <c r="A37" s="639"/>
      <c r="B37" s="640"/>
      <c r="C37" s="640"/>
      <c r="D37" s="641"/>
      <c r="E37" s="641"/>
      <c r="F37" s="642"/>
      <c r="G37" s="104" t="s">
        <v>542</v>
      </c>
      <c r="H37" s="635"/>
      <c r="I37" s="594">
        <f>'13 egyéb'!C118</f>
        <v>50514</v>
      </c>
      <c r="J37" s="594">
        <f>'13 egyéb'!D118</f>
        <v>28234</v>
      </c>
      <c r="K37" s="598">
        <f>'13 egyéb'!E118</f>
        <v>78748</v>
      </c>
    </row>
    <row r="38" spans="1:11" ht="21" thickBot="1" x14ac:dyDescent="0.35">
      <c r="A38" s="639"/>
      <c r="B38" s="640"/>
      <c r="C38" s="640"/>
      <c r="D38" s="641"/>
      <c r="E38" s="641"/>
      <c r="F38" s="642"/>
      <c r="G38" s="643" t="s">
        <v>307</v>
      </c>
      <c r="H38" s="644"/>
      <c r="I38" s="621">
        <f>SUM(I31:I37)</f>
        <v>380637</v>
      </c>
      <c r="J38" s="621">
        <f>SUM(J31:J37)</f>
        <v>145279</v>
      </c>
      <c r="K38" s="621">
        <f>SUM(K31:K37)</f>
        <v>525916</v>
      </c>
    </row>
    <row r="39" spans="1:11" ht="20.25" x14ac:dyDescent="0.3">
      <c r="A39" s="37"/>
      <c r="D39" s="41"/>
      <c r="E39" s="41"/>
      <c r="F39" s="638"/>
      <c r="G39" s="36" t="s">
        <v>248</v>
      </c>
      <c r="H39" s="625"/>
      <c r="I39" s="627">
        <f>+'18 felhalm.kiadás'!C20</f>
        <v>206607</v>
      </c>
      <c r="J39" s="627">
        <f>+'18 felhalm.kiadás'!D20</f>
        <v>42400</v>
      </c>
      <c r="K39" s="627">
        <f>+'18 felhalm.kiadás'!E20</f>
        <v>249007</v>
      </c>
    </row>
    <row r="40" spans="1:11" ht="20.25" x14ac:dyDescent="0.3">
      <c r="A40" s="37"/>
      <c r="D40" s="41"/>
      <c r="E40" s="41"/>
      <c r="F40" s="638"/>
      <c r="G40" s="104" t="s">
        <v>302</v>
      </c>
      <c r="H40" s="602"/>
      <c r="I40" s="598">
        <f>'18 felhalm.kiadás'!C26</f>
        <v>41879</v>
      </c>
      <c r="J40" s="598">
        <f>'18 felhalm.kiadás'!D26</f>
        <v>-38933</v>
      </c>
      <c r="K40" s="598">
        <f>'18 felhalm.kiadás'!E26</f>
        <v>2946</v>
      </c>
    </row>
    <row r="41" spans="1:11" ht="20.25" x14ac:dyDescent="0.3">
      <c r="A41" s="37"/>
      <c r="D41" s="41"/>
      <c r="E41" s="41"/>
      <c r="F41" s="638"/>
      <c r="G41" s="104" t="s">
        <v>319</v>
      </c>
      <c r="H41" s="329"/>
      <c r="I41" s="598">
        <f>+'18 felhalm.kiadás'!C29</f>
        <v>102294</v>
      </c>
      <c r="J41" s="598">
        <f>+'18 felhalm.kiadás'!D29</f>
        <v>0</v>
      </c>
      <c r="K41" s="598">
        <f>+'18 felhalm.kiadás'!E29</f>
        <v>102294</v>
      </c>
    </row>
    <row r="42" spans="1:11" ht="20.25" x14ac:dyDescent="0.3">
      <c r="A42" s="645"/>
      <c r="B42" s="27"/>
      <c r="D42" s="41"/>
      <c r="E42" s="41"/>
      <c r="F42" s="638"/>
      <c r="G42" s="104" t="s">
        <v>324</v>
      </c>
      <c r="H42" s="329"/>
      <c r="I42" s="598">
        <f>+'18 felhalm.kiadás'!C34</f>
        <v>89669</v>
      </c>
      <c r="J42" s="598">
        <f>+'18 felhalm.kiadás'!D34</f>
        <v>-6000</v>
      </c>
      <c r="K42" s="598">
        <f>+'18 felhalm.kiadás'!E34</f>
        <v>83669</v>
      </c>
    </row>
    <row r="43" spans="1:11" ht="20.25" x14ac:dyDescent="0.3">
      <c r="A43" s="645"/>
      <c r="B43" s="27"/>
      <c r="C43" s="646"/>
      <c r="D43" s="647"/>
      <c r="E43" s="647"/>
      <c r="F43" s="638"/>
      <c r="G43" s="104" t="s">
        <v>276</v>
      </c>
      <c r="H43" s="329"/>
      <c r="I43" s="598">
        <f>+'18 felhalm.kiadás'!C176</f>
        <v>15297606</v>
      </c>
      <c r="J43" s="598">
        <f>+'18 felhalm.kiadás'!D176</f>
        <v>-229947</v>
      </c>
      <c r="K43" s="598">
        <f>+'18 felhalm.kiadás'!E176</f>
        <v>15067659</v>
      </c>
    </row>
    <row r="44" spans="1:11" ht="20.25" x14ac:dyDescent="0.3">
      <c r="A44" s="599"/>
      <c r="B44" s="648"/>
      <c r="C44" s="646"/>
      <c r="D44" s="647"/>
      <c r="E44" s="647"/>
      <c r="F44" s="638"/>
      <c r="G44" s="104" t="s">
        <v>297</v>
      </c>
      <c r="H44" s="104"/>
      <c r="I44" s="598">
        <f>+'18 felhalm.kiadás'!C180</f>
        <v>0</v>
      </c>
      <c r="J44" s="598">
        <f>+'18 felhalm.kiadás'!D180</f>
        <v>0</v>
      </c>
      <c r="K44" s="598">
        <f>+'18 felhalm.kiadás'!E180</f>
        <v>0</v>
      </c>
    </row>
    <row r="45" spans="1:11" ht="20.25" x14ac:dyDescent="0.3">
      <c r="A45" s="599"/>
      <c r="B45" s="648"/>
      <c r="C45" s="646"/>
      <c r="D45" s="647"/>
      <c r="E45" s="647"/>
      <c r="F45" s="638"/>
      <c r="G45" s="104" t="s">
        <v>57</v>
      </c>
      <c r="H45" s="104"/>
      <c r="I45" s="598">
        <f>'18 felhalm.kiadás'!C181</f>
        <v>13569</v>
      </c>
      <c r="J45" s="598">
        <f>'18 felhalm.kiadás'!D181</f>
        <v>0</v>
      </c>
      <c r="K45" s="598">
        <f>'18 felhalm.kiadás'!E181</f>
        <v>13569</v>
      </c>
    </row>
    <row r="46" spans="1:11" ht="21" thickBot="1" x14ac:dyDescent="0.35">
      <c r="A46" s="599"/>
      <c r="B46" s="648"/>
      <c r="C46" s="646"/>
      <c r="D46" s="649"/>
      <c r="E46" s="649"/>
      <c r="F46" s="650"/>
      <c r="G46" s="651" t="s">
        <v>308</v>
      </c>
      <c r="H46" s="652"/>
      <c r="I46" s="653">
        <f>SUM(I39:I45)</f>
        <v>15751624</v>
      </c>
      <c r="J46" s="653">
        <f>SUM(J39:J45)</f>
        <v>-232480</v>
      </c>
      <c r="K46" s="653">
        <f>SUM(K39:K45)</f>
        <v>15519144</v>
      </c>
    </row>
    <row r="47" spans="1:11" ht="21" thickBot="1" x14ac:dyDescent="0.35">
      <c r="A47" s="654" t="s">
        <v>298</v>
      </c>
      <c r="B47" s="654"/>
      <c r="C47" s="655"/>
      <c r="D47" s="656">
        <f>SUM(D31:D46)</f>
        <v>5361548</v>
      </c>
      <c r="E47" s="656">
        <f>SUM(E31:E46)</f>
        <v>35081</v>
      </c>
      <c r="F47" s="656">
        <f>SUM(F31:F46)</f>
        <v>5396629</v>
      </c>
      <c r="G47" s="657" t="s">
        <v>299</v>
      </c>
      <c r="H47" s="657"/>
      <c r="I47" s="656">
        <f>+I46+I38</f>
        <v>16132261</v>
      </c>
      <c r="J47" s="656">
        <f>+J46+J38</f>
        <v>-87201</v>
      </c>
      <c r="K47" s="656">
        <f>+K46+K38</f>
        <v>16045060</v>
      </c>
    </row>
    <row r="48" spans="1:11" ht="18.75" customHeight="1" thickBot="1" x14ac:dyDescent="0.3">
      <c r="A48" s="176"/>
      <c r="B48" s="176"/>
      <c r="C48" s="658"/>
      <c r="D48" s="658"/>
      <c r="E48" s="658"/>
      <c r="F48" s="658"/>
      <c r="G48" s="577"/>
      <c r="H48" s="577"/>
      <c r="I48" s="577"/>
      <c r="J48" s="577"/>
      <c r="K48" s="577"/>
    </row>
    <row r="49" spans="1:11" ht="18" x14ac:dyDescent="0.25">
      <c r="A49" s="659" t="s">
        <v>283</v>
      </c>
      <c r="B49" s="660"/>
      <c r="C49" s="661"/>
      <c r="D49" s="662"/>
      <c r="E49" s="662"/>
      <c r="F49" s="662"/>
      <c r="G49" s="659" t="s">
        <v>283</v>
      </c>
      <c r="H49" s="663"/>
      <c r="I49" s="664"/>
      <c r="J49" s="664"/>
      <c r="K49" s="664"/>
    </row>
    <row r="50" spans="1:11" ht="20.25" x14ac:dyDescent="0.3">
      <c r="A50" s="605"/>
      <c r="C50" s="665" t="s">
        <v>167</v>
      </c>
      <c r="D50" s="666">
        <v>1546690</v>
      </c>
      <c r="E50" s="666"/>
      <c r="F50" s="666">
        <f>D50+E50</f>
        <v>1546690</v>
      </c>
      <c r="G50" s="162" t="s">
        <v>667</v>
      </c>
      <c r="H50" s="162"/>
      <c r="I50" s="594">
        <v>93155</v>
      </c>
      <c r="J50" s="594"/>
      <c r="K50" s="594">
        <f>I50+J50</f>
        <v>93155</v>
      </c>
    </row>
    <row r="51" spans="1:11" ht="20.25" x14ac:dyDescent="0.3">
      <c r="A51" s="605"/>
      <c r="C51" s="665" t="s">
        <v>725</v>
      </c>
      <c r="D51" s="666">
        <v>0</v>
      </c>
      <c r="E51" s="666"/>
      <c r="F51" s="666">
        <f t="shared" ref="F51:F56" si="1">D51+E51</f>
        <v>0</v>
      </c>
      <c r="G51" s="162" t="s">
        <v>936</v>
      </c>
      <c r="H51" s="162"/>
      <c r="I51" s="594">
        <v>40250</v>
      </c>
      <c r="J51" s="594">
        <v>25156</v>
      </c>
      <c r="K51" s="594">
        <f>I51+J51</f>
        <v>65406</v>
      </c>
    </row>
    <row r="52" spans="1:11" ht="36.75" x14ac:dyDescent="0.3">
      <c r="A52" s="605"/>
      <c r="C52" s="665" t="s">
        <v>727</v>
      </c>
      <c r="D52" s="666">
        <v>0</v>
      </c>
      <c r="E52" s="666"/>
      <c r="F52" s="666">
        <f t="shared" si="1"/>
        <v>0</v>
      </c>
      <c r="G52" s="162"/>
      <c r="H52" s="162"/>
      <c r="I52" s="594"/>
      <c r="J52" s="594"/>
      <c r="K52" s="594"/>
    </row>
    <row r="53" spans="1:11" ht="20.25" x14ac:dyDescent="0.3">
      <c r="A53" s="605"/>
      <c r="C53" s="137" t="s">
        <v>234</v>
      </c>
      <c r="D53" s="666">
        <v>8629503</v>
      </c>
      <c r="E53" s="666"/>
      <c r="F53" s="666">
        <f t="shared" si="1"/>
        <v>8629503</v>
      </c>
      <c r="G53" s="162"/>
      <c r="H53" s="162"/>
      <c r="I53" s="594"/>
      <c r="J53" s="594"/>
      <c r="K53" s="594"/>
    </row>
    <row r="54" spans="1:11" ht="20.25" x14ac:dyDescent="0.3">
      <c r="A54" s="605"/>
      <c r="C54" s="137" t="s">
        <v>726</v>
      </c>
      <c r="D54" s="666">
        <v>0</v>
      </c>
      <c r="E54" s="666"/>
      <c r="F54" s="666">
        <f t="shared" si="1"/>
        <v>0</v>
      </c>
      <c r="G54" s="162"/>
      <c r="H54" s="162"/>
      <c r="I54" s="594"/>
      <c r="J54" s="594"/>
      <c r="K54" s="594"/>
    </row>
    <row r="55" spans="1:11" ht="20.25" x14ac:dyDescent="0.3">
      <c r="A55" s="605"/>
      <c r="B55" s="648"/>
      <c r="C55" s="137" t="s">
        <v>447</v>
      </c>
      <c r="D55" s="666">
        <v>172364</v>
      </c>
      <c r="E55" s="666"/>
      <c r="F55" s="666">
        <f t="shared" si="1"/>
        <v>172364</v>
      </c>
      <c r="G55" s="162"/>
      <c r="H55" s="162"/>
      <c r="I55" s="667"/>
      <c r="J55" s="667"/>
      <c r="K55" s="594"/>
    </row>
    <row r="56" spans="1:11" ht="20.25" x14ac:dyDescent="0.3">
      <c r="A56" s="605"/>
      <c r="B56" s="648"/>
      <c r="C56" s="137" t="s">
        <v>448</v>
      </c>
      <c r="D56" s="666">
        <v>1934</v>
      </c>
      <c r="E56" s="666"/>
      <c r="F56" s="666">
        <f t="shared" si="1"/>
        <v>1934</v>
      </c>
      <c r="G56" s="36"/>
      <c r="H56" s="580"/>
      <c r="I56" s="668"/>
      <c r="J56" s="668"/>
      <c r="K56" s="668"/>
    </row>
    <row r="57" spans="1:11" ht="20.25" x14ac:dyDescent="0.3">
      <c r="A57" s="605"/>
      <c r="B57" s="648"/>
      <c r="C57" s="665"/>
      <c r="D57" s="666"/>
      <c r="E57" s="666"/>
      <c r="F57" s="666"/>
      <c r="G57" s="36"/>
      <c r="H57" s="580"/>
      <c r="I57" s="668"/>
      <c r="J57" s="668"/>
      <c r="K57" s="668"/>
    </row>
    <row r="58" spans="1:11" ht="21" thickBot="1" x14ac:dyDescent="0.35">
      <c r="A58" s="605"/>
      <c r="B58" s="648"/>
      <c r="C58" s="699"/>
      <c r="D58" s="700"/>
      <c r="E58" s="700"/>
      <c r="F58" s="701"/>
      <c r="G58" s="36"/>
      <c r="H58" s="580"/>
      <c r="I58" s="668"/>
      <c r="J58" s="668"/>
      <c r="K58" s="668"/>
    </row>
    <row r="59" spans="1:11" ht="21" thickBot="1" x14ac:dyDescent="0.35">
      <c r="A59" s="669" t="s">
        <v>221</v>
      </c>
      <c r="B59" s="655"/>
      <c r="C59" s="138"/>
      <c r="D59" s="670">
        <f>SUM(D49:D58)</f>
        <v>10350491</v>
      </c>
      <c r="E59" s="670">
        <f>SUM(E49:E58)</f>
        <v>0</v>
      </c>
      <c r="F59" s="670">
        <f>SUM(F49:F58)</f>
        <v>10350491</v>
      </c>
      <c r="G59" s="671" t="s">
        <v>221</v>
      </c>
      <c r="H59" s="672"/>
      <c r="I59" s="621">
        <f>SUM(I49:I58)</f>
        <v>133405</v>
      </c>
      <c r="J59" s="621">
        <f>SUM(J49:J58)</f>
        <v>25156</v>
      </c>
      <c r="K59" s="621">
        <f>SUM(K49:K58)</f>
        <v>158561</v>
      </c>
    </row>
    <row r="60" spans="1:11" ht="18" x14ac:dyDescent="0.25">
      <c r="A60" s="605"/>
      <c r="B60" s="176"/>
      <c r="C60" s="176"/>
      <c r="D60" s="662"/>
      <c r="E60" s="662"/>
      <c r="F60" s="662"/>
      <c r="G60" s="580"/>
      <c r="H60" s="580"/>
      <c r="I60" s="664"/>
      <c r="J60" s="664"/>
      <c r="K60" s="664"/>
    </row>
    <row r="61" spans="1:11" ht="18.75" thickBot="1" x14ac:dyDescent="0.3">
      <c r="A61" s="673"/>
      <c r="B61" s="674"/>
      <c r="C61" s="674"/>
      <c r="D61" s="482"/>
      <c r="E61" s="482"/>
      <c r="F61" s="482"/>
      <c r="G61" s="675"/>
      <c r="H61" s="674"/>
      <c r="I61" s="482"/>
      <c r="J61" s="482"/>
      <c r="K61" s="482"/>
    </row>
    <row r="62" spans="1:11" ht="21" thickBot="1" x14ac:dyDescent="0.35">
      <c r="A62" s="676" t="s">
        <v>284</v>
      </c>
      <c r="B62" s="655"/>
      <c r="C62" s="655"/>
      <c r="D62" s="656">
        <f>+D59+D47+D26</f>
        <v>35804750</v>
      </c>
      <c r="E62" s="656">
        <f>+E59+E47+E26</f>
        <v>427432</v>
      </c>
      <c r="F62" s="656">
        <f>+F59+F47+F26</f>
        <v>36232182</v>
      </c>
      <c r="G62" s="671" t="s">
        <v>220</v>
      </c>
      <c r="H62" s="672"/>
      <c r="I62" s="621">
        <f>+I59+I47+I26</f>
        <v>35804750</v>
      </c>
      <c r="J62" s="621">
        <f>+J59+J47+J26</f>
        <v>427432</v>
      </c>
      <c r="K62" s="621">
        <f>+K59+K47+K26</f>
        <v>36232182</v>
      </c>
    </row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40" orientation="landscape" r:id="rId3"/>
  <headerFooter alignWithMargins="0">
    <oddHeader xml:space="preserve">&amp;R&amp;"Times New Roman CE,Félkövér"&amp;18
2. melléklet a …./2019. (…….) önkormányzati rendelethez
„2. melléklet a 5/2019. (IV. 1.) önkormányzati rendelethez”
 </oddHeader>
  </headerFooter>
  <rowBreaks count="1" manualBreakCount="1">
    <brk id="26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1"/>
  <sheetViews>
    <sheetView zoomScale="76" zoomScaleNormal="76" workbookViewId="0">
      <selection activeCell="C30" sqref="C30"/>
    </sheetView>
  </sheetViews>
  <sheetFormatPr defaultColWidth="9.33203125" defaultRowHeight="15" x14ac:dyDescent="0.2"/>
  <cols>
    <col min="1" max="1" width="102.83203125" style="500" customWidth="1"/>
    <col min="2" max="2" width="23.83203125" style="500" bestFit="1" customWidth="1"/>
    <col min="3" max="3" width="22.1640625" style="500" bestFit="1" customWidth="1"/>
    <col min="4" max="5" width="20.83203125" style="500" customWidth="1"/>
    <col min="6" max="6" width="22.1640625" style="500" bestFit="1" customWidth="1"/>
    <col min="7" max="14" width="20.83203125" style="500" customWidth="1"/>
    <col min="15" max="16384" width="9.33203125" style="500"/>
  </cols>
  <sheetData>
    <row r="1" spans="1:14" s="486" customFormat="1" ht="20.25" x14ac:dyDescent="0.3">
      <c r="A1" s="484" t="s">
        <v>704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</row>
    <row r="2" spans="1:14" s="486" customFormat="1" ht="15.75" x14ac:dyDescent="0.25">
      <c r="A2" s="1034"/>
      <c r="B2" s="1034"/>
    </row>
    <row r="3" spans="1:14" s="486" customFormat="1" ht="15.75" thickBot="1" x14ac:dyDescent="0.25"/>
    <row r="4" spans="1:14" s="486" customFormat="1" ht="20.100000000000001" customHeight="1" x14ac:dyDescent="0.25">
      <c r="A4" s="438" t="s">
        <v>374</v>
      </c>
      <c r="B4" s="488" t="s">
        <v>402</v>
      </c>
      <c r="C4" s="488" t="s">
        <v>320</v>
      </c>
      <c r="D4" s="488" t="s">
        <v>321</v>
      </c>
      <c r="E4" s="488" t="s">
        <v>322</v>
      </c>
      <c r="F4" s="488" t="s">
        <v>323</v>
      </c>
      <c r="G4" s="488" t="s">
        <v>325</v>
      </c>
      <c r="H4" s="488" t="s">
        <v>326</v>
      </c>
      <c r="I4" s="488" t="s">
        <v>327</v>
      </c>
      <c r="J4" s="488" t="s">
        <v>328</v>
      </c>
      <c r="K4" s="488" t="s">
        <v>390</v>
      </c>
      <c r="L4" s="488" t="s">
        <v>391</v>
      </c>
      <c r="M4" s="488" t="s">
        <v>392</v>
      </c>
      <c r="N4" s="488" t="s">
        <v>393</v>
      </c>
    </row>
    <row r="5" spans="1:14" s="486" customFormat="1" ht="20.100000000000001" customHeight="1" x14ac:dyDescent="0.2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</row>
    <row r="6" spans="1:14" s="486" customFormat="1" ht="67.5" customHeight="1" thickBot="1" x14ac:dyDescent="0.25">
      <c r="A6" s="491"/>
      <c r="B6" s="432" t="s">
        <v>403</v>
      </c>
      <c r="C6" s="432" t="s">
        <v>404</v>
      </c>
      <c r="D6" s="432" t="s">
        <v>404</v>
      </c>
      <c r="E6" s="432" t="s">
        <v>404</v>
      </c>
      <c r="F6" s="432" t="s">
        <v>404</v>
      </c>
      <c r="G6" s="432" t="s">
        <v>404</v>
      </c>
      <c r="H6" s="432" t="s">
        <v>404</v>
      </c>
      <c r="I6" s="432" t="s">
        <v>404</v>
      </c>
      <c r="J6" s="432" t="s">
        <v>404</v>
      </c>
      <c r="K6" s="432" t="s">
        <v>404</v>
      </c>
      <c r="L6" s="432" t="s">
        <v>404</v>
      </c>
      <c r="M6" s="432" t="s">
        <v>404</v>
      </c>
      <c r="N6" s="432" t="s">
        <v>404</v>
      </c>
    </row>
    <row r="7" spans="1:14" s="460" customFormat="1" ht="24" customHeight="1" x14ac:dyDescent="0.25">
      <c r="A7" s="492" t="s">
        <v>405</v>
      </c>
      <c r="B7" s="493">
        <f>'1 kiemelt ei. '!G13</f>
        <v>21952331</v>
      </c>
      <c r="C7" s="493">
        <f>567345.579139873+41000</f>
        <v>608345.57913987304</v>
      </c>
      <c r="D7" s="493">
        <f>567345.579139873+41000</f>
        <v>608345.57913987304</v>
      </c>
      <c r="E7" s="493">
        <f>3771668.53410464+270000+41000</f>
        <v>4082668.5341046401</v>
      </c>
      <c r="F7" s="493">
        <f>816386+41000+2169370</f>
        <v>3026756</v>
      </c>
      <c r="G7" s="493">
        <f>764364+41000</f>
        <v>805364</v>
      </c>
      <c r="H7" s="493">
        <f>1474119+41000</f>
        <v>1515119</v>
      </c>
      <c r="I7" s="493">
        <f>567345.579139873+41000</f>
        <v>608345.57913987304</v>
      </c>
      <c r="J7" s="493">
        <f>755509.621400326+41000</f>
        <v>796509.62140032602</v>
      </c>
      <c r="K7" s="493">
        <f>4509936+270000+41000+17000</f>
        <v>4837936</v>
      </c>
      <c r="L7" s="493">
        <f>763254+41000</f>
        <v>804254</v>
      </c>
      <c r="M7" s="493">
        <f>567345.579139873+41000</f>
        <v>608345.57913987304</v>
      </c>
      <c r="N7" s="493">
        <f>1758313+500000+41000+8083+181000+584531-180+577595</f>
        <v>3650342</v>
      </c>
    </row>
    <row r="8" spans="1:14" s="460" customFormat="1" ht="24" customHeight="1" thickBot="1" x14ac:dyDescent="0.3">
      <c r="A8" s="494" t="s">
        <v>406</v>
      </c>
      <c r="B8" s="495">
        <f>'1 kiemelt ei. '!G17</f>
        <v>3929360</v>
      </c>
      <c r="C8" s="495"/>
      <c r="D8" s="495"/>
      <c r="E8" s="495">
        <v>10000</v>
      </c>
      <c r="F8" s="495">
        <f>12000-2000+3950130-92597</f>
        <v>3867533</v>
      </c>
      <c r="G8" s="495">
        <v>1990</v>
      </c>
      <c r="H8" s="495">
        <f>100000-50163</f>
        <v>49837</v>
      </c>
      <c r="I8" s="495"/>
      <c r="J8" s="495"/>
      <c r="K8" s="495"/>
      <c r="L8" s="495"/>
      <c r="M8" s="495"/>
      <c r="N8" s="495"/>
    </row>
    <row r="9" spans="1:14" s="460" customFormat="1" ht="24" customHeight="1" thickBot="1" x14ac:dyDescent="0.3">
      <c r="A9" s="463" t="s">
        <v>407</v>
      </c>
      <c r="B9" s="496">
        <f t="shared" ref="B9:N9" si="0">+B7+B8</f>
        <v>25881691</v>
      </c>
      <c r="C9" s="496">
        <f t="shared" si="0"/>
        <v>608345.57913987304</v>
      </c>
      <c r="D9" s="496">
        <f t="shared" si="0"/>
        <v>608345.57913987304</v>
      </c>
      <c r="E9" s="496">
        <f t="shared" si="0"/>
        <v>4092668.5341046401</v>
      </c>
      <c r="F9" s="496">
        <f t="shared" si="0"/>
        <v>6894289</v>
      </c>
      <c r="G9" s="496">
        <f t="shared" si="0"/>
        <v>807354</v>
      </c>
      <c r="H9" s="496">
        <f t="shared" si="0"/>
        <v>1564956</v>
      </c>
      <c r="I9" s="496">
        <f t="shared" si="0"/>
        <v>608345.57913987304</v>
      </c>
      <c r="J9" s="496">
        <f t="shared" si="0"/>
        <v>796509.62140032602</v>
      </c>
      <c r="K9" s="496">
        <f t="shared" si="0"/>
        <v>4837936</v>
      </c>
      <c r="L9" s="496">
        <f t="shared" si="0"/>
        <v>804254</v>
      </c>
      <c r="M9" s="496">
        <f t="shared" si="0"/>
        <v>608345.57913987304</v>
      </c>
      <c r="N9" s="496">
        <f t="shared" si="0"/>
        <v>3650342</v>
      </c>
    </row>
    <row r="10" spans="1:14" s="486" customFormat="1" ht="49.5" customHeight="1" thickBot="1" x14ac:dyDescent="0.3">
      <c r="A10" s="497" t="s">
        <v>408</v>
      </c>
      <c r="B10" s="498">
        <f>'1 kiemelt ei. '!G19</f>
        <v>10350491</v>
      </c>
      <c r="C10" s="499">
        <f>11305248+40000+19500-1014257</f>
        <v>10350491</v>
      </c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499"/>
    </row>
    <row r="11" spans="1:14" s="460" customFormat="1" ht="24" customHeight="1" thickBot="1" x14ac:dyDescent="0.3">
      <c r="A11" s="455" t="s">
        <v>409</v>
      </c>
      <c r="B11" s="496">
        <f>+B9+B10</f>
        <v>36232182</v>
      </c>
      <c r="C11" s="496">
        <f t="shared" ref="C11:N11" si="1">+C9+C10</f>
        <v>10958836.579139873</v>
      </c>
      <c r="D11" s="496">
        <f t="shared" si="1"/>
        <v>608345.57913987304</v>
      </c>
      <c r="E11" s="496">
        <f t="shared" si="1"/>
        <v>4092668.5341046401</v>
      </c>
      <c r="F11" s="496">
        <f t="shared" si="1"/>
        <v>6894289</v>
      </c>
      <c r="G11" s="496">
        <f t="shared" si="1"/>
        <v>807354</v>
      </c>
      <c r="H11" s="496">
        <f t="shared" si="1"/>
        <v>1564956</v>
      </c>
      <c r="I11" s="496">
        <f t="shared" si="1"/>
        <v>608345.57913987304</v>
      </c>
      <c r="J11" s="496">
        <f t="shared" si="1"/>
        <v>796509.62140032602</v>
      </c>
      <c r="K11" s="496">
        <f t="shared" si="1"/>
        <v>4837936</v>
      </c>
      <c r="L11" s="496">
        <f t="shared" si="1"/>
        <v>804254</v>
      </c>
      <c r="M11" s="496">
        <f t="shared" si="1"/>
        <v>608345.57913987304</v>
      </c>
      <c r="N11" s="496">
        <f t="shared" si="1"/>
        <v>3650342</v>
      </c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&amp;R&amp;"Times New Roman CE,Félkövér"&amp;12 19. melléklet a …./2019. (…….) önkormányzati rendelethez
„19. melléklet a 5/2019. (IV. 1.) önkormányzati rendelethez”
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1"/>
  <sheetViews>
    <sheetView zoomScale="85" zoomScaleNormal="85" workbookViewId="0">
      <selection activeCell="T22" sqref="T22"/>
    </sheetView>
  </sheetViews>
  <sheetFormatPr defaultColWidth="9.33203125" defaultRowHeight="15" x14ac:dyDescent="0.2"/>
  <cols>
    <col min="1" max="1" width="102.83203125" style="486" customWidth="1"/>
    <col min="2" max="2" width="26.83203125" style="486" bestFit="1" customWidth="1"/>
    <col min="3" max="3" width="28" style="486" bestFit="1" customWidth="1"/>
    <col min="4" max="5" width="21.6640625" style="486" bestFit="1" customWidth="1"/>
    <col min="6" max="14" width="20.83203125" style="486" customWidth="1"/>
    <col min="15" max="16384" width="9.33203125" style="486"/>
  </cols>
  <sheetData>
    <row r="1" spans="1:14" ht="20.25" x14ac:dyDescent="0.3">
      <c r="A1" s="484" t="s">
        <v>705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</row>
    <row r="2" spans="1:14" ht="15.75" x14ac:dyDescent="0.25">
      <c r="A2" s="1034"/>
      <c r="B2" s="1034"/>
    </row>
    <row r="3" spans="1:14" ht="15.75" thickBot="1" x14ac:dyDescent="0.25"/>
    <row r="4" spans="1:14" ht="20.100000000000001" customHeight="1" x14ac:dyDescent="0.25">
      <c r="A4" s="438" t="s">
        <v>410</v>
      </c>
      <c r="B4" s="488" t="s">
        <v>402</v>
      </c>
      <c r="C4" s="488" t="s">
        <v>320</v>
      </c>
      <c r="D4" s="488" t="s">
        <v>321</v>
      </c>
      <c r="E4" s="488" t="s">
        <v>322</v>
      </c>
      <c r="F4" s="488" t="s">
        <v>323</v>
      </c>
      <c r="G4" s="488" t="s">
        <v>325</v>
      </c>
      <c r="H4" s="488" t="s">
        <v>326</v>
      </c>
      <c r="I4" s="488" t="s">
        <v>327</v>
      </c>
      <c r="J4" s="488" t="s">
        <v>328</v>
      </c>
      <c r="K4" s="488" t="s">
        <v>390</v>
      </c>
      <c r="L4" s="488" t="s">
        <v>391</v>
      </c>
      <c r="M4" s="488" t="s">
        <v>392</v>
      </c>
      <c r="N4" s="488" t="s">
        <v>393</v>
      </c>
    </row>
    <row r="5" spans="1:14" ht="20.100000000000001" customHeight="1" x14ac:dyDescent="0.2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</row>
    <row r="6" spans="1:14" ht="67.5" customHeight="1" thickBot="1" x14ac:dyDescent="0.25">
      <c r="A6" s="491"/>
      <c r="B6" s="432" t="s">
        <v>411</v>
      </c>
      <c r="C6" s="432" t="s">
        <v>404</v>
      </c>
      <c r="D6" s="432" t="s">
        <v>404</v>
      </c>
      <c r="E6" s="432" t="s">
        <v>404</v>
      </c>
      <c r="F6" s="432" t="s">
        <v>404</v>
      </c>
      <c r="G6" s="432" t="s">
        <v>404</v>
      </c>
      <c r="H6" s="432" t="s">
        <v>404</v>
      </c>
      <c r="I6" s="432" t="s">
        <v>404</v>
      </c>
      <c r="J6" s="432" t="s">
        <v>404</v>
      </c>
      <c r="K6" s="432" t="s">
        <v>404</v>
      </c>
      <c r="L6" s="432" t="s">
        <v>404</v>
      </c>
      <c r="M6" s="432" t="s">
        <v>404</v>
      </c>
      <c r="N6" s="432" t="s">
        <v>404</v>
      </c>
    </row>
    <row r="7" spans="1:14" s="460" customFormat="1" ht="24" customHeight="1" x14ac:dyDescent="0.25">
      <c r="A7" s="492" t="s">
        <v>412</v>
      </c>
      <c r="B7" s="493">
        <f>'1 kiemelt ei. '!N13</f>
        <v>22432056</v>
      </c>
      <c r="C7" s="493">
        <f>1270598.04316066+500000+92150+1000</f>
        <v>1863748.04316066</v>
      </c>
      <c r="D7" s="493">
        <f>1210936.54227123+92150+1000</f>
        <v>1304086.5422712299</v>
      </c>
      <c r="E7" s="493">
        <f>1811102.72653093+92150+1000</f>
        <v>1904252.72653093</v>
      </c>
      <c r="F7" s="493">
        <f>1237648+92150+1000+19500+3007110</f>
        <v>4357408</v>
      </c>
      <c r="G7" s="493">
        <f>1379601+92150+1000</f>
        <v>1472751</v>
      </c>
      <c r="H7" s="493">
        <f>1509981+92150+1000</f>
        <v>1603131</v>
      </c>
      <c r="I7" s="493">
        <f>1242193+92150+1000</f>
        <v>1335343</v>
      </c>
      <c r="J7" s="493">
        <f>1340898+92150+1000</f>
        <v>1434048</v>
      </c>
      <c r="K7" s="493">
        <f>1419793+92150+1000</f>
        <v>1512943</v>
      </c>
      <c r="L7" s="493">
        <f>1213678+92150+1000</f>
        <v>1306828</v>
      </c>
      <c r="M7" s="493">
        <f>1391895.13871894+92150+1000+450000</f>
        <v>1935045.1387189401</v>
      </c>
      <c r="N7" s="493">
        <f>1276603+92150+3026+40000+6000-173300-19605+687752+2000-30000+34000+27360+445350-18614+30000-250</f>
        <v>2402472</v>
      </c>
    </row>
    <row r="8" spans="1:14" s="460" customFormat="1" ht="24" customHeight="1" thickBot="1" x14ac:dyDescent="0.3">
      <c r="A8" s="501" t="s">
        <v>413</v>
      </c>
      <c r="B8" s="495">
        <f>'1 kiemelt ei. '!N17</f>
        <v>13641565</v>
      </c>
      <c r="C8" s="495"/>
      <c r="D8" s="495"/>
      <c r="E8" s="495">
        <v>10500</v>
      </c>
      <c r="F8" s="495">
        <f>10500+1000000+2098133</f>
        <v>3108633</v>
      </c>
      <c r="G8" s="495">
        <f>20000+10500+1000000</f>
        <v>1030500</v>
      </c>
      <c r="H8" s="495">
        <f>126272+10500+1000000</f>
        <v>1136772</v>
      </c>
      <c r="I8" s="495">
        <f>10500+1000000</f>
        <v>1010500</v>
      </c>
      <c r="J8" s="495">
        <f>20000+10500+1000000</f>
        <v>1030500</v>
      </c>
      <c r="K8" s="495">
        <f>200000+10500+1000000</f>
        <v>1210500</v>
      </c>
      <c r="L8" s="495">
        <f>200000+10500+1000000</f>
        <v>1210500</v>
      </c>
      <c r="M8" s="495">
        <f>100000+10500+1000000</f>
        <v>1110500</v>
      </c>
      <c r="N8" s="495">
        <f>244000+10500+150000+2778073+354300+19605-236248-2000+30000-34000-27360-493074+18614-30000+250</f>
        <v>2782660</v>
      </c>
    </row>
    <row r="9" spans="1:14" s="460" customFormat="1" ht="24" customHeight="1" thickBot="1" x14ac:dyDescent="0.3">
      <c r="A9" s="455" t="s">
        <v>414</v>
      </c>
      <c r="B9" s="496">
        <f t="shared" ref="B9:N9" si="0">B7+B8</f>
        <v>36073621</v>
      </c>
      <c r="C9" s="496">
        <f t="shared" si="0"/>
        <v>1863748.04316066</v>
      </c>
      <c r="D9" s="496">
        <f t="shared" si="0"/>
        <v>1304086.5422712299</v>
      </c>
      <c r="E9" s="496">
        <f t="shared" si="0"/>
        <v>1914752.72653093</v>
      </c>
      <c r="F9" s="496">
        <f t="shared" si="0"/>
        <v>7466041</v>
      </c>
      <c r="G9" s="496">
        <f t="shared" si="0"/>
        <v>2503251</v>
      </c>
      <c r="H9" s="496">
        <f t="shared" si="0"/>
        <v>2739903</v>
      </c>
      <c r="I9" s="496">
        <f t="shared" si="0"/>
        <v>2345843</v>
      </c>
      <c r="J9" s="496">
        <f t="shared" si="0"/>
        <v>2464548</v>
      </c>
      <c r="K9" s="496">
        <f t="shared" si="0"/>
        <v>2723443</v>
      </c>
      <c r="L9" s="496">
        <f t="shared" si="0"/>
        <v>2517328</v>
      </c>
      <c r="M9" s="496">
        <f t="shared" si="0"/>
        <v>3045545.1387189403</v>
      </c>
      <c r="N9" s="496">
        <f t="shared" si="0"/>
        <v>5185132</v>
      </c>
    </row>
    <row r="10" spans="1:14" ht="49.5" customHeight="1" thickBot="1" x14ac:dyDescent="0.3">
      <c r="A10" s="469" t="s">
        <v>415</v>
      </c>
      <c r="B10" s="498">
        <f>'1 kiemelt ei. '!N19</f>
        <v>158561</v>
      </c>
      <c r="C10" s="499">
        <v>93155</v>
      </c>
      <c r="D10" s="499"/>
      <c r="E10" s="499"/>
      <c r="F10" s="499"/>
      <c r="G10" s="499">
        <f t="shared" ref="G10:M10" si="1">5031+3144</f>
        <v>8175</v>
      </c>
      <c r="H10" s="499">
        <f t="shared" si="1"/>
        <v>8175</v>
      </c>
      <c r="I10" s="499">
        <f t="shared" si="1"/>
        <v>8175</v>
      </c>
      <c r="J10" s="499">
        <f t="shared" si="1"/>
        <v>8175</v>
      </c>
      <c r="K10" s="499">
        <f t="shared" si="1"/>
        <v>8175</v>
      </c>
      <c r="L10" s="499">
        <f t="shared" si="1"/>
        <v>8175</v>
      </c>
      <c r="M10" s="499">
        <f t="shared" si="1"/>
        <v>8175</v>
      </c>
      <c r="N10" s="499">
        <f>5033+3148</f>
        <v>8181</v>
      </c>
    </row>
    <row r="11" spans="1:14" s="460" customFormat="1" ht="24" customHeight="1" thickBot="1" x14ac:dyDescent="0.3">
      <c r="A11" s="455" t="s">
        <v>416</v>
      </c>
      <c r="B11" s="496">
        <f>SUM(B9:B10)</f>
        <v>36232182</v>
      </c>
      <c r="C11" s="496">
        <f t="shared" ref="C11:N11" si="2">SUM(C9:C10)</f>
        <v>1956903.04316066</v>
      </c>
      <c r="D11" s="496">
        <f t="shared" si="2"/>
        <v>1304086.5422712299</v>
      </c>
      <c r="E11" s="496">
        <f t="shared" si="2"/>
        <v>1914752.72653093</v>
      </c>
      <c r="F11" s="496">
        <f t="shared" si="2"/>
        <v>7466041</v>
      </c>
      <c r="G11" s="496">
        <f t="shared" si="2"/>
        <v>2511426</v>
      </c>
      <c r="H11" s="496">
        <f t="shared" si="2"/>
        <v>2748078</v>
      </c>
      <c r="I11" s="496">
        <f t="shared" si="2"/>
        <v>2354018</v>
      </c>
      <c r="J11" s="496">
        <f t="shared" si="2"/>
        <v>2472723</v>
      </c>
      <c r="K11" s="496">
        <f t="shared" si="2"/>
        <v>2731618</v>
      </c>
      <c r="L11" s="496">
        <f t="shared" si="2"/>
        <v>2525503</v>
      </c>
      <c r="M11" s="496">
        <f t="shared" si="2"/>
        <v>3053720.1387189403</v>
      </c>
      <c r="N11" s="496">
        <f t="shared" si="2"/>
        <v>5193313</v>
      </c>
    </row>
    <row r="12" spans="1:14" ht="24" customHeight="1" thickBot="1" x14ac:dyDescent="0.25">
      <c r="B12" s="1035"/>
    </row>
    <row r="13" spans="1:14" s="59" customFormat="1" ht="30" x14ac:dyDescent="0.2">
      <c r="A13" s="502" t="s">
        <v>303</v>
      </c>
      <c r="B13" s="503"/>
      <c r="C13" s="503" t="s">
        <v>417</v>
      </c>
      <c r="D13" s="503" t="s">
        <v>418</v>
      </c>
      <c r="E13" s="504" t="s">
        <v>419</v>
      </c>
    </row>
    <row r="14" spans="1:14" s="59" customFormat="1" ht="16.5" thickBot="1" x14ac:dyDescent="0.3">
      <c r="A14" s="505"/>
      <c r="B14" s="506"/>
      <c r="C14" s="507"/>
      <c r="D14" s="507"/>
      <c r="E14" s="508"/>
      <c r="F14" s="189"/>
      <c r="G14" s="509"/>
      <c r="H14" s="509"/>
      <c r="I14" s="509"/>
      <c r="J14" s="509"/>
      <c r="K14" s="509"/>
      <c r="L14" s="509"/>
      <c r="M14" s="509"/>
      <c r="N14" s="509"/>
    </row>
    <row r="15" spans="1:14" s="59" customFormat="1" ht="18" x14ac:dyDescent="0.25">
      <c r="A15" s="510" t="s">
        <v>420</v>
      </c>
      <c r="B15" s="511"/>
      <c r="C15" s="512">
        <f>'19 ei felh. terv bevétel'!C11</f>
        <v>10958836.579139873</v>
      </c>
      <c r="D15" s="512">
        <f>C11</f>
        <v>1956903.04316066</v>
      </c>
      <c r="E15" s="513">
        <f>+B15+C15-D15</f>
        <v>9001933.5359792132</v>
      </c>
      <c r="F15" s="189"/>
      <c r="G15" s="189"/>
      <c r="H15" s="189"/>
      <c r="I15" s="189"/>
      <c r="J15" s="189"/>
      <c r="K15" s="189"/>
      <c r="L15" s="189"/>
      <c r="M15" s="189"/>
    </row>
    <row r="16" spans="1:14" s="59" customFormat="1" ht="18" x14ac:dyDescent="0.25">
      <c r="A16" s="514" t="s">
        <v>421</v>
      </c>
      <c r="B16" s="515"/>
      <c r="C16" s="512">
        <f>'19 ei felh. terv bevétel'!D11</f>
        <v>608345.57913987304</v>
      </c>
      <c r="D16" s="512">
        <f>D11</f>
        <v>1304086.5422712299</v>
      </c>
      <c r="E16" s="516">
        <f t="shared" ref="E16:E26" si="3">+E15+C16-D16</f>
        <v>8306192.5728478562</v>
      </c>
      <c r="F16" s="189"/>
      <c r="G16" s="189"/>
      <c r="H16" s="189"/>
      <c r="I16" s="189"/>
      <c r="J16" s="189"/>
      <c r="K16" s="189"/>
      <c r="L16" s="189"/>
      <c r="M16" s="189"/>
    </row>
    <row r="17" spans="1:14" s="59" customFormat="1" ht="18" x14ac:dyDescent="0.25">
      <c r="A17" s="514" t="s">
        <v>383</v>
      </c>
      <c r="B17" s="515"/>
      <c r="C17" s="512">
        <f>'19 ei felh. terv bevétel'!E11</f>
        <v>4092668.5341046401</v>
      </c>
      <c r="D17" s="512">
        <f>E11</f>
        <v>1914752.72653093</v>
      </c>
      <c r="E17" s="516">
        <f t="shared" si="3"/>
        <v>10484108.380421566</v>
      </c>
      <c r="F17" s="189"/>
      <c r="G17" s="189"/>
      <c r="H17" s="189"/>
      <c r="I17" s="189"/>
      <c r="J17" s="189"/>
      <c r="K17" s="189"/>
      <c r="L17" s="189"/>
      <c r="M17" s="189"/>
    </row>
    <row r="18" spans="1:14" s="59" customFormat="1" ht="18" x14ac:dyDescent="0.25">
      <c r="A18" s="514" t="s">
        <v>384</v>
      </c>
      <c r="B18" s="515"/>
      <c r="C18" s="512">
        <f>'19 ei felh. terv bevétel'!F11</f>
        <v>6894289</v>
      </c>
      <c r="D18" s="512">
        <f>F11</f>
        <v>7466041</v>
      </c>
      <c r="E18" s="516">
        <f t="shared" si="3"/>
        <v>9912356.380421564</v>
      </c>
      <c r="F18" s="189"/>
      <c r="G18" s="189"/>
      <c r="H18" s="189"/>
      <c r="I18" s="189"/>
      <c r="J18" s="189"/>
      <c r="K18" s="189"/>
      <c r="L18" s="189"/>
      <c r="M18" s="189"/>
    </row>
    <row r="19" spans="1:14" s="59" customFormat="1" ht="18" x14ac:dyDescent="0.25">
      <c r="A19" s="514" t="s">
        <v>385</v>
      </c>
      <c r="B19" s="515"/>
      <c r="C19" s="512">
        <f>'19 ei felh. terv bevétel'!G11</f>
        <v>807354</v>
      </c>
      <c r="D19" s="512">
        <f>G11</f>
        <v>2511426</v>
      </c>
      <c r="E19" s="516">
        <f t="shared" si="3"/>
        <v>8208284.380421564</v>
      </c>
      <c r="F19" s="189"/>
      <c r="G19" s="189"/>
      <c r="H19" s="189"/>
      <c r="I19" s="189"/>
      <c r="J19" s="189"/>
      <c r="K19" s="189"/>
      <c r="L19" s="189"/>
      <c r="M19" s="189"/>
    </row>
    <row r="20" spans="1:14" s="59" customFormat="1" ht="18" x14ac:dyDescent="0.25">
      <c r="A20" s="514" t="s">
        <v>422</v>
      </c>
      <c r="B20" s="515"/>
      <c r="C20" s="512">
        <f>'19 ei felh. terv bevétel'!H11</f>
        <v>1564956</v>
      </c>
      <c r="D20" s="512">
        <f>H11</f>
        <v>2748078</v>
      </c>
      <c r="E20" s="516">
        <f t="shared" si="3"/>
        <v>7025162.380421564</v>
      </c>
      <c r="F20" s="189"/>
      <c r="G20" s="189"/>
      <c r="H20" s="189"/>
      <c r="I20" s="189"/>
      <c r="J20" s="189"/>
      <c r="K20" s="189"/>
      <c r="L20" s="189"/>
      <c r="M20" s="189"/>
    </row>
    <row r="21" spans="1:14" s="59" customFormat="1" ht="18" x14ac:dyDescent="0.25">
      <c r="A21" s="514" t="s">
        <v>423</v>
      </c>
      <c r="B21" s="515"/>
      <c r="C21" s="512">
        <f>'19 ei felh. terv bevétel'!I11</f>
        <v>608345.57913987304</v>
      </c>
      <c r="D21" s="512">
        <f>I11</f>
        <v>2354018</v>
      </c>
      <c r="E21" s="516">
        <f t="shared" si="3"/>
        <v>5279489.9595614374</v>
      </c>
      <c r="F21" s="189"/>
      <c r="G21" s="189"/>
      <c r="H21" s="189"/>
      <c r="I21" s="189"/>
      <c r="J21" s="189"/>
      <c r="K21" s="189"/>
      <c r="L21" s="189"/>
      <c r="M21" s="189"/>
    </row>
    <row r="22" spans="1:14" s="59" customFormat="1" ht="18" x14ac:dyDescent="0.25">
      <c r="A22" s="514" t="s">
        <v>424</v>
      </c>
      <c r="B22" s="515"/>
      <c r="C22" s="512">
        <f>'19 ei felh. terv bevétel'!J11</f>
        <v>796509.62140032602</v>
      </c>
      <c r="D22" s="512">
        <f>J11</f>
        <v>2472723</v>
      </c>
      <c r="E22" s="516">
        <f t="shared" si="3"/>
        <v>3603276.5809617639</v>
      </c>
      <c r="F22" s="189"/>
      <c r="G22" s="189"/>
      <c r="H22" s="189"/>
      <c r="I22" s="189"/>
      <c r="J22" s="189"/>
      <c r="K22" s="189"/>
      <c r="L22" s="189"/>
      <c r="M22" s="189"/>
    </row>
    <row r="23" spans="1:14" s="59" customFormat="1" ht="18" x14ac:dyDescent="0.25">
      <c r="A23" s="514" t="s">
        <v>386</v>
      </c>
      <c r="B23" s="515"/>
      <c r="C23" s="512">
        <f>'19 ei felh. terv bevétel'!K11</f>
        <v>4837936</v>
      </c>
      <c r="D23" s="512">
        <f>K11</f>
        <v>2731618</v>
      </c>
      <c r="E23" s="516">
        <f t="shared" si="3"/>
        <v>5709594.5809617639</v>
      </c>
      <c r="F23" s="189"/>
      <c r="G23" s="189"/>
      <c r="H23" s="189"/>
      <c r="I23" s="189"/>
      <c r="J23" s="189"/>
      <c r="K23" s="189"/>
      <c r="L23" s="189"/>
      <c r="M23" s="189"/>
    </row>
    <row r="24" spans="1:14" s="59" customFormat="1" ht="18" x14ac:dyDescent="0.25">
      <c r="A24" s="514" t="s">
        <v>388</v>
      </c>
      <c r="B24" s="515"/>
      <c r="C24" s="512">
        <f>'19 ei felh. terv bevétel'!L11</f>
        <v>804254</v>
      </c>
      <c r="D24" s="512">
        <f>L11</f>
        <v>2525503</v>
      </c>
      <c r="E24" s="516">
        <f t="shared" si="3"/>
        <v>3988345.5809617639</v>
      </c>
      <c r="F24" s="189"/>
      <c r="G24" s="189"/>
      <c r="H24" s="189"/>
      <c r="I24" s="189"/>
      <c r="J24" s="189"/>
      <c r="K24" s="189"/>
      <c r="L24" s="189"/>
      <c r="M24" s="189"/>
    </row>
    <row r="25" spans="1:14" s="59" customFormat="1" ht="18" x14ac:dyDescent="0.25">
      <c r="A25" s="514" t="s">
        <v>425</v>
      </c>
      <c r="B25" s="515"/>
      <c r="C25" s="512">
        <f>'19 ei felh. terv bevétel'!M11</f>
        <v>608345.57913987304</v>
      </c>
      <c r="D25" s="512">
        <f>M11</f>
        <v>3053720.1387189403</v>
      </c>
      <c r="E25" s="516">
        <f t="shared" si="3"/>
        <v>1542971.0213826969</v>
      </c>
      <c r="F25" s="189"/>
      <c r="G25" s="189"/>
      <c r="H25" s="189"/>
      <c r="I25" s="189"/>
      <c r="J25" s="189"/>
      <c r="K25" s="189"/>
      <c r="L25" s="189"/>
      <c r="M25" s="189"/>
    </row>
    <row r="26" spans="1:14" s="59" customFormat="1" ht="18.75" thickBot="1" x14ac:dyDescent="0.3">
      <c r="A26" s="517" t="s">
        <v>426</v>
      </c>
      <c r="B26" s="518"/>
      <c r="C26" s="519">
        <f>'19 ei felh. terv bevétel'!N11</f>
        <v>3650342</v>
      </c>
      <c r="D26" s="519">
        <f>N11</f>
        <v>5193313</v>
      </c>
      <c r="E26" s="520">
        <f t="shared" si="3"/>
        <v>2.1382696926593781E-2</v>
      </c>
      <c r="F26" s="189"/>
      <c r="G26" s="189"/>
      <c r="H26" s="189"/>
      <c r="I26" s="189"/>
      <c r="J26" s="189"/>
      <c r="K26" s="189"/>
      <c r="L26" s="189"/>
      <c r="M26" s="189"/>
    </row>
    <row r="27" spans="1:14" s="59" customFormat="1" ht="18.75" thickBot="1" x14ac:dyDescent="0.3">
      <c r="A27" s="521" t="s">
        <v>350</v>
      </c>
      <c r="B27" s="522"/>
      <c r="C27" s="523">
        <f>SUM(C15:C26)</f>
        <v>36232182.472064458</v>
      </c>
      <c r="D27" s="523">
        <f>SUM(D15:D26)</f>
        <v>36232182.450681761</v>
      </c>
      <c r="E27" s="524">
        <f>+C27-D27</f>
        <v>2.1382696926593781E-2</v>
      </c>
      <c r="G27" s="189"/>
      <c r="H27" s="189"/>
      <c r="I27" s="189"/>
      <c r="J27" s="189"/>
      <c r="K27" s="189"/>
      <c r="L27" s="189"/>
      <c r="M27" s="189"/>
    </row>
    <row r="30" spans="1:14" x14ac:dyDescent="0.2">
      <c r="B30" s="48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</row>
    <row r="31" spans="1:14" x14ac:dyDescent="0.2">
      <c r="C31" s="527"/>
      <c r="D31" s="527"/>
      <c r="E31" s="527"/>
      <c r="F31" s="527"/>
      <c r="G31" s="527"/>
      <c r="H31" s="527"/>
      <c r="I31" s="527"/>
      <c r="J31" s="527"/>
      <c r="K31" s="527"/>
      <c r="L31" s="527"/>
      <c r="M31" s="527"/>
      <c r="N31" s="527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&amp;R&amp;"Times New Roman CE,Félkövér"&amp;12 19. melléklet a …./2019. (…….) önkormányzati rendelethez
„19. melléklet a 5/2019. (IV. 1.) önkormányzati rendelethez”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1"/>
  <dimension ref="A1:O130"/>
  <sheetViews>
    <sheetView topLeftCell="B1" zoomScale="75" zoomScaleNormal="75" workbookViewId="0">
      <selection activeCell="H95" sqref="H95"/>
    </sheetView>
  </sheetViews>
  <sheetFormatPr defaultColWidth="9.33203125" defaultRowHeight="21" customHeight="1" x14ac:dyDescent="0.2"/>
  <cols>
    <col min="1" max="1" width="21.33203125" style="5" customWidth="1"/>
    <col min="2" max="2" width="5" style="5" customWidth="1"/>
    <col min="3" max="5" width="2.33203125" style="5" customWidth="1"/>
    <col min="6" max="6" width="173.33203125" style="5" customWidth="1"/>
    <col min="7" max="7" width="37.33203125" style="5" bestFit="1" customWidth="1"/>
    <col min="8" max="8" width="39.1640625" style="5" bestFit="1" customWidth="1"/>
    <col min="9" max="9" width="38.1640625" style="4" bestFit="1" customWidth="1"/>
    <col min="10" max="10" width="14" style="5" bestFit="1" customWidth="1"/>
    <col min="11" max="12" width="16.5" style="5" bestFit="1" customWidth="1"/>
    <col min="13" max="13" width="12.1640625" style="5" bestFit="1" customWidth="1"/>
    <col min="14" max="14" width="9.33203125" style="5"/>
    <col min="15" max="15" width="17.1640625" style="5" customWidth="1"/>
    <col min="16" max="16384" width="9.33203125" style="5"/>
  </cols>
  <sheetData>
    <row r="1" spans="2:13" ht="21" customHeight="1" x14ac:dyDescent="0.25">
      <c r="B1" s="962"/>
      <c r="C1" s="962"/>
      <c r="D1" s="962"/>
      <c r="E1" s="962"/>
      <c r="F1" s="962"/>
      <c r="G1" s="2"/>
      <c r="H1" s="2"/>
      <c r="I1" s="224"/>
    </row>
    <row r="2" spans="2:13" ht="21" customHeight="1" x14ac:dyDescent="0.35">
      <c r="B2" s="963" t="s">
        <v>183</v>
      </c>
      <c r="C2" s="963"/>
      <c r="D2" s="963"/>
      <c r="E2" s="963"/>
      <c r="F2" s="963"/>
      <c r="G2" s="963"/>
      <c r="H2" s="963"/>
    </row>
    <row r="3" spans="2:13" ht="21" customHeight="1" x14ac:dyDescent="0.25">
      <c r="B3" s="2"/>
      <c r="C3" s="2"/>
      <c r="D3" s="2"/>
      <c r="E3" s="2"/>
      <c r="F3" s="2"/>
      <c r="G3" s="2"/>
      <c r="H3" s="2"/>
      <c r="I3" s="224"/>
    </row>
    <row r="4" spans="2:13" ht="21" customHeight="1" thickBot="1" x14ac:dyDescent="0.3">
      <c r="C4" s="12"/>
      <c r="D4" s="12"/>
      <c r="E4" s="12"/>
      <c r="F4" s="23"/>
      <c r="G4" s="9"/>
      <c r="I4" s="301" t="s">
        <v>380</v>
      </c>
    </row>
    <row r="5" spans="2:13" ht="21" customHeight="1" x14ac:dyDescent="0.25">
      <c r="B5" s="307"/>
      <c r="C5" s="308"/>
      <c r="D5" s="308"/>
      <c r="E5" s="308"/>
      <c r="F5" s="309" t="s">
        <v>303</v>
      </c>
      <c r="G5" s="529" t="s">
        <v>923</v>
      </c>
      <c r="H5" s="529" t="s">
        <v>863</v>
      </c>
      <c r="I5" s="529" t="s">
        <v>955</v>
      </c>
    </row>
    <row r="6" spans="2:13" ht="21" customHeight="1" thickBot="1" x14ac:dyDescent="0.3">
      <c r="B6" s="310"/>
      <c r="C6" s="311"/>
      <c r="D6" s="311"/>
      <c r="E6" s="311"/>
      <c r="F6" s="312"/>
      <c r="G6" s="395" t="s">
        <v>635</v>
      </c>
      <c r="H6" s="395" t="s">
        <v>864</v>
      </c>
      <c r="I6" s="395" t="s">
        <v>635</v>
      </c>
    </row>
    <row r="7" spans="2:13" ht="21" customHeight="1" x14ac:dyDescent="0.25">
      <c r="B7" s="159" t="s">
        <v>177</v>
      </c>
      <c r="C7" s="160"/>
      <c r="D7" s="100"/>
      <c r="E7" s="100"/>
      <c r="F7" s="100"/>
      <c r="G7" s="253"/>
      <c r="H7" s="253"/>
      <c r="I7" s="253"/>
    </row>
    <row r="8" spans="2:13" s="90" customFormat="1" ht="21" customHeight="1" x14ac:dyDescent="0.3">
      <c r="B8" s="315"/>
      <c r="C8" s="74" t="s">
        <v>506</v>
      </c>
      <c r="D8" s="74"/>
      <c r="E8" s="74"/>
      <c r="F8" s="540"/>
      <c r="G8" s="541">
        <v>8046</v>
      </c>
      <c r="H8" s="541">
        <f>6966+10-10</f>
        <v>6966</v>
      </c>
      <c r="I8" s="541">
        <f>G8+H8</f>
        <v>15012</v>
      </c>
      <c r="J8" s="4"/>
      <c r="M8" s="542"/>
    </row>
    <row r="9" spans="2:13" s="90" customFormat="1" ht="21" customHeight="1" x14ac:dyDescent="0.3">
      <c r="B9" s="315"/>
      <c r="C9" s="74"/>
      <c r="D9" s="74"/>
      <c r="E9" s="74"/>
      <c r="F9" s="357" t="s">
        <v>899</v>
      </c>
      <c r="G9" s="358">
        <v>1958</v>
      </c>
      <c r="H9" s="358">
        <v>6966</v>
      </c>
      <c r="I9" s="541">
        <f>G9+H9</f>
        <v>8924</v>
      </c>
      <c r="J9" s="348"/>
    </row>
    <row r="10" spans="2:13" s="90" customFormat="1" ht="21" customHeight="1" x14ac:dyDescent="0.3">
      <c r="B10" s="315"/>
      <c r="C10" s="74"/>
      <c r="D10" s="74"/>
      <c r="E10" s="74"/>
      <c r="F10" s="357" t="s">
        <v>900</v>
      </c>
      <c r="G10" s="358">
        <v>5998</v>
      </c>
      <c r="H10" s="358"/>
      <c r="I10" s="687">
        <f>G10+H10</f>
        <v>5998</v>
      </c>
      <c r="J10" s="348"/>
    </row>
    <row r="11" spans="2:13" s="90" customFormat="1" ht="24.75" customHeight="1" x14ac:dyDescent="0.3">
      <c r="B11" s="315"/>
      <c r="C11" s="360" t="s">
        <v>513</v>
      </c>
      <c r="D11" s="360"/>
      <c r="E11" s="360"/>
      <c r="F11" s="361"/>
      <c r="G11" s="362">
        <v>1589172</v>
      </c>
      <c r="H11" s="362">
        <f>27105+11813+5404</f>
        <v>44322</v>
      </c>
      <c r="I11" s="541">
        <f>G11+H11</f>
        <v>1633494</v>
      </c>
      <c r="J11" s="542"/>
    </row>
    <row r="12" spans="2:13" s="90" customFormat="1" ht="24.75" customHeight="1" x14ac:dyDescent="0.3">
      <c r="B12" s="315"/>
      <c r="C12" s="74"/>
      <c r="D12" s="74"/>
      <c r="E12" s="74"/>
      <c r="F12" s="357"/>
      <c r="G12" s="541"/>
      <c r="H12" s="541"/>
      <c r="I12" s="687"/>
      <c r="J12" s="542"/>
    </row>
    <row r="13" spans="2:13" s="90" customFormat="1" ht="21" customHeight="1" x14ac:dyDescent="0.3">
      <c r="B13" s="315"/>
      <c r="C13" s="360" t="s">
        <v>514</v>
      </c>
      <c r="D13" s="360"/>
      <c r="E13" s="360"/>
      <c r="F13" s="361"/>
      <c r="G13" s="362">
        <v>1356357</v>
      </c>
      <c r="H13" s="362">
        <f>67057+55585+5492-26336-32145</f>
        <v>69653</v>
      </c>
      <c r="I13" s="541">
        <f>G13+H13</f>
        <v>1426010</v>
      </c>
    </row>
    <row r="14" spans="2:13" s="90" customFormat="1" ht="21" customHeight="1" x14ac:dyDescent="0.3">
      <c r="B14" s="315"/>
      <c r="C14" s="74"/>
      <c r="D14" s="316"/>
      <c r="E14" s="74"/>
      <c r="F14" s="316" t="s">
        <v>515</v>
      </c>
      <c r="G14" s="317"/>
      <c r="H14" s="317"/>
      <c r="I14" s="317"/>
      <c r="J14" s="134"/>
      <c r="K14" s="134"/>
    </row>
    <row r="15" spans="2:13" s="90" customFormat="1" ht="21" customHeight="1" x14ac:dyDescent="0.3">
      <c r="B15" s="315"/>
      <c r="C15" s="359"/>
      <c r="D15" s="739"/>
      <c r="E15" s="359"/>
      <c r="F15" s="739" t="s">
        <v>643</v>
      </c>
      <c r="G15" s="740">
        <v>56439</v>
      </c>
      <c r="H15" s="347">
        <v>67057</v>
      </c>
      <c r="I15" s="688">
        <f>G15+H15</f>
        <v>123496</v>
      </c>
      <c r="J15" s="134"/>
      <c r="K15" s="134"/>
    </row>
    <row r="16" spans="2:13" s="90" customFormat="1" ht="21" customHeight="1" x14ac:dyDescent="0.3">
      <c r="B16" s="315"/>
      <c r="C16" s="74" t="s">
        <v>516</v>
      </c>
      <c r="D16" s="357"/>
      <c r="E16" s="74"/>
      <c r="F16" s="357"/>
      <c r="G16" s="541">
        <f>G8+G11+G13</f>
        <v>2953575</v>
      </c>
      <c r="H16" s="362">
        <f>H8+H11+H13</f>
        <v>120941</v>
      </c>
      <c r="I16" s="362">
        <f>I8+I11+I13</f>
        <v>3074516</v>
      </c>
      <c r="J16" s="134"/>
      <c r="K16" s="134"/>
    </row>
    <row r="17" spans="1:9" s="90" customFormat="1" ht="21" customHeight="1" x14ac:dyDescent="0.3">
      <c r="B17" s="315"/>
      <c r="C17" s="360" t="s">
        <v>42</v>
      </c>
      <c r="D17" s="360"/>
      <c r="E17" s="360"/>
      <c r="F17" s="382"/>
      <c r="G17" s="363"/>
      <c r="H17" s="363"/>
      <c r="I17" s="363"/>
    </row>
    <row r="18" spans="1:9" ht="21" customHeight="1" x14ac:dyDescent="0.25">
      <c r="B18" s="37"/>
      <c r="C18" s="36"/>
      <c r="D18" s="162" t="s">
        <v>186</v>
      </c>
      <c r="E18" s="162"/>
      <c r="F18" s="328"/>
      <c r="G18" s="151">
        <v>125000</v>
      </c>
      <c r="H18" s="151"/>
      <c r="I18" s="151">
        <f>G18+H18</f>
        <v>125000</v>
      </c>
    </row>
    <row r="19" spans="1:9" ht="21" customHeight="1" x14ac:dyDescent="0.25">
      <c r="B19" s="37"/>
      <c r="C19" s="36"/>
      <c r="D19" s="162" t="s">
        <v>187</v>
      </c>
      <c r="E19" s="162"/>
      <c r="F19" s="328"/>
      <c r="G19" s="151">
        <v>83400</v>
      </c>
      <c r="H19" s="151"/>
      <c r="I19" s="151">
        <f t="shared" ref="I19:I28" si="0">G19+H19</f>
        <v>83400</v>
      </c>
    </row>
    <row r="20" spans="1:9" ht="21" customHeight="1" x14ac:dyDescent="0.25">
      <c r="B20" s="37"/>
      <c r="C20" s="36"/>
      <c r="D20" s="162" t="s">
        <v>188</v>
      </c>
      <c r="E20" s="104"/>
      <c r="F20" s="318"/>
      <c r="G20" s="151">
        <v>42400</v>
      </c>
      <c r="H20" s="151"/>
      <c r="I20" s="151">
        <f t="shared" si="0"/>
        <v>42400</v>
      </c>
    </row>
    <row r="21" spans="1:9" ht="21" customHeight="1" x14ac:dyDescent="0.25">
      <c r="B21" s="37"/>
      <c r="C21" s="36"/>
      <c r="D21" s="162" t="s">
        <v>189</v>
      </c>
      <c r="E21" s="104"/>
      <c r="F21" s="318"/>
      <c r="G21" s="151">
        <v>28200</v>
      </c>
      <c r="H21" s="151"/>
      <c r="I21" s="151">
        <f t="shared" si="0"/>
        <v>28200</v>
      </c>
    </row>
    <row r="22" spans="1:9" ht="21" customHeight="1" x14ac:dyDescent="0.25">
      <c r="B22" s="37"/>
      <c r="C22" s="36"/>
      <c r="D22" s="104" t="s">
        <v>194</v>
      </c>
      <c r="E22" s="104"/>
      <c r="F22" s="318"/>
      <c r="G22" s="158">
        <v>245000</v>
      </c>
      <c r="H22" s="158"/>
      <c r="I22" s="151">
        <f t="shared" si="0"/>
        <v>245000</v>
      </c>
    </row>
    <row r="23" spans="1:9" ht="21" customHeight="1" x14ac:dyDescent="0.25">
      <c r="B23" s="37"/>
      <c r="C23" s="36"/>
      <c r="D23" s="104" t="s">
        <v>376</v>
      </c>
      <c r="E23" s="104"/>
      <c r="F23" s="318"/>
      <c r="G23" s="151">
        <v>147600</v>
      </c>
      <c r="H23" s="151"/>
      <c r="I23" s="151">
        <f t="shared" si="0"/>
        <v>147600</v>
      </c>
    </row>
    <row r="24" spans="1:9" ht="21" customHeight="1" x14ac:dyDescent="0.25">
      <c r="B24" s="37"/>
      <c r="C24" s="36"/>
      <c r="D24" s="104" t="s">
        <v>377</v>
      </c>
      <c r="E24" s="104"/>
      <c r="F24" s="318"/>
      <c r="G24" s="151">
        <v>150000</v>
      </c>
      <c r="H24" s="151"/>
      <c r="I24" s="151">
        <f t="shared" si="0"/>
        <v>150000</v>
      </c>
    </row>
    <row r="25" spans="1:9" ht="21" customHeight="1" x14ac:dyDescent="0.25">
      <c r="B25" s="37"/>
      <c r="C25" s="36"/>
      <c r="D25" s="104" t="s">
        <v>379</v>
      </c>
      <c r="E25" s="104"/>
      <c r="F25" s="318"/>
      <c r="G25" s="151">
        <v>140709</v>
      </c>
      <c r="H25" s="151"/>
      <c r="I25" s="151">
        <f t="shared" si="0"/>
        <v>140709</v>
      </c>
    </row>
    <row r="26" spans="1:9" ht="21" customHeight="1" x14ac:dyDescent="0.25">
      <c r="B26" s="37"/>
      <c r="C26" s="36"/>
      <c r="D26" s="104" t="s">
        <v>378</v>
      </c>
      <c r="E26" s="104"/>
      <c r="F26" s="318"/>
      <c r="G26" s="151">
        <v>34744</v>
      </c>
      <c r="H26" s="151"/>
      <c r="I26" s="151">
        <f t="shared" si="0"/>
        <v>34744</v>
      </c>
    </row>
    <row r="27" spans="1:9" ht="21" customHeight="1" x14ac:dyDescent="0.25">
      <c r="B27" s="37"/>
      <c r="C27" s="36"/>
      <c r="D27" s="104" t="s">
        <v>517</v>
      </c>
      <c r="E27" s="104"/>
      <c r="F27" s="318"/>
      <c r="G27" s="151">
        <v>33543</v>
      </c>
      <c r="H27" s="151">
        <v>39820</v>
      </c>
      <c r="I27" s="151">
        <f t="shared" si="0"/>
        <v>73363</v>
      </c>
    </row>
    <row r="28" spans="1:9" ht="21" customHeight="1" x14ac:dyDescent="0.25">
      <c r="B28" s="37"/>
      <c r="C28" s="478"/>
      <c r="D28" s="479" t="s">
        <v>933</v>
      </c>
      <c r="E28" s="479"/>
      <c r="F28" s="479"/>
      <c r="G28" s="480">
        <v>1419</v>
      </c>
      <c r="H28" s="480"/>
      <c r="I28" s="741">
        <f t="shared" si="0"/>
        <v>1419</v>
      </c>
    </row>
    <row r="29" spans="1:9" s="90" customFormat="1" ht="21" customHeight="1" x14ac:dyDescent="0.3">
      <c r="B29" s="315"/>
      <c r="C29" s="359" t="s">
        <v>471</v>
      </c>
      <c r="D29" s="359"/>
      <c r="E29" s="359"/>
      <c r="F29" s="383"/>
      <c r="G29" s="384">
        <f>SUM(G18:G28)</f>
        <v>1032015</v>
      </c>
      <c r="H29" s="384">
        <f>SUM(H18:H28)</f>
        <v>39820</v>
      </c>
      <c r="I29" s="384">
        <f>SUM(I18:I28)</f>
        <v>1071835</v>
      </c>
    </row>
    <row r="30" spans="1:9" s="90" customFormat="1" ht="21" customHeight="1" x14ac:dyDescent="0.3">
      <c r="B30" s="315"/>
      <c r="C30" s="360" t="s">
        <v>90</v>
      </c>
      <c r="D30" s="360"/>
      <c r="E30" s="360"/>
      <c r="F30" s="361"/>
      <c r="G30" s="363"/>
      <c r="H30" s="363"/>
      <c r="I30" s="363"/>
    </row>
    <row r="31" spans="1:9" s="735" customFormat="1" ht="21" customHeight="1" x14ac:dyDescent="0.3">
      <c r="A31" s="703"/>
      <c r="B31" s="732"/>
      <c r="C31" s="733"/>
      <c r="D31" s="734" t="s">
        <v>945</v>
      </c>
      <c r="E31" s="734"/>
      <c r="F31" s="734"/>
      <c r="G31" s="715">
        <v>117762</v>
      </c>
      <c r="H31" s="715"/>
      <c r="I31" s="715">
        <f>G31+H31</f>
        <v>117762</v>
      </c>
    </row>
    <row r="32" spans="1:9" s="735" customFormat="1" ht="21" customHeight="1" x14ac:dyDescent="0.3">
      <c r="A32" s="703"/>
      <c r="B32" s="732"/>
      <c r="C32" s="733"/>
      <c r="D32" s="734" t="s">
        <v>984</v>
      </c>
      <c r="E32" s="734"/>
      <c r="F32" s="734"/>
      <c r="G32" s="715"/>
      <c r="H32" s="715">
        <v>900</v>
      </c>
      <c r="I32" s="715">
        <f>SUM(G32:H32)</f>
        <v>900</v>
      </c>
    </row>
    <row r="33" spans="1:15" s="735" customFormat="1" ht="21" customHeight="1" x14ac:dyDescent="0.3">
      <c r="A33" s="703"/>
      <c r="B33" s="732"/>
      <c r="C33" s="733"/>
      <c r="D33" s="734" t="s">
        <v>985</v>
      </c>
      <c r="E33" s="734"/>
      <c r="F33" s="734"/>
      <c r="G33" s="715"/>
      <c r="H33" s="715">
        <v>26358</v>
      </c>
      <c r="I33" s="715">
        <f>SUM(G33:H33)</f>
        <v>26358</v>
      </c>
    </row>
    <row r="34" spans="1:15" s="90" customFormat="1" ht="21" customHeight="1" x14ac:dyDescent="0.3">
      <c r="B34" s="315"/>
      <c r="C34" s="364" t="s">
        <v>472</v>
      </c>
      <c r="D34" s="354"/>
      <c r="E34" s="354"/>
      <c r="F34" s="355"/>
      <c r="G34" s="356">
        <f>SUM(G30:G33)</f>
        <v>117762</v>
      </c>
      <c r="H34" s="356">
        <f>SUM(H30:H33)</f>
        <v>27258</v>
      </c>
      <c r="I34" s="356">
        <f>SUM(I30:I33)</f>
        <v>145020</v>
      </c>
    </row>
    <row r="35" spans="1:15" ht="21" customHeight="1" x14ac:dyDescent="0.3">
      <c r="B35" s="315"/>
      <c r="C35" s="360" t="s">
        <v>474</v>
      </c>
      <c r="D35" s="360"/>
      <c r="E35" s="360"/>
      <c r="F35" s="361"/>
      <c r="G35" s="385"/>
      <c r="H35" s="385"/>
      <c r="I35" s="385"/>
    </row>
    <row r="36" spans="1:15" ht="21" customHeight="1" x14ac:dyDescent="0.25">
      <c r="B36" s="37"/>
      <c r="C36" s="36"/>
      <c r="D36" s="28" t="s">
        <v>642</v>
      </c>
      <c r="E36" s="28"/>
      <c r="F36" s="365"/>
      <c r="G36" s="41"/>
      <c r="H36" s="41"/>
      <c r="I36" s="41">
        <f>SUM(G36:H36)</f>
        <v>0</v>
      </c>
    </row>
    <row r="37" spans="1:15" ht="21" customHeight="1" thickBot="1" x14ac:dyDescent="0.35">
      <c r="B37" s="315"/>
      <c r="C37" s="366" t="s">
        <v>473</v>
      </c>
      <c r="D37" s="366"/>
      <c r="E37" s="366"/>
      <c r="F37" s="367"/>
      <c r="G37" s="368"/>
      <c r="H37" s="368">
        <f>SUM(H36)</f>
        <v>0</v>
      </c>
      <c r="I37" s="368">
        <f>SUM(I36)</f>
        <v>0</v>
      </c>
    </row>
    <row r="38" spans="1:15" ht="21" customHeight="1" thickBot="1" x14ac:dyDescent="0.35">
      <c r="B38" s="159" t="s">
        <v>475</v>
      </c>
      <c r="C38" s="313" t="s">
        <v>41</v>
      </c>
      <c r="D38" s="314"/>
      <c r="E38" s="314"/>
      <c r="F38" s="314"/>
      <c r="G38" s="102">
        <f>G8+G11+G13+G29+G34+G37</f>
        <v>4103352</v>
      </c>
      <c r="H38" s="102">
        <f>H8+H11+H13+H29+H34+H37</f>
        <v>188019</v>
      </c>
      <c r="I38" s="102">
        <f>I8+I11+I13+I29+I34+I37</f>
        <v>4291371</v>
      </c>
      <c r="K38" s="4"/>
      <c r="M38" s="4"/>
      <c r="O38" s="4"/>
    </row>
    <row r="39" spans="1:15" ht="21" customHeight="1" thickBot="1" x14ac:dyDescent="0.35">
      <c r="B39" s="159"/>
      <c r="C39" s="313"/>
      <c r="D39" s="369" t="s">
        <v>470</v>
      </c>
      <c r="E39" s="314"/>
      <c r="F39" s="314"/>
      <c r="G39" s="102"/>
      <c r="H39" s="102"/>
      <c r="I39" s="102"/>
    </row>
    <row r="40" spans="1:15" ht="21" customHeight="1" thickBot="1" x14ac:dyDescent="0.3">
      <c r="B40" s="159" t="s">
        <v>476</v>
      </c>
      <c r="C40" s="319" t="s">
        <v>73</v>
      </c>
      <c r="D40" s="320"/>
      <c r="E40" s="320"/>
      <c r="F40" s="320"/>
      <c r="G40" s="370">
        <f>G39</f>
        <v>0</v>
      </c>
      <c r="H40" s="370">
        <f>H39</f>
        <v>0</v>
      </c>
      <c r="I40" s="370">
        <f>I39</f>
        <v>0</v>
      </c>
    </row>
    <row r="41" spans="1:15" ht="21" customHeight="1" x14ac:dyDescent="0.3">
      <c r="B41" s="37"/>
      <c r="C41" s="165"/>
      <c r="D41" s="322" t="s">
        <v>3</v>
      </c>
      <c r="E41" s="322"/>
      <c r="F41" s="162"/>
      <c r="G41" s="481">
        <v>30000</v>
      </c>
      <c r="H41" s="481"/>
      <c r="I41" s="481">
        <f>G41+H41</f>
        <v>30000</v>
      </c>
    </row>
    <row r="42" spans="1:15" ht="21" customHeight="1" x14ac:dyDescent="0.3">
      <c r="B42" s="37"/>
      <c r="C42" s="165"/>
      <c r="D42" s="348" t="s">
        <v>440</v>
      </c>
      <c r="E42" s="322"/>
      <c r="F42" s="162"/>
      <c r="G42" s="149">
        <v>1000</v>
      </c>
      <c r="H42" s="149"/>
      <c r="I42" s="149">
        <f t="shared" ref="I42:I51" si="1">G42+H42</f>
        <v>1000</v>
      </c>
    </row>
    <row r="43" spans="1:15" ht="18.75" x14ac:dyDescent="0.3">
      <c r="B43" s="37"/>
      <c r="C43" s="165"/>
      <c r="D43" s="324" t="s">
        <v>457</v>
      </c>
      <c r="E43" s="323"/>
      <c r="F43" s="323"/>
      <c r="G43" s="149">
        <v>13402</v>
      </c>
      <c r="H43" s="149"/>
      <c r="I43" s="149">
        <f t="shared" si="1"/>
        <v>13402</v>
      </c>
    </row>
    <row r="44" spans="1:15" ht="18.75" x14ac:dyDescent="0.3">
      <c r="B44" s="37"/>
      <c r="C44" s="165"/>
      <c r="D44" s="324" t="s">
        <v>636</v>
      </c>
      <c r="E44" s="323"/>
      <c r="F44" s="323"/>
      <c r="G44" s="149">
        <v>78156</v>
      </c>
      <c r="H44" s="149"/>
      <c r="I44" s="149">
        <f t="shared" si="1"/>
        <v>78156</v>
      </c>
    </row>
    <row r="45" spans="1:15" ht="18.75" x14ac:dyDescent="0.3">
      <c r="B45" s="37"/>
      <c r="C45" s="165"/>
      <c r="D45" s="324" t="s">
        <v>592</v>
      </c>
      <c r="E45" s="323"/>
      <c r="F45" s="323"/>
      <c r="G45" s="149">
        <v>2673</v>
      </c>
      <c r="H45" s="149"/>
      <c r="I45" s="149">
        <f t="shared" si="1"/>
        <v>2673</v>
      </c>
    </row>
    <row r="46" spans="1:15" ht="18.75" x14ac:dyDescent="0.3">
      <c r="B46" s="37"/>
      <c r="C46" s="165"/>
      <c r="D46" s="324" t="s">
        <v>568</v>
      </c>
      <c r="E46" s="323"/>
      <c r="F46" s="323"/>
      <c r="G46" s="149"/>
      <c r="H46" s="149">
        <v>39285</v>
      </c>
      <c r="I46" s="149">
        <f t="shared" si="1"/>
        <v>39285</v>
      </c>
    </row>
    <row r="47" spans="1:15" ht="18.75" x14ac:dyDescent="0.3">
      <c r="B47" s="37"/>
      <c r="C47" s="165"/>
      <c r="D47" s="324" t="s">
        <v>505</v>
      </c>
      <c r="E47" s="323"/>
      <c r="F47" s="323"/>
      <c r="G47" s="149">
        <v>4320</v>
      </c>
      <c r="H47" s="149"/>
      <c r="I47" s="149">
        <f t="shared" si="1"/>
        <v>4320</v>
      </c>
    </row>
    <row r="48" spans="1:15" ht="18.75" x14ac:dyDescent="0.3">
      <c r="B48" s="37"/>
      <c r="C48" s="165"/>
      <c r="D48" s="324" t="s">
        <v>901</v>
      </c>
      <c r="E48" s="323"/>
      <c r="F48" s="323"/>
      <c r="G48" s="149">
        <v>1500</v>
      </c>
      <c r="H48" s="149"/>
      <c r="I48" s="149">
        <f t="shared" si="1"/>
        <v>1500</v>
      </c>
    </row>
    <row r="49" spans="2:11" ht="18.75" x14ac:dyDescent="0.3">
      <c r="B49" s="37"/>
      <c r="C49" s="165"/>
      <c r="D49" s="324" t="s">
        <v>965</v>
      </c>
      <c r="E49" s="323"/>
      <c r="F49" s="323"/>
      <c r="G49" s="149">
        <v>270</v>
      </c>
      <c r="H49" s="149">
        <v>322</v>
      </c>
      <c r="I49" s="149">
        <f t="shared" si="1"/>
        <v>592</v>
      </c>
    </row>
    <row r="50" spans="2:11" ht="18.75" x14ac:dyDescent="0.3">
      <c r="B50" s="37"/>
      <c r="C50" s="165"/>
      <c r="D50" s="348" t="s">
        <v>902</v>
      </c>
      <c r="E50" s="322"/>
      <c r="F50" s="162"/>
      <c r="G50" s="149">
        <v>1150</v>
      </c>
      <c r="H50" s="149"/>
      <c r="I50" s="149">
        <f t="shared" si="1"/>
        <v>1150</v>
      </c>
    </row>
    <row r="51" spans="2:11" ht="19.5" thickBot="1" x14ac:dyDescent="0.35">
      <c r="B51" s="37"/>
      <c r="C51" s="165"/>
      <c r="D51" s="348" t="s">
        <v>983</v>
      </c>
      <c r="E51" s="744"/>
      <c r="F51" s="696"/>
      <c r="G51" s="41"/>
      <c r="H51" s="41">
        <v>4881</v>
      </c>
      <c r="I51" s="149">
        <f t="shared" si="1"/>
        <v>4881</v>
      </c>
    </row>
    <row r="52" spans="2:11" ht="21" customHeight="1" thickBot="1" x14ac:dyDescent="0.3">
      <c r="B52" s="159" t="s">
        <v>477</v>
      </c>
      <c r="C52" s="164" t="s">
        <v>72</v>
      </c>
      <c r="D52" s="321"/>
      <c r="E52" s="321"/>
      <c r="F52" s="321"/>
      <c r="G52" s="42">
        <f>SUM(G41:G51)</f>
        <v>132471</v>
      </c>
      <c r="H52" s="42">
        <f>SUM(H41:H51)</f>
        <v>44488</v>
      </c>
      <c r="I52" s="42">
        <f>SUM(I41:I51)</f>
        <v>176959</v>
      </c>
    </row>
    <row r="53" spans="2:11" s="33" customFormat="1" ht="21" customHeight="1" thickBot="1" x14ac:dyDescent="0.35">
      <c r="B53" s="96" t="s">
        <v>478</v>
      </c>
      <c r="C53" s="97"/>
      <c r="D53" s="98"/>
      <c r="E53" s="98"/>
      <c r="F53" s="98"/>
      <c r="G53" s="99">
        <f>G38+G40+G52</f>
        <v>4235823</v>
      </c>
      <c r="H53" s="99">
        <f>H38+H40+H52</f>
        <v>232507</v>
      </c>
      <c r="I53" s="99">
        <f>I38+I40+I52</f>
        <v>4468330</v>
      </c>
      <c r="K53" s="305"/>
    </row>
    <row r="54" spans="2:11" ht="21" customHeight="1" x14ac:dyDescent="0.3">
      <c r="B54" s="166" t="s">
        <v>179</v>
      </c>
      <c r="C54" s="325"/>
      <c r="D54" s="325"/>
      <c r="E54" s="325"/>
      <c r="F54" s="326"/>
      <c r="G54" s="255"/>
      <c r="H54" s="255"/>
      <c r="I54" s="255"/>
    </row>
    <row r="55" spans="2:11" ht="21" customHeight="1" x14ac:dyDescent="0.3">
      <c r="B55" s="159"/>
      <c r="C55" s="165" t="s">
        <v>38</v>
      </c>
      <c r="D55" s="165"/>
      <c r="E55" s="165"/>
      <c r="F55" s="167"/>
      <c r="G55" s="327"/>
      <c r="H55" s="327"/>
      <c r="I55" s="327"/>
    </row>
    <row r="56" spans="2:11" ht="21" customHeight="1" x14ac:dyDescent="0.25">
      <c r="B56" s="37"/>
      <c r="C56" s="36"/>
      <c r="D56" s="162" t="s">
        <v>345</v>
      </c>
      <c r="E56" s="162"/>
      <c r="F56" s="328"/>
      <c r="G56" s="149">
        <v>700</v>
      </c>
      <c r="H56" s="149"/>
      <c r="I56" s="149">
        <f>G56+H56</f>
        <v>700</v>
      </c>
    </row>
    <row r="57" spans="2:11" ht="21" customHeight="1" x14ac:dyDescent="0.3">
      <c r="B57" s="159"/>
      <c r="C57" s="165" t="s">
        <v>39</v>
      </c>
      <c r="D57" s="165"/>
      <c r="E57" s="165"/>
      <c r="F57" s="167"/>
      <c r="G57" s="228"/>
      <c r="H57" s="228"/>
      <c r="I57" s="228"/>
    </row>
    <row r="58" spans="2:11" ht="21" customHeight="1" x14ac:dyDescent="0.25">
      <c r="B58" s="37"/>
      <c r="C58" s="36"/>
      <c r="D58" s="162" t="s">
        <v>304</v>
      </c>
      <c r="E58" s="162"/>
      <c r="F58" s="254"/>
      <c r="G58" s="149">
        <v>1280000</v>
      </c>
      <c r="H58" s="149"/>
      <c r="I58" s="149">
        <f t="shared" ref="I58:I67" si="2">G58+H58</f>
        <v>1280000</v>
      </c>
      <c r="J58" s="4"/>
    </row>
    <row r="59" spans="2:11" ht="21" customHeight="1" x14ac:dyDescent="0.3">
      <c r="B59" s="159"/>
      <c r="C59" s="165" t="s">
        <v>37</v>
      </c>
      <c r="D59" s="165"/>
      <c r="E59" s="165"/>
      <c r="F59" s="167"/>
      <c r="G59" s="228"/>
      <c r="H59" s="228"/>
      <c r="I59" s="228"/>
    </row>
    <row r="60" spans="2:11" ht="21" customHeight="1" x14ac:dyDescent="0.25">
      <c r="B60" s="37"/>
      <c r="C60" s="36"/>
      <c r="D60" s="162" t="s">
        <v>346</v>
      </c>
      <c r="E60" s="162"/>
      <c r="F60" s="254"/>
      <c r="G60" s="149">
        <v>9200000</v>
      </c>
      <c r="H60" s="149"/>
      <c r="I60" s="149">
        <f t="shared" si="2"/>
        <v>9200000</v>
      </c>
      <c r="K60" s="4"/>
    </row>
    <row r="61" spans="2:11" ht="21" customHeight="1" x14ac:dyDescent="0.25">
      <c r="B61" s="37"/>
      <c r="C61" s="36"/>
      <c r="D61" s="162" t="s">
        <v>9</v>
      </c>
      <c r="E61" s="162"/>
      <c r="F61" s="328"/>
      <c r="G61" s="149">
        <v>275000</v>
      </c>
      <c r="H61" s="149"/>
      <c r="I61" s="149">
        <f t="shared" si="2"/>
        <v>275000</v>
      </c>
    </row>
    <row r="62" spans="2:11" ht="21" customHeight="1" x14ac:dyDescent="0.25">
      <c r="B62" s="37"/>
      <c r="C62" s="36"/>
      <c r="D62" s="104" t="s">
        <v>7</v>
      </c>
      <c r="E62" s="104"/>
      <c r="F62" s="329"/>
      <c r="G62" s="149">
        <v>22000</v>
      </c>
      <c r="H62" s="149"/>
      <c r="I62" s="149">
        <f t="shared" si="2"/>
        <v>22000</v>
      </c>
    </row>
    <row r="63" spans="2:11" ht="21" customHeight="1" x14ac:dyDescent="0.3">
      <c r="B63" s="159"/>
      <c r="C63" s="165" t="s">
        <v>40</v>
      </c>
      <c r="D63" s="165"/>
      <c r="E63" s="165"/>
      <c r="F63" s="167"/>
      <c r="G63" s="41"/>
      <c r="H63" s="41"/>
      <c r="I63" s="228"/>
    </row>
    <row r="64" spans="2:11" ht="21" customHeight="1" x14ac:dyDescent="0.25">
      <c r="B64" s="37"/>
      <c r="C64" s="36"/>
      <c r="D64" s="162" t="s">
        <v>219</v>
      </c>
      <c r="E64" s="162"/>
      <c r="F64" s="335"/>
      <c r="G64" s="149">
        <v>2500</v>
      </c>
      <c r="H64" s="149"/>
      <c r="I64" s="149">
        <f t="shared" si="2"/>
        <v>2500</v>
      </c>
    </row>
    <row r="65" spans="2:13" ht="21" customHeight="1" x14ac:dyDescent="0.25">
      <c r="B65" s="37"/>
      <c r="C65" s="36"/>
      <c r="D65" s="162" t="s">
        <v>27</v>
      </c>
      <c r="E65" s="162"/>
      <c r="F65" s="254"/>
      <c r="G65" s="149">
        <v>10000</v>
      </c>
      <c r="H65" s="149"/>
      <c r="I65" s="149">
        <f t="shared" si="2"/>
        <v>10000</v>
      </c>
    </row>
    <row r="66" spans="2:13" ht="21" customHeight="1" x14ac:dyDescent="0.25">
      <c r="B66" s="37"/>
      <c r="C66" s="36"/>
      <c r="D66" s="104" t="s">
        <v>16</v>
      </c>
      <c r="E66" s="104"/>
      <c r="F66" s="104"/>
      <c r="G66" s="149">
        <v>1000</v>
      </c>
      <c r="H66" s="149"/>
      <c r="I66" s="149">
        <f t="shared" si="2"/>
        <v>1000</v>
      </c>
    </row>
    <row r="67" spans="2:13" ht="21" customHeight="1" x14ac:dyDescent="0.25">
      <c r="B67" s="37"/>
      <c r="C67" s="36"/>
      <c r="D67" s="36" t="s">
        <v>92</v>
      </c>
      <c r="E67" s="36"/>
      <c r="F67" s="104"/>
      <c r="G67" s="149">
        <v>1795</v>
      </c>
      <c r="H67" s="149">
        <v>2445</v>
      </c>
      <c r="I67" s="149">
        <f t="shared" si="2"/>
        <v>4240</v>
      </c>
    </row>
    <row r="68" spans="2:13" ht="21" customHeight="1" thickBot="1" x14ac:dyDescent="0.35">
      <c r="B68" s="96" t="s">
        <v>310</v>
      </c>
      <c r="C68" s="97"/>
      <c r="D68" s="168"/>
      <c r="E68" s="168"/>
      <c r="F68" s="168"/>
      <c r="G68" s="152">
        <f>SUM(G54:G67)</f>
        <v>10792995</v>
      </c>
      <c r="H68" s="152">
        <f>SUM(H54:H67)</f>
        <v>2445</v>
      </c>
      <c r="I68" s="152">
        <f>SUM(I54:I67)</f>
        <v>10795440</v>
      </c>
      <c r="K68" s="4"/>
      <c r="L68" s="4"/>
    </row>
    <row r="69" spans="2:13" ht="21" customHeight="1" x14ac:dyDescent="0.3">
      <c r="B69" s="159" t="s">
        <v>23</v>
      </c>
      <c r="C69" s="167"/>
      <c r="D69" s="167"/>
      <c r="E69" s="167"/>
      <c r="F69" s="531"/>
      <c r="G69" s="327"/>
      <c r="H69" s="327"/>
      <c r="I69" s="327"/>
    </row>
    <row r="70" spans="2:13" ht="21" customHeight="1" x14ac:dyDescent="0.25">
      <c r="B70" s="37"/>
      <c r="C70" s="36"/>
      <c r="D70" s="36"/>
      <c r="E70" s="36"/>
      <c r="F70" s="104" t="s">
        <v>287</v>
      </c>
      <c r="G70" s="149">
        <v>5000</v>
      </c>
      <c r="H70" s="149"/>
      <c r="I70" s="149">
        <f t="shared" ref="I70:I101" si="3">G70+H70</f>
        <v>5000</v>
      </c>
    </row>
    <row r="71" spans="2:13" ht="21" customHeight="1" x14ac:dyDescent="0.25">
      <c r="B71" s="37"/>
      <c r="C71" s="36"/>
      <c r="D71" s="36"/>
      <c r="E71" s="36"/>
      <c r="F71" s="104" t="s">
        <v>311</v>
      </c>
      <c r="G71" s="149">
        <v>10215</v>
      </c>
      <c r="H71" s="149"/>
      <c r="I71" s="149">
        <f t="shared" si="3"/>
        <v>10215</v>
      </c>
    </row>
    <row r="72" spans="2:13" ht="18" x14ac:dyDescent="0.25">
      <c r="B72" s="37"/>
      <c r="C72" s="36"/>
      <c r="D72" s="36"/>
      <c r="E72" s="36"/>
      <c r="F72" s="104" t="s">
        <v>641</v>
      </c>
      <c r="G72" s="149">
        <v>16000</v>
      </c>
      <c r="H72" s="149"/>
      <c r="I72" s="149">
        <f t="shared" si="3"/>
        <v>16000</v>
      </c>
    </row>
    <row r="73" spans="2:13" ht="21" customHeight="1" x14ac:dyDescent="0.25">
      <c r="B73" s="37"/>
      <c r="C73" s="36"/>
      <c r="D73" s="36"/>
      <c r="E73" s="36"/>
      <c r="F73" s="104" t="s">
        <v>348</v>
      </c>
      <c r="G73" s="149">
        <v>37000</v>
      </c>
      <c r="H73" s="149"/>
      <c r="I73" s="149">
        <f t="shared" si="3"/>
        <v>37000</v>
      </c>
    </row>
    <row r="74" spans="2:13" ht="21" customHeight="1" x14ac:dyDescent="0.25">
      <c r="B74" s="37"/>
      <c r="C74" s="36"/>
      <c r="D74" s="36"/>
      <c r="E74" s="36"/>
      <c r="F74" s="256" t="s">
        <v>227</v>
      </c>
      <c r="G74" s="149">
        <v>478000</v>
      </c>
      <c r="H74" s="149"/>
      <c r="I74" s="149">
        <f t="shared" si="3"/>
        <v>478000</v>
      </c>
    </row>
    <row r="75" spans="2:13" ht="21" customHeight="1" x14ac:dyDescent="0.25">
      <c r="B75" s="37"/>
      <c r="C75" s="36"/>
      <c r="D75" s="36"/>
      <c r="E75" s="36"/>
      <c r="F75" s="104" t="s">
        <v>349</v>
      </c>
      <c r="G75" s="149">
        <v>13000</v>
      </c>
      <c r="H75" s="149"/>
      <c r="I75" s="149">
        <f t="shared" si="3"/>
        <v>13000</v>
      </c>
    </row>
    <row r="76" spans="2:13" ht="21" customHeight="1" x14ac:dyDescent="0.25">
      <c r="B76" s="37"/>
      <c r="C76" s="36"/>
      <c r="D76" s="36"/>
      <c r="E76" s="36"/>
      <c r="F76" s="104" t="s">
        <v>136</v>
      </c>
      <c r="G76" s="149">
        <v>3600</v>
      </c>
      <c r="H76" s="149"/>
      <c r="I76" s="149">
        <f t="shared" si="3"/>
        <v>3600</v>
      </c>
    </row>
    <row r="77" spans="2:13" ht="21" customHeight="1" x14ac:dyDescent="0.25">
      <c r="B77" s="37"/>
      <c r="C77" s="36"/>
      <c r="D77" s="36"/>
      <c r="E77" s="36"/>
      <c r="F77" s="104" t="s">
        <v>135</v>
      </c>
      <c r="G77" s="149">
        <v>700000</v>
      </c>
      <c r="H77" s="149"/>
      <c r="I77" s="149">
        <f t="shared" si="3"/>
        <v>700000</v>
      </c>
      <c r="L77" s="4"/>
    </row>
    <row r="78" spans="2:13" ht="18" x14ac:dyDescent="0.25">
      <c r="B78" s="37"/>
      <c r="C78" s="36"/>
      <c r="D78" s="36"/>
      <c r="E78" s="36"/>
      <c r="F78" s="104" t="s">
        <v>205</v>
      </c>
      <c r="G78" s="149">
        <v>58000</v>
      </c>
      <c r="H78" s="149"/>
      <c r="I78" s="149">
        <f t="shared" si="3"/>
        <v>58000</v>
      </c>
      <c r="L78" s="4"/>
    </row>
    <row r="79" spans="2:13" ht="21" customHeight="1" x14ac:dyDescent="0.25">
      <c r="B79" s="37"/>
      <c r="C79" s="36"/>
      <c r="D79" s="36"/>
      <c r="E79" s="36"/>
      <c r="F79" s="104" t="s">
        <v>293</v>
      </c>
      <c r="G79" s="149">
        <v>30000</v>
      </c>
      <c r="H79" s="149"/>
      <c r="I79" s="149">
        <f t="shared" si="3"/>
        <v>30000</v>
      </c>
      <c r="L79" s="4"/>
      <c r="M79" s="4"/>
    </row>
    <row r="80" spans="2:13" ht="21" customHeight="1" x14ac:dyDescent="0.25">
      <c r="B80" s="37"/>
      <c r="C80" s="36"/>
      <c r="E80" s="104"/>
      <c r="F80" s="104" t="s">
        <v>280</v>
      </c>
      <c r="G80" s="149">
        <v>2700</v>
      </c>
      <c r="H80" s="149"/>
      <c r="I80" s="149">
        <f t="shared" si="3"/>
        <v>2700</v>
      </c>
      <c r="L80" s="4"/>
    </row>
    <row r="81" spans="2:12" ht="21" customHeight="1" x14ac:dyDescent="0.25">
      <c r="B81" s="37"/>
      <c r="C81" s="36"/>
      <c r="D81" s="36"/>
      <c r="E81" s="36"/>
      <c r="F81" s="162" t="s">
        <v>150</v>
      </c>
      <c r="G81" s="149">
        <v>417320</v>
      </c>
      <c r="H81" s="149"/>
      <c r="I81" s="149">
        <f t="shared" si="3"/>
        <v>417320</v>
      </c>
      <c r="L81" s="4"/>
    </row>
    <row r="82" spans="2:12" ht="21" customHeight="1" x14ac:dyDescent="0.25">
      <c r="B82" s="37"/>
      <c r="C82" s="36"/>
      <c r="D82" s="36"/>
      <c r="E82" s="36"/>
      <c r="F82" s="162" t="s">
        <v>93</v>
      </c>
      <c r="G82" s="149">
        <v>1806</v>
      </c>
      <c r="H82" s="149">
        <v>2156</v>
      </c>
      <c r="I82" s="149">
        <f t="shared" si="3"/>
        <v>3962</v>
      </c>
      <c r="L82" s="4"/>
    </row>
    <row r="83" spans="2:12" ht="21" customHeight="1" x14ac:dyDescent="0.25">
      <c r="B83" s="37"/>
      <c r="C83" s="36"/>
      <c r="E83" s="104"/>
      <c r="F83" s="104" t="s">
        <v>940</v>
      </c>
      <c r="G83" s="149">
        <v>2311</v>
      </c>
      <c r="H83" s="149"/>
      <c r="I83" s="149">
        <f t="shared" si="3"/>
        <v>2311</v>
      </c>
      <c r="L83" s="4"/>
    </row>
    <row r="84" spans="2:12" ht="21" customHeight="1" x14ac:dyDescent="0.25">
      <c r="B84" s="37"/>
      <c r="C84" s="36"/>
      <c r="E84" s="104"/>
      <c r="F84" s="104" t="s">
        <v>988</v>
      </c>
      <c r="G84" s="149"/>
      <c r="H84" s="149">
        <v>89</v>
      </c>
      <c r="I84" s="149">
        <f t="shared" si="3"/>
        <v>89</v>
      </c>
      <c r="L84" s="4"/>
    </row>
    <row r="85" spans="2:12" ht="21" customHeight="1" x14ac:dyDescent="0.25">
      <c r="B85" s="37"/>
      <c r="C85" s="36"/>
      <c r="E85" s="104"/>
      <c r="F85" s="104" t="s">
        <v>990</v>
      </c>
      <c r="G85" s="149"/>
      <c r="H85" s="149">
        <v>46</v>
      </c>
      <c r="I85" s="149">
        <f t="shared" si="3"/>
        <v>46</v>
      </c>
      <c r="L85" s="4"/>
    </row>
    <row r="86" spans="2:12" ht="21" customHeight="1" x14ac:dyDescent="0.25">
      <c r="B86" s="37"/>
      <c r="C86" s="36"/>
      <c r="D86" s="36"/>
      <c r="E86" s="36"/>
      <c r="F86" s="162" t="s">
        <v>935</v>
      </c>
      <c r="G86" s="149">
        <v>853</v>
      </c>
      <c r="H86" s="149"/>
      <c r="I86" s="149">
        <f t="shared" si="3"/>
        <v>853</v>
      </c>
      <c r="L86" s="4"/>
    </row>
    <row r="87" spans="2:12" ht="21" customHeight="1" x14ac:dyDescent="0.25">
      <c r="B87" s="37"/>
      <c r="C87" s="36"/>
      <c r="D87" s="36"/>
      <c r="E87" s="36"/>
      <c r="F87" s="162" t="s">
        <v>989</v>
      </c>
      <c r="G87" s="149"/>
      <c r="H87" s="149">
        <v>662</v>
      </c>
      <c r="I87" s="149">
        <f t="shared" si="3"/>
        <v>662</v>
      </c>
      <c r="L87" s="4"/>
    </row>
    <row r="88" spans="2:12" ht="21" customHeight="1" x14ac:dyDescent="0.25">
      <c r="B88" s="37"/>
      <c r="C88" s="36"/>
      <c r="D88" s="36"/>
      <c r="E88" s="36"/>
      <c r="F88" s="696" t="s">
        <v>941</v>
      </c>
      <c r="G88" s="41">
        <v>19473</v>
      </c>
      <c r="H88" s="41"/>
      <c r="I88" s="149">
        <f t="shared" si="3"/>
        <v>19473</v>
      </c>
      <c r="L88" s="4"/>
    </row>
    <row r="89" spans="2:12" ht="21" customHeight="1" x14ac:dyDescent="0.3">
      <c r="B89" s="37"/>
      <c r="C89" s="107" t="s">
        <v>43</v>
      </c>
      <c r="D89" s="107"/>
      <c r="E89" s="107"/>
      <c r="F89" s="350"/>
      <c r="G89" s="228"/>
      <c r="H89" s="228"/>
      <c r="I89" s="228"/>
    </row>
    <row r="90" spans="2:12" s="59" customFormat="1" ht="21" customHeight="1" x14ac:dyDescent="0.25">
      <c r="B90" s="169"/>
      <c r="C90" s="170"/>
      <c r="D90" s="170"/>
      <c r="E90" s="170"/>
      <c r="F90" s="257" t="s">
        <v>228</v>
      </c>
      <c r="G90" s="149">
        <v>90750</v>
      </c>
      <c r="H90" s="149"/>
      <c r="I90" s="149">
        <f t="shared" si="3"/>
        <v>90750</v>
      </c>
    </row>
    <row r="91" spans="2:12" ht="21" customHeight="1" x14ac:dyDescent="0.25">
      <c r="B91" s="37"/>
      <c r="C91" s="100"/>
      <c r="D91" s="100"/>
      <c r="E91" s="100"/>
      <c r="F91" s="163" t="s">
        <v>335</v>
      </c>
      <c r="G91" s="151">
        <v>250000</v>
      </c>
      <c r="H91" s="151"/>
      <c r="I91" s="149">
        <f t="shared" si="3"/>
        <v>250000</v>
      </c>
    </row>
    <row r="92" spans="2:12" s="59" customFormat="1" ht="21" customHeight="1" x14ac:dyDescent="0.25">
      <c r="B92" s="169"/>
      <c r="C92" s="170"/>
      <c r="D92" s="170"/>
      <c r="E92" s="170"/>
      <c r="F92" s="257" t="s">
        <v>141</v>
      </c>
      <c r="G92" s="153">
        <v>20000</v>
      </c>
      <c r="H92" s="153"/>
      <c r="I92" s="149">
        <f t="shared" si="3"/>
        <v>20000</v>
      </c>
    </row>
    <row r="93" spans="2:12" s="59" customFormat="1" ht="21" customHeight="1" x14ac:dyDescent="0.25">
      <c r="B93" s="169"/>
      <c r="C93" s="170"/>
      <c r="D93" s="170"/>
      <c r="E93" s="170"/>
      <c r="F93" s="257" t="s">
        <v>680</v>
      </c>
      <c r="G93" s="153">
        <v>1202</v>
      </c>
      <c r="H93" s="153"/>
      <c r="I93" s="149">
        <f t="shared" si="3"/>
        <v>1202</v>
      </c>
    </row>
    <row r="94" spans="2:12" s="59" customFormat="1" ht="21" customHeight="1" x14ac:dyDescent="0.25">
      <c r="B94" s="169"/>
      <c r="C94" s="170"/>
      <c r="D94" s="170"/>
      <c r="E94" s="170"/>
      <c r="F94" s="162" t="s">
        <v>89</v>
      </c>
      <c r="G94" s="154">
        <v>143457</v>
      </c>
      <c r="H94" s="154"/>
      <c r="I94" s="149">
        <f t="shared" si="3"/>
        <v>143457</v>
      </c>
    </row>
    <row r="95" spans="2:12" s="59" customFormat="1" ht="21" customHeight="1" x14ac:dyDescent="0.25">
      <c r="B95" s="169"/>
      <c r="C95" s="170"/>
      <c r="D95" s="170"/>
      <c r="E95" s="170"/>
      <c r="F95" s="162" t="s">
        <v>487</v>
      </c>
      <c r="G95" s="351">
        <v>188972</v>
      </c>
      <c r="H95" s="351"/>
      <c r="I95" s="149">
        <f t="shared" si="3"/>
        <v>188972</v>
      </c>
    </row>
    <row r="96" spans="2:12" s="59" customFormat="1" ht="18" x14ac:dyDescent="0.25">
      <c r="B96" s="169"/>
      <c r="C96" s="170"/>
      <c r="D96" s="170"/>
      <c r="E96" s="170"/>
      <c r="F96" s="526" t="s">
        <v>518</v>
      </c>
      <c r="G96" s="351">
        <v>77988</v>
      </c>
      <c r="H96" s="351"/>
      <c r="I96" s="149">
        <f t="shared" si="3"/>
        <v>77988</v>
      </c>
    </row>
    <row r="97" spans="2:9" s="59" customFormat="1" ht="36" x14ac:dyDescent="0.25">
      <c r="B97" s="169"/>
      <c r="C97" s="170"/>
      <c r="D97" s="170"/>
      <c r="E97" s="170"/>
      <c r="F97" s="280" t="s">
        <v>986</v>
      </c>
      <c r="G97" s="351"/>
      <c r="H97" s="351">
        <v>4847</v>
      </c>
      <c r="I97" s="149">
        <f t="shared" si="3"/>
        <v>4847</v>
      </c>
    </row>
    <row r="98" spans="2:9" s="59" customFormat="1" ht="18" x14ac:dyDescent="0.25">
      <c r="B98" s="169"/>
      <c r="C98" s="170"/>
      <c r="D98" s="170"/>
      <c r="E98" s="170"/>
      <c r="F98" s="284" t="s">
        <v>987</v>
      </c>
      <c r="G98" s="351"/>
      <c r="H98" s="351">
        <v>-16744</v>
      </c>
      <c r="I98" s="149">
        <f t="shared" si="3"/>
        <v>-16744</v>
      </c>
    </row>
    <row r="99" spans="2:9" s="59" customFormat="1" ht="21" customHeight="1" x14ac:dyDescent="0.25">
      <c r="B99" s="169"/>
      <c r="C99" s="170"/>
      <c r="D99" s="170"/>
      <c r="E99" s="170"/>
      <c r="F99" s="162" t="s">
        <v>593</v>
      </c>
      <c r="G99" s="351">
        <v>63936</v>
      </c>
      <c r="H99" s="351">
        <v>-5454</v>
      </c>
      <c r="I99" s="149">
        <f t="shared" si="3"/>
        <v>58482</v>
      </c>
    </row>
    <row r="100" spans="2:9" ht="21" customHeight="1" x14ac:dyDescent="0.3">
      <c r="B100" s="37"/>
      <c r="C100" s="107" t="s">
        <v>44</v>
      </c>
      <c r="D100" s="107"/>
      <c r="E100" s="107"/>
      <c r="F100" s="350"/>
      <c r="G100" s="228"/>
      <c r="H100" s="228"/>
      <c r="I100" s="228"/>
    </row>
    <row r="101" spans="2:9" ht="18" x14ac:dyDescent="0.25">
      <c r="B101" s="169"/>
      <c r="C101" s="170"/>
      <c r="D101" s="170"/>
      <c r="E101" s="170"/>
      <c r="F101" s="162" t="s">
        <v>288</v>
      </c>
      <c r="G101" s="149"/>
      <c r="H101" s="149"/>
      <c r="I101" s="149">
        <f t="shared" si="3"/>
        <v>0</v>
      </c>
    </row>
    <row r="102" spans="2:9" ht="18.75" x14ac:dyDescent="0.3">
      <c r="B102" s="37"/>
      <c r="C102" s="74" t="s">
        <v>91</v>
      </c>
      <c r="D102" s="36"/>
      <c r="E102" s="36"/>
      <c r="F102" s="36"/>
      <c r="G102" s="228"/>
      <c r="H102" s="228"/>
      <c r="I102" s="228"/>
    </row>
    <row r="103" spans="2:9" ht="21" customHeight="1" x14ac:dyDescent="0.25">
      <c r="B103" s="37"/>
      <c r="C103" s="36"/>
      <c r="D103" s="36"/>
      <c r="E103" s="36"/>
      <c r="F103" s="36"/>
      <c r="G103" s="149"/>
      <c r="H103" s="149"/>
      <c r="I103" s="149"/>
    </row>
    <row r="104" spans="2:9" ht="21" customHeight="1" thickBot="1" x14ac:dyDescent="0.3">
      <c r="B104" s="96" t="s">
        <v>182</v>
      </c>
      <c r="C104" s="98"/>
      <c r="D104" s="168"/>
      <c r="E104" s="168"/>
      <c r="F104" s="168"/>
      <c r="G104" s="155">
        <f>SUM(G69:G103)</f>
        <v>2631583</v>
      </c>
      <c r="H104" s="155">
        <f>SUM(H69:H103)</f>
        <v>-14398</v>
      </c>
      <c r="I104" s="155">
        <f>SUM(I69:I103)</f>
        <v>2617185</v>
      </c>
    </row>
    <row r="105" spans="2:9" ht="21" customHeight="1" x14ac:dyDescent="0.25">
      <c r="B105" s="159" t="s">
        <v>178</v>
      </c>
      <c r="C105" s="160"/>
      <c r="D105" s="100"/>
      <c r="E105" s="100"/>
      <c r="F105" s="100"/>
      <c r="G105" s="253"/>
      <c r="H105" s="253"/>
      <c r="I105" s="253"/>
    </row>
    <row r="106" spans="2:9" ht="21" customHeight="1" x14ac:dyDescent="0.25">
      <c r="B106" s="159"/>
      <c r="C106" s="171" t="s">
        <v>50</v>
      </c>
      <c r="D106" s="100"/>
      <c r="E106" s="100"/>
      <c r="F106" s="100"/>
      <c r="G106" s="148"/>
      <c r="H106" s="148"/>
      <c r="I106" s="148"/>
    </row>
    <row r="107" spans="2:9" ht="21" customHeight="1" x14ac:dyDescent="0.25">
      <c r="B107" s="172"/>
      <c r="C107" s="38"/>
      <c r="D107" s="163" t="s">
        <v>446</v>
      </c>
      <c r="E107" s="163"/>
      <c r="F107" s="162"/>
      <c r="G107" s="153">
        <v>20000</v>
      </c>
      <c r="H107" s="153"/>
      <c r="I107" s="153">
        <f>SUM(G107:H107)</f>
        <v>20000</v>
      </c>
    </row>
    <row r="108" spans="2:9" ht="21" customHeight="1" x14ac:dyDescent="0.25">
      <c r="B108" s="172"/>
      <c r="C108" s="38"/>
      <c r="D108" s="163" t="s">
        <v>661</v>
      </c>
      <c r="E108" s="163"/>
      <c r="F108" s="162"/>
      <c r="G108" s="153">
        <v>500000</v>
      </c>
      <c r="H108" s="153"/>
      <c r="I108" s="149">
        <f>G108+H108</f>
        <v>500000</v>
      </c>
    </row>
    <row r="109" spans="2:9" ht="21" customHeight="1" x14ac:dyDescent="0.25">
      <c r="B109" s="172"/>
      <c r="C109" s="38"/>
      <c r="D109" s="163" t="s">
        <v>938</v>
      </c>
      <c r="E109" s="163"/>
      <c r="F109" s="162"/>
      <c r="G109" s="153">
        <v>30000</v>
      </c>
      <c r="H109" s="153">
        <v>15000</v>
      </c>
      <c r="I109" s="149">
        <f>G109+H109</f>
        <v>45000</v>
      </c>
    </row>
    <row r="110" spans="2:9" ht="21" customHeight="1" x14ac:dyDescent="0.25">
      <c r="B110" s="172"/>
      <c r="C110" s="38"/>
      <c r="D110" s="163" t="s">
        <v>904</v>
      </c>
      <c r="E110" s="163"/>
      <c r="F110" s="696"/>
      <c r="G110" s="153">
        <v>106</v>
      </c>
      <c r="H110" s="153"/>
      <c r="I110" s="149">
        <f>G110+H110</f>
        <v>106</v>
      </c>
    </row>
    <row r="111" spans="2:9" s="725" customFormat="1" ht="21" customHeight="1" x14ac:dyDescent="0.3">
      <c r="B111" s="37"/>
      <c r="C111" s="726" t="s">
        <v>51</v>
      </c>
      <c r="D111" s="726"/>
      <c r="E111" s="726"/>
      <c r="F111" s="350"/>
      <c r="G111" s="228"/>
      <c r="H111" s="228"/>
      <c r="I111" s="228"/>
    </row>
    <row r="112" spans="2:9" ht="21" customHeight="1" x14ac:dyDescent="0.3">
      <c r="B112" s="37"/>
      <c r="C112" s="107"/>
      <c r="D112" s="727" t="s">
        <v>934</v>
      </c>
      <c r="E112" s="728"/>
      <c r="F112" s="724"/>
      <c r="G112" s="149">
        <v>400</v>
      </c>
      <c r="H112" s="149"/>
      <c r="I112" s="153">
        <f>SUM(G112:H112)</f>
        <v>400</v>
      </c>
    </row>
    <row r="113" spans="2:11" ht="21" customHeight="1" thickBot="1" x14ac:dyDescent="0.3">
      <c r="B113" s="159"/>
      <c r="C113" s="160"/>
      <c r="D113" s="170" t="s">
        <v>1004</v>
      </c>
      <c r="E113" s="162"/>
      <c r="F113" s="351"/>
      <c r="G113" s="153">
        <v>13475</v>
      </c>
      <c r="H113" s="153">
        <f>188+142+259</f>
        <v>589</v>
      </c>
      <c r="I113" s="153">
        <f>SUM(G113:H113)</f>
        <v>14064</v>
      </c>
    </row>
    <row r="114" spans="2:11" s="33" customFormat="1" ht="21" customHeight="1" thickBot="1" x14ac:dyDescent="0.35">
      <c r="B114" s="173" t="s">
        <v>309</v>
      </c>
      <c r="C114" s="161"/>
      <c r="D114" s="164"/>
      <c r="E114" s="164"/>
      <c r="F114" s="164"/>
      <c r="G114" s="156">
        <f>SUM(G107:G113)</f>
        <v>563981</v>
      </c>
      <c r="H114" s="156">
        <f>SUM(H107:H113)</f>
        <v>15589</v>
      </c>
      <c r="I114" s="156">
        <f>SUM(I107:I113)</f>
        <v>579570</v>
      </c>
    </row>
    <row r="115" spans="2:11" ht="21" customHeight="1" x14ac:dyDescent="0.25">
      <c r="B115" s="166" t="s">
        <v>117</v>
      </c>
      <c r="C115" s="174"/>
      <c r="D115" s="174"/>
      <c r="E115" s="174"/>
      <c r="F115" s="174"/>
      <c r="G115" s="157"/>
      <c r="H115" s="157"/>
      <c r="I115" s="157"/>
    </row>
    <row r="116" spans="2:11" s="9" customFormat="1" ht="21" customHeight="1" x14ac:dyDescent="0.3">
      <c r="B116" s="175"/>
      <c r="C116" s="38" t="s">
        <v>339</v>
      </c>
      <c r="D116" s="167"/>
      <c r="E116" s="167"/>
      <c r="F116" s="176"/>
      <c r="G116" s="151">
        <v>17187</v>
      </c>
      <c r="H116" s="151">
        <v>7085</v>
      </c>
      <c r="I116" s="149">
        <f t="shared" ref="I116:I128" si="4">G116+H116</f>
        <v>24272</v>
      </c>
      <c r="J116" s="18"/>
      <c r="K116" s="4"/>
    </row>
    <row r="117" spans="2:11" s="9" customFormat="1" ht="21" customHeight="1" x14ac:dyDescent="0.3">
      <c r="B117" s="175"/>
      <c r="C117" s="177" t="s">
        <v>932</v>
      </c>
      <c r="D117" s="178"/>
      <c r="E117" s="178"/>
      <c r="F117" s="258"/>
      <c r="G117" s="260">
        <v>426091</v>
      </c>
      <c r="H117" s="260">
        <v>4085</v>
      </c>
      <c r="I117" s="149">
        <f t="shared" si="4"/>
        <v>430176</v>
      </c>
      <c r="J117" s="18"/>
      <c r="K117" s="4"/>
    </row>
    <row r="118" spans="2:11" s="9" customFormat="1" ht="21" customHeight="1" x14ac:dyDescent="0.3">
      <c r="B118" s="175"/>
      <c r="C118" s="177" t="s">
        <v>100</v>
      </c>
      <c r="D118" s="178"/>
      <c r="E118" s="178"/>
      <c r="F118" s="258"/>
      <c r="G118" s="260">
        <v>417474</v>
      </c>
      <c r="H118" s="260">
        <v>-17358</v>
      </c>
      <c r="I118" s="149">
        <f t="shared" si="4"/>
        <v>400116</v>
      </c>
      <c r="J118" s="18"/>
      <c r="K118" s="4"/>
    </row>
    <row r="119" spans="2:11" s="9" customFormat="1" ht="21" customHeight="1" x14ac:dyDescent="0.3">
      <c r="B119" s="175"/>
      <c r="C119" s="177" t="s">
        <v>169</v>
      </c>
      <c r="D119" s="178"/>
      <c r="E119" s="178"/>
      <c r="F119" s="258"/>
      <c r="G119" s="260">
        <v>34820</v>
      </c>
      <c r="H119" s="260">
        <v>16945</v>
      </c>
      <c r="I119" s="149">
        <f t="shared" si="4"/>
        <v>51765</v>
      </c>
      <c r="J119" s="18"/>
      <c r="K119" s="4"/>
    </row>
    <row r="120" spans="2:11" s="9" customFormat="1" ht="21" customHeight="1" x14ac:dyDescent="0.3">
      <c r="B120" s="175"/>
      <c r="C120" s="177" t="s">
        <v>170</v>
      </c>
      <c r="D120" s="178"/>
      <c r="E120" s="178"/>
      <c r="F120" s="258"/>
      <c r="G120" s="260">
        <v>87800</v>
      </c>
      <c r="H120" s="260">
        <v>1300</v>
      </c>
      <c r="I120" s="149">
        <f t="shared" si="4"/>
        <v>89100</v>
      </c>
      <c r="J120" s="18"/>
      <c r="K120" s="4"/>
    </row>
    <row r="121" spans="2:11" s="9" customFormat="1" ht="21" customHeight="1" x14ac:dyDescent="0.3">
      <c r="B121" s="175"/>
      <c r="C121" s="177" t="s">
        <v>644</v>
      </c>
      <c r="D121" s="178"/>
      <c r="E121" s="178"/>
      <c r="F121" s="258"/>
      <c r="G121" s="260">
        <v>24000</v>
      </c>
      <c r="H121" s="260">
        <v>1676</v>
      </c>
      <c r="I121" s="149">
        <f t="shared" si="4"/>
        <v>25676</v>
      </c>
      <c r="J121" s="18"/>
      <c r="K121" s="4"/>
    </row>
    <row r="122" spans="2:11" s="9" customFormat="1" ht="21" customHeight="1" x14ac:dyDescent="0.3">
      <c r="B122" s="175"/>
      <c r="C122" s="177" t="s">
        <v>192</v>
      </c>
      <c r="D122" s="178"/>
      <c r="E122" s="178"/>
      <c r="F122" s="258"/>
      <c r="G122" s="260">
        <v>180383</v>
      </c>
      <c r="H122" s="260">
        <v>65434</v>
      </c>
      <c r="I122" s="149">
        <f t="shared" si="4"/>
        <v>245817</v>
      </c>
      <c r="J122" s="18"/>
      <c r="K122" s="4"/>
    </row>
    <row r="123" spans="2:11" s="9" customFormat="1" ht="21" customHeight="1" x14ac:dyDescent="0.3">
      <c r="B123" s="175"/>
      <c r="C123" s="177" t="s">
        <v>128</v>
      </c>
      <c r="D123" s="178"/>
      <c r="E123" s="178"/>
      <c r="F123" s="258"/>
      <c r="G123" s="260">
        <v>94499</v>
      </c>
      <c r="H123" s="260">
        <v>25570</v>
      </c>
      <c r="I123" s="149">
        <f t="shared" si="4"/>
        <v>120069</v>
      </c>
      <c r="J123" s="18"/>
      <c r="K123" s="4"/>
    </row>
    <row r="124" spans="2:11" s="9" customFormat="1" ht="21" customHeight="1" x14ac:dyDescent="0.3">
      <c r="B124" s="175"/>
      <c r="C124" s="177" t="s">
        <v>355</v>
      </c>
      <c r="D124" s="178"/>
      <c r="E124" s="178"/>
      <c r="F124" s="258"/>
      <c r="G124" s="260">
        <v>361634</v>
      </c>
      <c r="H124" s="260">
        <v>24736</v>
      </c>
      <c r="I124" s="149">
        <f t="shared" si="4"/>
        <v>386370</v>
      </c>
      <c r="J124" s="18"/>
      <c r="K124" s="4"/>
    </row>
    <row r="125" spans="2:11" s="9" customFormat="1" ht="21" customHeight="1" x14ac:dyDescent="0.3">
      <c r="B125" s="175"/>
      <c r="C125" s="177" t="s">
        <v>20</v>
      </c>
      <c r="D125" s="178"/>
      <c r="E125" s="178"/>
      <c r="F125" s="258"/>
      <c r="G125" s="260">
        <v>53475</v>
      </c>
      <c r="H125" s="260">
        <v>7059</v>
      </c>
      <c r="I125" s="149">
        <f t="shared" si="4"/>
        <v>60534</v>
      </c>
      <c r="J125" s="18"/>
      <c r="K125" s="4"/>
    </row>
    <row r="126" spans="2:11" s="9" customFormat="1" ht="21" customHeight="1" x14ac:dyDescent="0.3">
      <c r="B126" s="175"/>
      <c r="C126" s="179" t="s">
        <v>279</v>
      </c>
      <c r="D126" s="178"/>
      <c r="E126" s="178"/>
      <c r="F126" s="258"/>
      <c r="G126" s="260">
        <v>139534</v>
      </c>
      <c r="H126" s="260"/>
      <c r="I126" s="149">
        <f t="shared" si="4"/>
        <v>139534</v>
      </c>
      <c r="K126" s="4"/>
    </row>
    <row r="127" spans="2:11" s="9" customFormat="1" ht="21" customHeight="1" x14ac:dyDescent="0.3">
      <c r="B127" s="175"/>
      <c r="C127" s="179" t="s">
        <v>8</v>
      </c>
      <c r="D127" s="178"/>
      <c r="E127" s="178"/>
      <c r="F127" s="258"/>
      <c r="G127" s="260">
        <v>31432</v>
      </c>
      <c r="H127" s="260">
        <v>19676</v>
      </c>
      <c r="I127" s="149">
        <f t="shared" si="4"/>
        <v>51108</v>
      </c>
      <c r="K127" s="4"/>
    </row>
    <row r="128" spans="2:11" s="9" customFormat="1" ht="21" customHeight="1" x14ac:dyDescent="0.3">
      <c r="B128" s="175"/>
      <c r="C128" s="163" t="s">
        <v>286</v>
      </c>
      <c r="D128" s="180"/>
      <c r="E128" s="180"/>
      <c r="F128" s="259"/>
      <c r="G128" s="151">
        <v>0</v>
      </c>
      <c r="H128" s="151"/>
      <c r="I128" s="149">
        <f t="shared" si="4"/>
        <v>0</v>
      </c>
      <c r="K128" s="4"/>
    </row>
    <row r="129" spans="2:11" ht="21" customHeight="1" thickBot="1" x14ac:dyDescent="0.35">
      <c r="B129" s="96" t="s">
        <v>118</v>
      </c>
      <c r="C129" s="97"/>
      <c r="D129" s="168"/>
      <c r="E129" s="168"/>
      <c r="F129" s="168"/>
      <c r="G129" s="152">
        <f>SUM(G116:G128)</f>
        <v>1868329</v>
      </c>
      <c r="H129" s="152">
        <f>SUM(H116:H128)</f>
        <v>156208</v>
      </c>
      <c r="I129" s="152">
        <f>SUM(I116:I128)</f>
        <v>2024537</v>
      </c>
      <c r="K129" s="4"/>
    </row>
    <row r="130" spans="2:11" ht="21" customHeight="1" thickBot="1" x14ac:dyDescent="0.35">
      <c r="B130" s="96" t="s">
        <v>567</v>
      </c>
      <c r="C130" s="97"/>
      <c r="D130" s="98"/>
      <c r="E130" s="98"/>
      <c r="F130" s="98"/>
      <c r="G130" s="99">
        <f>G104+G53+G114+G68+G129</f>
        <v>20092711</v>
      </c>
      <c r="H130" s="99">
        <f>H104+H53+H114+H68+H129</f>
        <v>392351</v>
      </c>
      <c r="I130" s="99">
        <f>I104+I53+I114+I68+I129</f>
        <v>20485062</v>
      </c>
    </row>
  </sheetData>
  <mergeCells count="2">
    <mergeCell ref="B1:F1"/>
    <mergeCell ref="B2:H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1" orientation="portrait" r:id="rId1"/>
  <headerFooter alignWithMargins="0">
    <oddHeader xml:space="preserve">&amp;R&amp;"Times New Roman CE,Félkövér"&amp;16
3. melléklet a …./2019. (…….) önkormányzati rendelethez
„3. melléklet a 5/2019. (IV. 1.) önkormányzati rendelethez”
</oddHeader>
  </headerFooter>
  <rowBreaks count="1" manualBreakCount="1">
    <brk id="68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73C5-B3C9-4D34-B568-7FEE70D8CC34}">
  <dimension ref="A3:AV51"/>
  <sheetViews>
    <sheetView zoomScale="50" zoomScaleNormal="50" zoomScaleSheetLayoutView="50" workbookViewId="0">
      <selection activeCell="A3" sqref="A3"/>
    </sheetView>
  </sheetViews>
  <sheetFormatPr defaultRowHeight="26.45" customHeight="1" x14ac:dyDescent="0.6"/>
  <cols>
    <col min="1" max="1" width="186.33203125" style="822" customWidth="1"/>
    <col min="2" max="2" width="49.83203125" style="823" customWidth="1"/>
    <col min="3" max="3" width="38.33203125" style="823" customWidth="1"/>
    <col min="4" max="5" width="50" style="823" customWidth="1"/>
    <col min="6" max="6" width="37.6640625" style="823" customWidth="1"/>
    <col min="7" max="7" width="50" style="823" customWidth="1"/>
    <col min="8" max="8" width="51.33203125" style="823" customWidth="1"/>
    <col min="9" max="9" width="38.1640625" style="823" customWidth="1"/>
    <col min="10" max="11" width="50" style="823" customWidth="1"/>
    <col min="12" max="12" width="38.33203125" style="823" customWidth="1"/>
    <col min="13" max="14" width="50" style="823" customWidth="1"/>
    <col min="15" max="15" width="38.33203125" style="823" customWidth="1"/>
    <col min="16" max="16" width="50" style="823" customWidth="1"/>
    <col min="17" max="17" width="186.33203125" style="822" customWidth="1"/>
    <col min="18" max="18" width="50" style="823" customWidth="1"/>
    <col min="19" max="19" width="38.33203125" style="823" customWidth="1"/>
    <col min="20" max="21" width="49.83203125" style="823" customWidth="1"/>
    <col min="22" max="22" width="38.1640625" style="823" customWidth="1"/>
    <col min="23" max="23" width="49.83203125" style="823" customWidth="1"/>
    <col min="24" max="24" width="50" style="823" customWidth="1"/>
    <col min="25" max="25" width="38.33203125" style="823" customWidth="1"/>
    <col min="26" max="27" width="49.83203125" style="823" customWidth="1"/>
    <col min="28" max="28" width="38.1640625" style="823" customWidth="1"/>
    <col min="29" max="30" width="50" style="823" customWidth="1"/>
    <col min="31" max="31" width="38.33203125" style="823" customWidth="1"/>
    <col min="32" max="32" width="50" style="823" customWidth="1"/>
    <col min="33" max="33" width="186.33203125" style="822" customWidth="1"/>
    <col min="34" max="34" width="50" style="822" customWidth="1"/>
    <col min="35" max="35" width="38.33203125" style="822" customWidth="1"/>
    <col min="36" max="36" width="49.83203125" style="822" customWidth="1"/>
    <col min="37" max="37" width="50" style="822" customWidth="1"/>
    <col min="38" max="38" width="45" style="822" customWidth="1"/>
    <col min="39" max="40" width="50" style="822" customWidth="1"/>
    <col min="41" max="41" width="45" style="822" customWidth="1"/>
    <col min="42" max="43" width="50" style="822" customWidth="1"/>
    <col min="44" max="44" width="45" style="822" customWidth="1"/>
    <col min="45" max="45" width="50.33203125" style="824" customWidth="1"/>
    <col min="46" max="46" width="50" style="824" customWidth="1"/>
    <col min="47" max="47" width="45" style="824" customWidth="1"/>
    <col min="48" max="48" width="50" style="823" customWidth="1"/>
    <col min="49" max="241" width="9.33203125" style="822"/>
    <col min="242" max="242" width="186.33203125" style="822" customWidth="1"/>
    <col min="243" max="243" width="49.83203125" style="822" customWidth="1"/>
    <col min="244" max="244" width="38.33203125" style="822" customWidth="1"/>
    <col min="245" max="246" width="50" style="822" customWidth="1"/>
    <col min="247" max="247" width="37.6640625" style="822" customWidth="1"/>
    <col min="248" max="248" width="50" style="822" customWidth="1"/>
    <col min="249" max="249" width="51.33203125" style="822" customWidth="1"/>
    <col min="250" max="250" width="38.1640625" style="822" customWidth="1"/>
    <col min="251" max="252" width="50" style="822" customWidth="1"/>
    <col min="253" max="253" width="38.33203125" style="822" customWidth="1"/>
    <col min="254" max="255" width="50" style="822" customWidth="1"/>
    <col min="256" max="256" width="38.33203125" style="822" customWidth="1"/>
    <col min="257" max="257" width="50" style="822" customWidth="1"/>
    <col min="258" max="258" width="186.33203125" style="822" customWidth="1"/>
    <col min="259" max="259" width="50" style="822" customWidth="1"/>
    <col min="260" max="260" width="38.33203125" style="822" customWidth="1"/>
    <col min="261" max="262" width="49.83203125" style="822" customWidth="1"/>
    <col min="263" max="263" width="38.1640625" style="822" customWidth="1"/>
    <col min="264" max="264" width="49.83203125" style="822" customWidth="1"/>
    <col min="265" max="265" width="50" style="822" customWidth="1"/>
    <col min="266" max="266" width="38.33203125" style="822" customWidth="1"/>
    <col min="267" max="268" width="49.83203125" style="822" customWidth="1"/>
    <col min="269" max="269" width="38.1640625" style="822" customWidth="1"/>
    <col min="270" max="271" width="50" style="822" customWidth="1"/>
    <col min="272" max="272" width="38.33203125" style="822" customWidth="1"/>
    <col min="273" max="273" width="50" style="822" customWidth="1"/>
    <col min="274" max="274" width="186.33203125" style="822" customWidth="1"/>
    <col min="275" max="275" width="50" style="822" customWidth="1"/>
    <col min="276" max="276" width="38.33203125" style="822" customWidth="1"/>
    <col min="277" max="277" width="49.83203125" style="822" customWidth="1"/>
    <col min="278" max="278" width="50" style="822" customWidth="1"/>
    <col min="279" max="279" width="45" style="822" customWidth="1"/>
    <col min="280" max="281" width="50" style="822" customWidth="1"/>
    <col min="282" max="282" width="45" style="822" customWidth="1"/>
    <col min="283" max="284" width="50" style="822" customWidth="1"/>
    <col min="285" max="285" width="45" style="822" customWidth="1"/>
    <col min="286" max="286" width="50.33203125" style="822" customWidth="1"/>
    <col min="287" max="287" width="50" style="822" customWidth="1"/>
    <col min="288" max="288" width="45" style="822" customWidth="1"/>
    <col min="289" max="289" width="50" style="822" customWidth="1"/>
    <col min="290" max="291" width="51" style="822" customWidth="1"/>
    <col min="292" max="497" width="9.33203125" style="822"/>
    <col min="498" max="498" width="186.33203125" style="822" customWidth="1"/>
    <col min="499" max="499" width="49.83203125" style="822" customWidth="1"/>
    <col min="500" max="500" width="38.33203125" style="822" customWidth="1"/>
    <col min="501" max="502" width="50" style="822" customWidth="1"/>
    <col min="503" max="503" width="37.6640625" style="822" customWidth="1"/>
    <col min="504" max="504" width="50" style="822" customWidth="1"/>
    <col min="505" max="505" width="51.33203125" style="822" customWidth="1"/>
    <col min="506" max="506" width="38.1640625" style="822" customWidth="1"/>
    <col min="507" max="508" width="50" style="822" customWidth="1"/>
    <col min="509" max="509" width="38.33203125" style="822" customWidth="1"/>
    <col min="510" max="511" width="50" style="822" customWidth="1"/>
    <col min="512" max="512" width="38.33203125" style="822" customWidth="1"/>
    <col min="513" max="513" width="50" style="822" customWidth="1"/>
    <col min="514" max="514" width="186.33203125" style="822" customWidth="1"/>
    <col min="515" max="515" width="50" style="822" customWidth="1"/>
    <col min="516" max="516" width="38.33203125" style="822" customWidth="1"/>
    <col min="517" max="518" width="49.83203125" style="822" customWidth="1"/>
    <col min="519" max="519" width="38.1640625" style="822" customWidth="1"/>
    <col min="520" max="520" width="49.83203125" style="822" customWidth="1"/>
    <col min="521" max="521" width="50" style="822" customWidth="1"/>
    <col min="522" max="522" width="38.33203125" style="822" customWidth="1"/>
    <col min="523" max="524" width="49.83203125" style="822" customWidth="1"/>
    <col min="525" max="525" width="38.1640625" style="822" customWidth="1"/>
    <col min="526" max="527" width="50" style="822" customWidth="1"/>
    <col min="528" max="528" width="38.33203125" style="822" customWidth="1"/>
    <col min="529" max="529" width="50" style="822" customWidth="1"/>
    <col min="530" max="530" width="186.33203125" style="822" customWidth="1"/>
    <col min="531" max="531" width="50" style="822" customWidth="1"/>
    <col min="532" max="532" width="38.33203125" style="822" customWidth="1"/>
    <col min="533" max="533" width="49.83203125" style="822" customWidth="1"/>
    <col min="534" max="534" width="50" style="822" customWidth="1"/>
    <col min="535" max="535" width="45" style="822" customWidth="1"/>
    <col min="536" max="537" width="50" style="822" customWidth="1"/>
    <col min="538" max="538" width="45" style="822" customWidth="1"/>
    <col min="539" max="540" width="50" style="822" customWidth="1"/>
    <col min="541" max="541" width="45" style="822" customWidth="1"/>
    <col min="542" max="542" width="50.33203125" style="822" customWidth="1"/>
    <col min="543" max="543" width="50" style="822" customWidth="1"/>
    <col min="544" max="544" width="45" style="822" customWidth="1"/>
    <col min="545" max="545" width="50" style="822" customWidth="1"/>
    <col min="546" max="547" width="51" style="822" customWidth="1"/>
    <col min="548" max="753" width="9.33203125" style="822"/>
    <col min="754" max="754" width="186.33203125" style="822" customWidth="1"/>
    <col min="755" max="755" width="49.83203125" style="822" customWidth="1"/>
    <col min="756" max="756" width="38.33203125" style="822" customWidth="1"/>
    <col min="757" max="758" width="50" style="822" customWidth="1"/>
    <col min="759" max="759" width="37.6640625" style="822" customWidth="1"/>
    <col min="760" max="760" width="50" style="822" customWidth="1"/>
    <col min="761" max="761" width="51.33203125" style="822" customWidth="1"/>
    <col min="762" max="762" width="38.1640625" style="822" customWidth="1"/>
    <col min="763" max="764" width="50" style="822" customWidth="1"/>
    <col min="765" max="765" width="38.33203125" style="822" customWidth="1"/>
    <col min="766" max="767" width="50" style="822" customWidth="1"/>
    <col min="768" max="768" width="38.33203125" style="822" customWidth="1"/>
    <col min="769" max="769" width="50" style="822" customWidth="1"/>
    <col min="770" max="770" width="186.33203125" style="822" customWidth="1"/>
    <col min="771" max="771" width="50" style="822" customWidth="1"/>
    <col min="772" max="772" width="38.33203125" style="822" customWidth="1"/>
    <col min="773" max="774" width="49.83203125" style="822" customWidth="1"/>
    <col min="775" max="775" width="38.1640625" style="822" customWidth="1"/>
    <col min="776" max="776" width="49.83203125" style="822" customWidth="1"/>
    <col min="777" max="777" width="50" style="822" customWidth="1"/>
    <col min="778" max="778" width="38.33203125" style="822" customWidth="1"/>
    <col min="779" max="780" width="49.83203125" style="822" customWidth="1"/>
    <col min="781" max="781" width="38.1640625" style="822" customWidth="1"/>
    <col min="782" max="783" width="50" style="822" customWidth="1"/>
    <col min="784" max="784" width="38.33203125" style="822" customWidth="1"/>
    <col min="785" max="785" width="50" style="822" customWidth="1"/>
    <col min="786" max="786" width="186.33203125" style="822" customWidth="1"/>
    <col min="787" max="787" width="50" style="822" customWidth="1"/>
    <col min="788" max="788" width="38.33203125" style="822" customWidth="1"/>
    <col min="789" max="789" width="49.83203125" style="822" customWidth="1"/>
    <col min="790" max="790" width="50" style="822" customWidth="1"/>
    <col min="791" max="791" width="45" style="822" customWidth="1"/>
    <col min="792" max="793" width="50" style="822" customWidth="1"/>
    <col min="794" max="794" width="45" style="822" customWidth="1"/>
    <col min="795" max="796" width="50" style="822" customWidth="1"/>
    <col min="797" max="797" width="45" style="822" customWidth="1"/>
    <col min="798" max="798" width="50.33203125" style="822" customWidth="1"/>
    <col min="799" max="799" width="50" style="822" customWidth="1"/>
    <col min="800" max="800" width="45" style="822" customWidth="1"/>
    <col min="801" max="801" width="50" style="822" customWidth="1"/>
    <col min="802" max="803" width="51" style="822" customWidth="1"/>
    <col min="804" max="1009" width="9.33203125" style="822"/>
    <col min="1010" max="1010" width="186.33203125" style="822" customWidth="1"/>
    <col min="1011" max="1011" width="49.83203125" style="822" customWidth="1"/>
    <col min="1012" max="1012" width="38.33203125" style="822" customWidth="1"/>
    <col min="1013" max="1014" width="50" style="822" customWidth="1"/>
    <col min="1015" max="1015" width="37.6640625" style="822" customWidth="1"/>
    <col min="1016" max="1016" width="50" style="822" customWidth="1"/>
    <col min="1017" max="1017" width="51.33203125" style="822" customWidth="1"/>
    <col min="1018" max="1018" width="38.1640625" style="822" customWidth="1"/>
    <col min="1019" max="1020" width="50" style="822" customWidth="1"/>
    <col min="1021" max="1021" width="38.33203125" style="822" customWidth="1"/>
    <col min="1022" max="1023" width="50" style="822" customWidth="1"/>
    <col min="1024" max="1024" width="38.33203125" style="822" customWidth="1"/>
    <col min="1025" max="1025" width="50" style="822" customWidth="1"/>
    <col min="1026" max="1026" width="186.33203125" style="822" customWidth="1"/>
    <col min="1027" max="1027" width="50" style="822" customWidth="1"/>
    <col min="1028" max="1028" width="38.33203125" style="822" customWidth="1"/>
    <col min="1029" max="1030" width="49.83203125" style="822" customWidth="1"/>
    <col min="1031" max="1031" width="38.1640625" style="822" customWidth="1"/>
    <col min="1032" max="1032" width="49.83203125" style="822" customWidth="1"/>
    <col min="1033" max="1033" width="50" style="822" customWidth="1"/>
    <col min="1034" max="1034" width="38.33203125" style="822" customWidth="1"/>
    <col min="1035" max="1036" width="49.83203125" style="822" customWidth="1"/>
    <col min="1037" max="1037" width="38.1640625" style="822" customWidth="1"/>
    <col min="1038" max="1039" width="50" style="822" customWidth="1"/>
    <col min="1040" max="1040" width="38.33203125" style="822" customWidth="1"/>
    <col min="1041" max="1041" width="50" style="822" customWidth="1"/>
    <col min="1042" max="1042" width="186.33203125" style="822" customWidth="1"/>
    <col min="1043" max="1043" width="50" style="822" customWidth="1"/>
    <col min="1044" max="1044" width="38.33203125" style="822" customWidth="1"/>
    <col min="1045" max="1045" width="49.83203125" style="822" customWidth="1"/>
    <col min="1046" max="1046" width="50" style="822" customWidth="1"/>
    <col min="1047" max="1047" width="45" style="822" customWidth="1"/>
    <col min="1048" max="1049" width="50" style="822" customWidth="1"/>
    <col min="1050" max="1050" width="45" style="822" customWidth="1"/>
    <col min="1051" max="1052" width="50" style="822" customWidth="1"/>
    <col min="1053" max="1053" width="45" style="822" customWidth="1"/>
    <col min="1054" max="1054" width="50.33203125" style="822" customWidth="1"/>
    <col min="1055" max="1055" width="50" style="822" customWidth="1"/>
    <col min="1056" max="1056" width="45" style="822" customWidth="1"/>
    <col min="1057" max="1057" width="50" style="822" customWidth="1"/>
    <col min="1058" max="1059" width="51" style="822" customWidth="1"/>
    <col min="1060" max="1265" width="9.33203125" style="822"/>
    <col min="1266" max="1266" width="186.33203125" style="822" customWidth="1"/>
    <col min="1267" max="1267" width="49.83203125" style="822" customWidth="1"/>
    <col min="1268" max="1268" width="38.33203125" style="822" customWidth="1"/>
    <col min="1269" max="1270" width="50" style="822" customWidth="1"/>
    <col min="1271" max="1271" width="37.6640625" style="822" customWidth="1"/>
    <col min="1272" max="1272" width="50" style="822" customWidth="1"/>
    <col min="1273" max="1273" width="51.33203125" style="822" customWidth="1"/>
    <col min="1274" max="1274" width="38.1640625" style="822" customWidth="1"/>
    <col min="1275" max="1276" width="50" style="822" customWidth="1"/>
    <col min="1277" max="1277" width="38.33203125" style="822" customWidth="1"/>
    <col min="1278" max="1279" width="50" style="822" customWidth="1"/>
    <col min="1280" max="1280" width="38.33203125" style="822" customWidth="1"/>
    <col min="1281" max="1281" width="50" style="822" customWidth="1"/>
    <col min="1282" max="1282" width="186.33203125" style="822" customWidth="1"/>
    <col min="1283" max="1283" width="50" style="822" customWidth="1"/>
    <col min="1284" max="1284" width="38.33203125" style="822" customWidth="1"/>
    <col min="1285" max="1286" width="49.83203125" style="822" customWidth="1"/>
    <col min="1287" max="1287" width="38.1640625" style="822" customWidth="1"/>
    <col min="1288" max="1288" width="49.83203125" style="822" customWidth="1"/>
    <col min="1289" max="1289" width="50" style="822" customWidth="1"/>
    <col min="1290" max="1290" width="38.33203125" style="822" customWidth="1"/>
    <col min="1291" max="1292" width="49.83203125" style="822" customWidth="1"/>
    <col min="1293" max="1293" width="38.1640625" style="822" customWidth="1"/>
    <col min="1294" max="1295" width="50" style="822" customWidth="1"/>
    <col min="1296" max="1296" width="38.33203125" style="822" customWidth="1"/>
    <col min="1297" max="1297" width="50" style="822" customWidth="1"/>
    <col min="1298" max="1298" width="186.33203125" style="822" customWidth="1"/>
    <col min="1299" max="1299" width="50" style="822" customWidth="1"/>
    <col min="1300" max="1300" width="38.33203125" style="822" customWidth="1"/>
    <col min="1301" max="1301" width="49.83203125" style="822" customWidth="1"/>
    <col min="1302" max="1302" width="50" style="822" customWidth="1"/>
    <col min="1303" max="1303" width="45" style="822" customWidth="1"/>
    <col min="1304" max="1305" width="50" style="822" customWidth="1"/>
    <col min="1306" max="1306" width="45" style="822" customWidth="1"/>
    <col min="1307" max="1308" width="50" style="822" customWidth="1"/>
    <col min="1309" max="1309" width="45" style="822" customWidth="1"/>
    <col min="1310" max="1310" width="50.33203125" style="822" customWidth="1"/>
    <col min="1311" max="1311" width="50" style="822" customWidth="1"/>
    <col min="1312" max="1312" width="45" style="822" customWidth="1"/>
    <col min="1313" max="1313" width="50" style="822" customWidth="1"/>
    <col min="1314" max="1315" width="51" style="822" customWidth="1"/>
    <col min="1316" max="1521" width="9.33203125" style="822"/>
    <col min="1522" max="1522" width="186.33203125" style="822" customWidth="1"/>
    <col min="1523" max="1523" width="49.83203125" style="822" customWidth="1"/>
    <col min="1524" max="1524" width="38.33203125" style="822" customWidth="1"/>
    <col min="1525" max="1526" width="50" style="822" customWidth="1"/>
    <col min="1527" max="1527" width="37.6640625" style="822" customWidth="1"/>
    <col min="1528" max="1528" width="50" style="822" customWidth="1"/>
    <col min="1529" max="1529" width="51.33203125" style="822" customWidth="1"/>
    <col min="1530" max="1530" width="38.1640625" style="822" customWidth="1"/>
    <col min="1531" max="1532" width="50" style="822" customWidth="1"/>
    <col min="1533" max="1533" width="38.33203125" style="822" customWidth="1"/>
    <col min="1534" max="1535" width="50" style="822" customWidth="1"/>
    <col min="1536" max="1536" width="38.33203125" style="822" customWidth="1"/>
    <col min="1537" max="1537" width="50" style="822" customWidth="1"/>
    <col min="1538" max="1538" width="186.33203125" style="822" customWidth="1"/>
    <col min="1539" max="1539" width="50" style="822" customWidth="1"/>
    <col min="1540" max="1540" width="38.33203125" style="822" customWidth="1"/>
    <col min="1541" max="1542" width="49.83203125" style="822" customWidth="1"/>
    <col min="1543" max="1543" width="38.1640625" style="822" customWidth="1"/>
    <col min="1544" max="1544" width="49.83203125" style="822" customWidth="1"/>
    <col min="1545" max="1545" width="50" style="822" customWidth="1"/>
    <col min="1546" max="1546" width="38.33203125" style="822" customWidth="1"/>
    <col min="1547" max="1548" width="49.83203125" style="822" customWidth="1"/>
    <col min="1549" max="1549" width="38.1640625" style="822" customWidth="1"/>
    <col min="1550" max="1551" width="50" style="822" customWidth="1"/>
    <col min="1552" max="1552" width="38.33203125" style="822" customWidth="1"/>
    <col min="1553" max="1553" width="50" style="822" customWidth="1"/>
    <col min="1554" max="1554" width="186.33203125" style="822" customWidth="1"/>
    <col min="1555" max="1555" width="50" style="822" customWidth="1"/>
    <col min="1556" max="1556" width="38.33203125" style="822" customWidth="1"/>
    <col min="1557" max="1557" width="49.83203125" style="822" customWidth="1"/>
    <col min="1558" max="1558" width="50" style="822" customWidth="1"/>
    <col min="1559" max="1559" width="45" style="822" customWidth="1"/>
    <col min="1560" max="1561" width="50" style="822" customWidth="1"/>
    <col min="1562" max="1562" width="45" style="822" customWidth="1"/>
    <col min="1563" max="1564" width="50" style="822" customWidth="1"/>
    <col min="1565" max="1565" width="45" style="822" customWidth="1"/>
    <col min="1566" max="1566" width="50.33203125" style="822" customWidth="1"/>
    <col min="1567" max="1567" width="50" style="822" customWidth="1"/>
    <col min="1568" max="1568" width="45" style="822" customWidth="1"/>
    <col min="1569" max="1569" width="50" style="822" customWidth="1"/>
    <col min="1570" max="1571" width="51" style="822" customWidth="1"/>
    <col min="1572" max="1777" width="9.33203125" style="822"/>
    <col min="1778" max="1778" width="186.33203125" style="822" customWidth="1"/>
    <col min="1779" max="1779" width="49.83203125" style="822" customWidth="1"/>
    <col min="1780" max="1780" width="38.33203125" style="822" customWidth="1"/>
    <col min="1781" max="1782" width="50" style="822" customWidth="1"/>
    <col min="1783" max="1783" width="37.6640625" style="822" customWidth="1"/>
    <col min="1784" max="1784" width="50" style="822" customWidth="1"/>
    <col min="1785" max="1785" width="51.33203125" style="822" customWidth="1"/>
    <col min="1786" max="1786" width="38.1640625" style="822" customWidth="1"/>
    <col min="1787" max="1788" width="50" style="822" customWidth="1"/>
    <col min="1789" max="1789" width="38.33203125" style="822" customWidth="1"/>
    <col min="1790" max="1791" width="50" style="822" customWidth="1"/>
    <col min="1792" max="1792" width="38.33203125" style="822" customWidth="1"/>
    <col min="1793" max="1793" width="50" style="822" customWidth="1"/>
    <col min="1794" max="1794" width="186.33203125" style="822" customWidth="1"/>
    <col min="1795" max="1795" width="50" style="822" customWidth="1"/>
    <col min="1796" max="1796" width="38.33203125" style="822" customWidth="1"/>
    <col min="1797" max="1798" width="49.83203125" style="822" customWidth="1"/>
    <col min="1799" max="1799" width="38.1640625" style="822" customWidth="1"/>
    <col min="1800" max="1800" width="49.83203125" style="822" customWidth="1"/>
    <col min="1801" max="1801" width="50" style="822" customWidth="1"/>
    <col min="1802" max="1802" width="38.33203125" style="822" customWidth="1"/>
    <col min="1803" max="1804" width="49.83203125" style="822" customWidth="1"/>
    <col min="1805" max="1805" width="38.1640625" style="822" customWidth="1"/>
    <col min="1806" max="1807" width="50" style="822" customWidth="1"/>
    <col min="1808" max="1808" width="38.33203125" style="822" customWidth="1"/>
    <col min="1809" max="1809" width="50" style="822" customWidth="1"/>
    <col min="1810" max="1810" width="186.33203125" style="822" customWidth="1"/>
    <col min="1811" max="1811" width="50" style="822" customWidth="1"/>
    <col min="1812" max="1812" width="38.33203125" style="822" customWidth="1"/>
    <col min="1813" max="1813" width="49.83203125" style="822" customWidth="1"/>
    <col min="1814" max="1814" width="50" style="822" customWidth="1"/>
    <col min="1815" max="1815" width="45" style="822" customWidth="1"/>
    <col min="1816" max="1817" width="50" style="822" customWidth="1"/>
    <col min="1818" max="1818" width="45" style="822" customWidth="1"/>
    <col min="1819" max="1820" width="50" style="822" customWidth="1"/>
    <col min="1821" max="1821" width="45" style="822" customWidth="1"/>
    <col min="1822" max="1822" width="50.33203125" style="822" customWidth="1"/>
    <col min="1823" max="1823" width="50" style="822" customWidth="1"/>
    <col min="1824" max="1824" width="45" style="822" customWidth="1"/>
    <col min="1825" max="1825" width="50" style="822" customWidth="1"/>
    <col min="1826" max="1827" width="51" style="822" customWidth="1"/>
    <col min="1828" max="2033" width="9.33203125" style="822"/>
    <col min="2034" max="2034" width="186.33203125" style="822" customWidth="1"/>
    <col min="2035" max="2035" width="49.83203125" style="822" customWidth="1"/>
    <col min="2036" max="2036" width="38.33203125" style="822" customWidth="1"/>
    <col min="2037" max="2038" width="50" style="822" customWidth="1"/>
    <col min="2039" max="2039" width="37.6640625" style="822" customWidth="1"/>
    <col min="2040" max="2040" width="50" style="822" customWidth="1"/>
    <col min="2041" max="2041" width="51.33203125" style="822" customWidth="1"/>
    <col min="2042" max="2042" width="38.1640625" style="822" customWidth="1"/>
    <col min="2043" max="2044" width="50" style="822" customWidth="1"/>
    <col min="2045" max="2045" width="38.33203125" style="822" customWidth="1"/>
    <col min="2046" max="2047" width="50" style="822" customWidth="1"/>
    <col min="2048" max="2048" width="38.33203125" style="822" customWidth="1"/>
    <col min="2049" max="2049" width="50" style="822" customWidth="1"/>
    <col min="2050" max="2050" width="186.33203125" style="822" customWidth="1"/>
    <col min="2051" max="2051" width="50" style="822" customWidth="1"/>
    <col min="2052" max="2052" width="38.33203125" style="822" customWidth="1"/>
    <col min="2053" max="2054" width="49.83203125" style="822" customWidth="1"/>
    <col min="2055" max="2055" width="38.1640625" style="822" customWidth="1"/>
    <col min="2056" max="2056" width="49.83203125" style="822" customWidth="1"/>
    <col min="2057" max="2057" width="50" style="822" customWidth="1"/>
    <col min="2058" max="2058" width="38.33203125" style="822" customWidth="1"/>
    <col min="2059" max="2060" width="49.83203125" style="822" customWidth="1"/>
    <col min="2061" max="2061" width="38.1640625" style="822" customWidth="1"/>
    <col min="2062" max="2063" width="50" style="822" customWidth="1"/>
    <col min="2064" max="2064" width="38.33203125" style="822" customWidth="1"/>
    <col min="2065" max="2065" width="50" style="822" customWidth="1"/>
    <col min="2066" max="2066" width="186.33203125" style="822" customWidth="1"/>
    <col min="2067" max="2067" width="50" style="822" customWidth="1"/>
    <col min="2068" max="2068" width="38.33203125" style="822" customWidth="1"/>
    <col min="2069" max="2069" width="49.83203125" style="822" customWidth="1"/>
    <col min="2070" max="2070" width="50" style="822" customWidth="1"/>
    <col min="2071" max="2071" width="45" style="822" customWidth="1"/>
    <col min="2072" max="2073" width="50" style="822" customWidth="1"/>
    <col min="2074" max="2074" width="45" style="822" customWidth="1"/>
    <col min="2075" max="2076" width="50" style="822" customWidth="1"/>
    <col min="2077" max="2077" width="45" style="822" customWidth="1"/>
    <col min="2078" max="2078" width="50.33203125" style="822" customWidth="1"/>
    <col min="2079" max="2079" width="50" style="822" customWidth="1"/>
    <col min="2080" max="2080" width="45" style="822" customWidth="1"/>
    <col min="2081" max="2081" width="50" style="822" customWidth="1"/>
    <col min="2082" max="2083" width="51" style="822" customWidth="1"/>
    <col min="2084" max="2289" width="9.33203125" style="822"/>
    <col min="2290" max="2290" width="186.33203125" style="822" customWidth="1"/>
    <col min="2291" max="2291" width="49.83203125" style="822" customWidth="1"/>
    <col min="2292" max="2292" width="38.33203125" style="822" customWidth="1"/>
    <col min="2293" max="2294" width="50" style="822" customWidth="1"/>
    <col min="2295" max="2295" width="37.6640625" style="822" customWidth="1"/>
    <col min="2296" max="2296" width="50" style="822" customWidth="1"/>
    <col min="2297" max="2297" width="51.33203125" style="822" customWidth="1"/>
    <col min="2298" max="2298" width="38.1640625" style="822" customWidth="1"/>
    <col min="2299" max="2300" width="50" style="822" customWidth="1"/>
    <col min="2301" max="2301" width="38.33203125" style="822" customWidth="1"/>
    <col min="2302" max="2303" width="50" style="822" customWidth="1"/>
    <col min="2304" max="2304" width="38.33203125" style="822" customWidth="1"/>
    <col min="2305" max="2305" width="50" style="822" customWidth="1"/>
    <col min="2306" max="2306" width="186.33203125" style="822" customWidth="1"/>
    <col min="2307" max="2307" width="50" style="822" customWidth="1"/>
    <col min="2308" max="2308" width="38.33203125" style="822" customWidth="1"/>
    <col min="2309" max="2310" width="49.83203125" style="822" customWidth="1"/>
    <col min="2311" max="2311" width="38.1640625" style="822" customWidth="1"/>
    <col min="2312" max="2312" width="49.83203125" style="822" customWidth="1"/>
    <col min="2313" max="2313" width="50" style="822" customWidth="1"/>
    <col min="2314" max="2314" width="38.33203125" style="822" customWidth="1"/>
    <col min="2315" max="2316" width="49.83203125" style="822" customWidth="1"/>
    <col min="2317" max="2317" width="38.1640625" style="822" customWidth="1"/>
    <col min="2318" max="2319" width="50" style="822" customWidth="1"/>
    <col min="2320" max="2320" width="38.33203125" style="822" customWidth="1"/>
    <col min="2321" max="2321" width="50" style="822" customWidth="1"/>
    <col min="2322" max="2322" width="186.33203125" style="822" customWidth="1"/>
    <col min="2323" max="2323" width="50" style="822" customWidth="1"/>
    <col min="2324" max="2324" width="38.33203125" style="822" customWidth="1"/>
    <col min="2325" max="2325" width="49.83203125" style="822" customWidth="1"/>
    <col min="2326" max="2326" width="50" style="822" customWidth="1"/>
    <col min="2327" max="2327" width="45" style="822" customWidth="1"/>
    <col min="2328" max="2329" width="50" style="822" customWidth="1"/>
    <col min="2330" max="2330" width="45" style="822" customWidth="1"/>
    <col min="2331" max="2332" width="50" style="822" customWidth="1"/>
    <col min="2333" max="2333" width="45" style="822" customWidth="1"/>
    <col min="2334" max="2334" width="50.33203125" style="822" customWidth="1"/>
    <col min="2335" max="2335" width="50" style="822" customWidth="1"/>
    <col min="2336" max="2336" width="45" style="822" customWidth="1"/>
    <col min="2337" max="2337" width="50" style="822" customWidth="1"/>
    <col min="2338" max="2339" width="51" style="822" customWidth="1"/>
    <col min="2340" max="2545" width="9.33203125" style="822"/>
    <col min="2546" max="2546" width="186.33203125" style="822" customWidth="1"/>
    <col min="2547" max="2547" width="49.83203125" style="822" customWidth="1"/>
    <col min="2548" max="2548" width="38.33203125" style="822" customWidth="1"/>
    <col min="2549" max="2550" width="50" style="822" customWidth="1"/>
    <col min="2551" max="2551" width="37.6640625" style="822" customWidth="1"/>
    <col min="2552" max="2552" width="50" style="822" customWidth="1"/>
    <col min="2553" max="2553" width="51.33203125" style="822" customWidth="1"/>
    <col min="2554" max="2554" width="38.1640625" style="822" customWidth="1"/>
    <col min="2555" max="2556" width="50" style="822" customWidth="1"/>
    <col min="2557" max="2557" width="38.33203125" style="822" customWidth="1"/>
    <col min="2558" max="2559" width="50" style="822" customWidth="1"/>
    <col min="2560" max="2560" width="38.33203125" style="822" customWidth="1"/>
    <col min="2561" max="2561" width="50" style="822" customWidth="1"/>
    <col min="2562" max="2562" width="186.33203125" style="822" customWidth="1"/>
    <col min="2563" max="2563" width="50" style="822" customWidth="1"/>
    <col min="2564" max="2564" width="38.33203125" style="822" customWidth="1"/>
    <col min="2565" max="2566" width="49.83203125" style="822" customWidth="1"/>
    <col min="2567" max="2567" width="38.1640625" style="822" customWidth="1"/>
    <col min="2568" max="2568" width="49.83203125" style="822" customWidth="1"/>
    <col min="2569" max="2569" width="50" style="822" customWidth="1"/>
    <col min="2570" max="2570" width="38.33203125" style="822" customWidth="1"/>
    <col min="2571" max="2572" width="49.83203125" style="822" customWidth="1"/>
    <col min="2573" max="2573" width="38.1640625" style="822" customWidth="1"/>
    <col min="2574" max="2575" width="50" style="822" customWidth="1"/>
    <col min="2576" max="2576" width="38.33203125" style="822" customWidth="1"/>
    <col min="2577" max="2577" width="50" style="822" customWidth="1"/>
    <col min="2578" max="2578" width="186.33203125" style="822" customWidth="1"/>
    <col min="2579" max="2579" width="50" style="822" customWidth="1"/>
    <col min="2580" max="2580" width="38.33203125" style="822" customWidth="1"/>
    <col min="2581" max="2581" width="49.83203125" style="822" customWidth="1"/>
    <col min="2582" max="2582" width="50" style="822" customWidth="1"/>
    <col min="2583" max="2583" width="45" style="822" customWidth="1"/>
    <col min="2584" max="2585" width="50" style="822" customWidth="1"/>
    <col min="2586" max="2586" width="45" style="822" customWidth="1"/>
    <col min="2587" max="2588" width="50" style="822" customWidth="1"/>
    <col min="2589" max="2589" width="45" style="822" customWidth="1"/>
    <col min="2590" max="2590" width="50.33203125" style="822" customWidth="1"/>
    <col min="2591" max="2591" width="50" style="822" customWidth="1"/>
    <col min="2592" max="2592" width="45" style="822" customWidth="1"/>
    <col min="2593" max="2593" width="50" style="822" customWidth="1"/>
    <col min="2594" max="2595" width="51" style="822" customWidth="1"/>
    <col min="2596" max="2801" width="9.33203125" style="822"/>
    <col min="2802" max="2802" width="186.33203125" style="822" customWidth="1"/>
    <col min="2803" max="2803" width="49.83203125" style="822" customWidth="1"/>
    <col min="2804" max="2804" width="38.33203125" style="822" customWidth="1"/>
    <col min="2805" max="2806" width="50" style="822" customWidth="1"/>
    <col min="2807" max="2807" width="37.6640625" style="822" customWidth="1"/>
    <col min="2808" max="2808" width="50" style="822" customWidth="1"/>
    <col min="2809" max="2809" width="51.33203125" style="822" customWidth="1"/>
    <col min="2810" max="2810" width="38.1640625" style="822" customWidth="1"/>
    <col min="2811" max="2812" width="50" style="822" customWidth="1"/>
    <col min="2813" max="2813" width="38.33203125" style="822" customWidth="1"/>
    <col min="2814" max="2815" width="50" style="822" customWidth="1"/>
    <col min="2816" max="2816" width="38.33203125" style="822" customWidth="1"/>
    <col min="2817" max="2817" width="50" style="822" customWidth="1"/>
    <col min="2818" max="2818" width="186.33203125" style="822" customWidth="1"/>
    <col min="2819" max="2819" width="50" style="822" customWidth="1"/>
    <col min="2820" max="2820" width="38.33203125" style="822" customWidth="1"/>
    <col min="2821" max="2822" width="49.83203125" style="822" customWidth="1"/>
    <col min="2823" max="2823" width="38.1640625" style="822" customWidth="1"/>
    <col min="2824" max="2824" width="49.83203125" style="822" customWidth="1"/>
    <col min="2825" max="2825" width="50" style="822" customWidth="1"/>
    <col min="2826" max="2826" width="38.33203125" style="822" customWidth="1"/>
    <col min="2827" max="2828" width="49.83203125" style="822" customWidth="1"/>
    <col min="2829" max="2829" width="38.1640625" style="822" customWidth="1"/>
    <col min="2830" max="2831" width="50" style="822" customWidth="1"/>
    <col min="2832" max="2832" width="38.33203125" style="822" customWidth="1"/>
    <col min="2833" max="2833" width="50" style="822" customWidth="1"/>
    <col min="2834" max="2834" width="186.33203125" style="822" customWidth="1"/>
    <col min="2835" max="2835" width="50" style="822" customWidth="1"/>
    <col min="2836" max="2836" width="38.33203125" style="822" customWidth="1"/>
    <col min="2837" max="2837" width="49.83203125" style="822" customWidth="1"/>
    <col min="2838" max="2838" width="50" style="822" customWidth="1"/>
    <col min="2839" max="2839" width="45" style="822" customWidth="1"/>
    <col min="2840" max="2841" width="50" style="822" customWidth="1"/>
    <col min="2842" max="2842" width="45" style="822" customWidth="1"/>
    <col min="2843" max="2844" width="50" style="822" customWidth="1"/>
    <col min="2845" max="2845" width="45" style="822" customWidth="1"/>
    <col min="2846" max="2846" width="50.33203125" style="822" customWidth="1"/>
    <col min="2847" max="2847" width="50" style="822" customWidth="1"/>
    <col min="2848" max="2848" width="45" style="822" customWidth="1"/>
    <col min="2849" max="2849" width="50" style="822" customWidth="1"/>
    <col min="2850" max="2851" width="51" style="822" customWidth="1"/>
    <col min="2852" max="3057" width="9.33203125" style="822"/>
    <col min="3058" max="3058" width="186.33203125" style="822" customWidth="1"/>
    <col min="3059" max="3059" width="49.83203125" style="822" customWidth="1"/>
    <col min="3060" max="3060" width="38.33203125" style="822" customWidth="1"/>
    <col min="3061" max="3062" width="50" style="822" customWidth="1"/>
    <col min="3063" max="3063" width="37.6640625" style="822" customWidth="1"/>
    <col min="3064" max="3064" width="50" style="822" customWidth="1"/>
    <col min="3065" max="3065" width="51.33203125" style="822" customWidth="1"/>
    <col min="3066" max="3066" width="38.1640625" style="822" customWidth="1"/>
    <col min="3067" max="3068" width="50" style="822" customWidth="1"/>
    <col min="3069" max="3069" width="38.33203125" style="822" customWidth="1"/>
    <col min="3070" max="3071" width="50" style="822" customWidth="1"/>
    <col min="3072" max="3072" width="38.33203125" style="822" customWidth="1"/>
    <col min="3073" max="3073" width="50" style="822" customWidth="1"/>
    <col min="3074" max="3074" width="186.33203125" style="822" customWidth="1"/>
    <col min="3075" max="3075" width="50" style="822" customWidth="1"/>
    <col min="3076" max="3076" width="38.33203125" style="822" customWidth="1"/>
    <col min="3077" max="3078" width="49.83203125" style="822" customWidth="1"/>
    <col min="3079" max="3079" width="38.1640625" style="822" customWidth="1"/>
    <col min="3080" max="3080" width="49.83203125" style="822" customWidth="1"/>
    <col min="3081" max="3081" width="50" style="822" customWidth="1"/>
    <col min="3082" max="3082" width="38.33203125" style="822" customWidth="1"/>
    <col min="3083" max="3084" width="49.83203125" style="822" customWidth="1"/>
    <col min="3085" max="3085" width="38.1640625" style="822" customWidth="1"/>
    <col min="3086" max="3087" width="50" style="822" customWidth="1"/>
    <col min="3088" max="3088" width="38.33203125" style="822" customWidth="1"/>
    <col min="3089" max="3089" width="50" style="822" customWidth="1"/>
    <col min="3090" max="3090" width="186.33203125" style="822" customWidth="1"/>
    <col min="3091" max="3091" width="50" style="822" customWidth="1"/>
    <col min="3092" max="3092" width="38.33203125" style="822" customWidth="1"/>
    <col min="3093" max="3093" width="49.83203125" style="822" customWidth="1"/>
    <col min="3094" max="3094" width="50" style="822" customWidth="1"/>
    <col min="3095" max="3095" width="45" style="822" customWidth="1"/>
    <col min="3096" max="3097" width="50" style="822" customWidth="1"/>
    <col min="3098" max="3098" width="45" style="822" customWidth="1"/>
    <col min="3099" max="3100" width="50" style="822" customWidth="1"/>
    <col min="3101" max="3101" width="45" style="822" customWidth="1"/>
    <col min="3102" max="3102" width="50.33203125" style="822" customWidth="1"/>
    <col min="3103" max="3103" width="50" style="822" customWidth="1"/>
    <col min="3104" max="3104" width="45" style="822" customWidth="1"/>
    <col min="3105" max="3105" width="50" style="822" customWidth="1"/>
    <col min="3106" max="3107" width="51" style="822" customWidth="1"/>
    <col min="3108" max="3313" width="9.33203125" style="822"/>
    <col min="3314" max="3314" width="186.33203125" style="822" customWidth="1"/>
    <col min="3315" max="3315" width="49.83203125" style="822" customWidth="1"/>
    <col min="3316" max="3316" width="38.33203125" style="822" customWidth="1"/>
    <col min="3317" max="3318" width="50" style="822" customWidth="1"/>
    <col min="3319" max="3319" width="37.6640625" style="822" customWidth="1"/>
    <col min="3320" max="3320" width="50" style="822" customWidth="1"/>
    <col min="3321" max="3321" width="51.33203125" style="822" customWidth="1"/>
    <col min="3322" max="3322" width="38.1640625" style="822" customWidth="1"/>
    <col min="3323" max="3324" width="50" style="822" customWidth="1"/>
    <col min="3325" max="3325" width="38.33203125" style="822" customWidth="1"/>
    <col min="3326" max="3327" width="50" style="822" customWidth="1"/>
    <col min="3328" max="3328" width="38.33203125" style="822" customWidth="1"/>
    <col min="3329" max="3329" width="50" style="822" customWidth="1"/>
    <col min="3330" max="3330" width="186.33203125" style="822" customWidth="1"/>
    <col min="3331" max="3331" width="50" style="822" customWidth="1"/>
    <col min="3332" max="3332" width="38.33203125" style="822" customWidth="1"/>
    <col min="3333" max="3334" width="49.83203125" style="822" customWidth="1"/>
    <col min="3335" max="3335" width="38.1640625" style="822" customWidth="1"/>
    <col min="3336" max="3336" width="49.83203125" style="822" customWidth="1"/>
    <col min="3337" max="3337" width="50" style="822" customWidth="1"/>
    <col min="3338" max="3338" width="38.33203125" style="822" customWidth="1"/>
    <col min="3339" max="3340" width="49.83203125" style="822" customWidth="1"/>
    <col min="3341" max="3341" width="38.1640625" style="822" customWidth="1"/>
    <col min="3342" max="3343" width="50" style="822" customWidth="1"/>
    <col min="3344" max="3344" width="38.33203125" style="822" customWidth="1"/>
    <col min="3345" max="3345" width="50" style="822" customWidth="1"/>
    <col min="3346" max="3346" width="186.33203125" style="822" customWidth="1"/>
    <col min="3347" max="3347" width="50" style="822" customWidth="1"/>
    <col min="3348" max="3348" width="38.33203125" style="822" customWidth="1"/>
    <col min="3349" max="3349" width="49.83203125" style="822" customWidth="1"/>
    <col min="3350" max="3350" width="50" style="822" customWidth="1"/>
    <col min="3351" max="3351" width="45" style="822" customWidth="1"/>
    <col min="3352" max="3353" width="50" style="822" customWidth="1"/>
    <col min="3354" max="3354" width="45" style="822" customWidth="1"/>
    <col min="3355" max="3356" width="50" style="822" customWidth="1"/>
    <col min="3357" max="3357" width="45" style="822" customWidth="1"/>
    <col min="3358" max="3358" width="50.33203125" style="822" customWidth="1"/>
    <col min="3359" max="3359" width="50" style="822" customWidth="1"/>
    <col min="3360" max="3360" width="45" style="822" customWidth="1"/>
    <col min="3361" max="3361" width="50" style="822" customWidth="1"/>
    <col min="3362" max="3363" width="51" style="822" customWidth="1"/>
    <col min="3364" max="3569" width="9.33203125" style="822"/>
    <col min="3570" max="3570" width="186.33203125" style="822" customWidth="1"/>
    <col min="3571" max="3571" width="49.83203125" style="822" customWidth="1"/>
    <col min="3572" max="3572" width="38.33203125" style="822" customWidth="1"/>
    <col min="3573" max="3574" width="50" style="822" customWidth="1"/>
    <col min="3575" max="3575" width="37.6640625" style="822" customWidth="1"/>
    <col min="3576" max="3576" width="50" style="822" customWidth="1"/>
    <col min="3577" max="3577" width="51.33203125" style="822" customWidth="1"/>
    <col min="3578" max="3578" width="38.1640625" style="822" customWidth="1"/>
    <col min="3579" max="3580" width="50" style="822" customWidth="1"/>
    <col min="3581" max="3581" width="38.33203125" style="822" customWidth="1"/>
    <col min="3582" max="3583" width="50" style="822" customWidth="1"/>
    <col min="3584" max="3584" width="38.33203125" style="822" customWidth="1"/>
    <col min="3585" max="3585" width="50" style="822" customWidth="1"/>
    <col min="3586" max="3586" width="186.33203125" style="822" customWidth="1"/>
    <col min="3587" max="3587" width="50" style="822" customWidth="1"/>
    <col min="3588" max="3588" width="38.33203125" style="822" customWidth="1"/>
    <col min="3589" max="3590" width="49.83203125" style="822" customWidth="1"/>
    <col min="3591" max="3591" width="38.1640625" style="822" customWidth="1"/>
    <col min="3592" max="3592" width="49.83203125" style="822" customWidth="1"/>
    <col min="3593" max="3593" width="50" style="822" customWidth="1"/>
    <col min="3594" max="3594" width="38.33203125" style="822" customWidth="1"/>
    <col min="3595" max="3596" width="49.83203125" style="822" customWidth="1"/>
    <col min="3597" max="3597" width="38.1640625" style="822" customWidth="1"/>
    <col min="3598" max="3599" width="50" style="822" customWidth="1"/>
    <col min="3600" max="3600" width="38.33203125" style="822" customWidth="1"/>
    <col min="3601" max="3601" width="50" style="822" customWidth="1"/>
    <col min="3602" max="3602" width="186.33203125" style="822" customWidth="1"/>
    <col min="3603" max="3603" width="50" style="822" customWidth="1"/>
    <col min="3604" max="3604" width="38.33203125" style="822" customWidth="1"/>
    <col min="3605" max="3605" width="49.83203125" style="822" customWidth="1"/>
    <col min="3606" max="3606" width="50" style="822" customWidth="1"/>
    <col min="3607" max="3607" width="45" style="822" customWidth="1"/>
    <col min="3608" max="3609" width="50" style="822" customWidth="1"/>
    <col min="3610" max="3610" width="45" style="822" customWidth="1"/>
    <col min="3611" max="3612" width="50" style="822" customWidth="1"/>
    <col min="3613" max="3613" width="45" style="822" customWidth="1"/>
    <col min="3614" max="3614" width="50.33203125" style="822" customWidth="1"/>
    <col min="3615" max="3615" width="50" style="822" customWidth="1"/>
    <col min="3616" max="3616" width="45" style="822" customWidth="1"/>
    <col min="3617" max="3617" width="50" style="822" customWidth="1"/>
    <col min="3618" max="3619" width="51" style="822" customWidth="1"/>
    <col min="3620" max="3825" width="9.33203125" style="822"/>
    <col min="3826" max="3826" width="186.33203125" style="822" customWidth="1"/>
    <col min="3827" max="3827" width="49.83203125" style="822" customWidth="1"/>
    <col min="3828" max="3828" width="38.33203125" style="822" customWidth="1"/>
    <col min="3829" max="3830" width="50" style="822" customWidth="1"/>
    <col min="3831" max="3831" width="37.6640625" style="822" customWidth="1"/>
    <col min="3832" max="3832" width="50" style="822" customWidth="1"/>
    <col min="3833" max="3833" width="51.33203125" style="822" customWidth="1"/>
    <col min="3834" max="3834" width="38.1640625" style="822" customWidth="1"/>
    <col min="3835" max="3836" width="50" style="822" customWidth="1"/>
    <col min="3837" max="3837" width="38.33203125" style="822" customWidth="1"/>
    <col min="3838" max="3839" width="50" style="822" customWidth="1"/>
    <col min="3840" max="3840" width="38.33203125" style="822" customWidth="1"/>
    <col min="3841" max="3841" width="50" style="822" customWidth="1"/>
    <col min="3842" max="3842" width="186.33203125" style="822" customWidth="1"/>
    <col min="3843" max="3843" width="50" style="822" customWidth="1"/>
    <col min="3844" max="3844" width="38.33203125" style="822" customWidth="1"/>
    <col min="3845" max="3846" width="49.83203125" style="822" customWidth="1"/>
    <col min="3847" max="3847" width="38.1640625" style="822" customWidth="1"/>
    <col min="3848" max="3848" width="49.83203125" style="822" customWidth="1"/>
    <col min="3849" max="3849" width="50" style="822" customWidth="1"/>
    <col min="3850" max="3850" width="38.33203125" style="822" customWidth="1"/>
    <col min="3851" max="3852" width="49.83203125" style="822" customWidth="1"/>
    <col min="3853" max="3853" width="38.1640625" style="822" customWidth="1"/>
    <col min="3854" max="3855" width="50" style="822" customWidth="1"/>
    <col min="3856" max="3856" width="38.33203125" style="822" customWidth="1"/>
    <col min="3857" max="3857" width="50" style="822" customWidth="1"/>
    <col min="3858" max="3858" width="186.33203125" style="822" customWidth="1"/>
    <col min="3859" max="3859" width="50" style="822" customWidth="1"/>
    <col min="3860" max="3860" width="38.33203125" style="822" customWidth="1"/>
    <col min="3861" max="3861" width="49.83203125" style="822" customWidth="1"/>
    <col min="3862" max="3862" width="50" style="822" customWidth="1"/>
    <col min="3863" max="3863" width="45" style="822" customWidth="1"/>
    <col min="3864" max="3865" width="50" style="822" customWidth="1"/>
    <col min="3866" max="3866" width="45" style="822" customWidth="1"/>
    <col min="3867" max="3868" width="50" style="822" customWidth="1"/>
    <col min="3869" max="3869" width="45" style="822" customWidth="1"/>
    <col min="3870" max="3870" width="50.33203125" style="822" customWidth="1"/>
    <col min="3871" max="3871" width="50" style="822" customWidth="1"/>
    <col min="3872" max="3872" width="45" style="822" customWidth="1"/>
    <col min="3873" max="3873" width="50" style="822" customWidth="1"/>
    <col min="3874" max="3875" width="51" style="822" customWidth="1"/>
    <col min="3876" max="4081" width="9.33203125" style="822"/>
    <col min="4082" max="4082" width="186.33203125" style="822" customWidth="1"/>
    <col min="4083" max="4083" width="49.83203125" style="822" customWidth="1"/>
    <col min="4084" max="4084" width="38.33203125" style="822" customWidth="1"/>
    <col min="4085" max="4086" width="50" style="822" customWidth="1"/>
    <col min="4087" max="4087" width="37.6640625" style="822" customWidth="1"/>
    <col min="4088" max="4088" width="50" style="822" customWidth="1"/>
    <col min="4089" max="4089" width="51.33203125" style="822" customWidth="1"/>
    <col min="4090" max="4090" width="38.1640625" style="822" customWidth="1"/>
    <col min="4091" max="4092" width="50" style="822" customWidth="1"/>
    <col min="4093" max="4093" width="38.33203125" style="822" customWidth="1"/>
    <col min="4094" max="4095" width="50" style="822" customWidth="1"/>
    <col min="4096" max="4096" width="38.33203125" style="822" customWidth="1"/>
    <col min="4097" max="4097" width="50" style="822" customWidth="1"/>
    <col min="4098" max="4098" width="186.33203125" style="822" customWidth="1"/>
    <col min="4099" max="4099" width="50" style="822" customWidth="1"/>
    <col min="4100" max="4100" width="38.33203125" style="822" customWidth="1"/>
    <col min="4101" max="4102" width="49.83203125" style="822" customWidth="1"/>
    <col min="4103" max="4103" width="38.1640625" style="822" customWidth="1"/>
    <col min="4104" max="4104" width="49.83203125" style="822" customWidth="1"/>
    <col min="4105" max="4105" width="50" style="822" customWidth="1"/>
    <col min="4106" max="4106" width="38.33203125" style="822" customWidth="1"/>
    <col min="4107" max="4108" width="49.83203125" style="822" customWidth="1"/>
    <col min="4109" max="4109" width="38.1640625" style="822" customWidth="1"/>
    <col min="4110" max="4111" width="50" style="822" customWidth="1"/>
    <col min="4112" max="4112" width="38.33203125" style="822" customWidth="1"/>
    <col min="4113" max="4113" width="50" style="822" customWidth="1"/>
    <col min="4114" max="4114" width="186.33203125" style="822" customWidth="1"/>
    <col min="4115" max="4115" width="50" style="822" customWidth="1"/>
    <col min="4116" max="4116" width="38.33203125" style="822" customWidth="1"/>
    <col min="4117" max="4117" width="49.83203125" style="822" customWidth="1"/>
    <col min="4118" max="4118" width="50" style="822" customWidth="1"/>
    <col min="4119" max="4119" width="45" style="822" customWidth="1"/>
    <col min="4120" max="4121" width="50" style="822" customWidth="1"/>
    <col min="4122" max="4122" width="45" style="822" customWidth="1"/>
    <col min="4123" max="4124" width="50" style="822" customWidth="1"/>
    <col min="4125" max="4125" width="45" style="822" customWidth="1"/>
    <col min="4126" max="4126" width="50.33203125" style="822" customWidth="1"/>
    <col min="4127" max="4127" width="50" style="822" customWidth="1"/>
    <col min="4128" max="4128" width="45" style="822" customWidth="1"/>
    <col min="4129" max="4129" width="50" style="822" customWidth="1"/>
    <col min="4130" max="4131" width="51" style="822" customWidth="1"/>
    <col min="4132" max="4337" width="9.33203125" style="822"/>
    <col min="4338" max="4338" width="186.33203125" style="822" customWidth="1"/>
    <col min="4339" max="4339" width="49.83203125" style="822" customWidth="1"/>
    <col min="4340" max="4340" width="38.33203125" style="822" customWidth="1"/>
    <col min="4341" max="4342" width="50" style="822" customWidth="1"/>
    <col min="4343" max="4343" width="37.6640625" style="822" customWidth="1"/>
    <col min="4344" max="4344" width="50" style="822" customWidth="1"/>
    <col min="4345" max="4345" width="51.33203125" style="822" customWidth="1"/>
    <col min="4346" max="4346" width="38.1640625" style="822" customWidth="1"/>
    <col min="4347" max="4348" width="50" style="822" customWidth="1"/>
    <col min="4349" max="4349" width="38.33203125" style="822" customWidth="1"/>
    <col min="4350" max="4351" width="50" style="822" customWidth="1"/>
    <col min="4352" max="4352" width="38.33203125" style="822" customWidth="1"/>
    <col min="4353" max="4353" width="50" style="822" customWidth="1"/>
    <col min="4354" max="4354" width="186.33203125" style="822" customWidth="1"/>
    <col min="4355" max="4355" width="50" style="822" customWidth="1"/>
    <col min="4356" max="4356" width="38.33203125" style="822" customWidth="1"/>
    <col min="4357" max="4358" width="49.83203125" style="822" customWidth="1"/>
    <col min="4359" max="4359" width="38.1640625" style="822" customWidth="1"/>
    <col min="4360" max="4360" width="49.83203125" style="822" customWidth="1"/>
    <col min="4361" max="4361" width="50" style="822" customWidth="1"/>
    <col min="4362" max="4362" width="38.33203125" style="822" customWidth="1"/>
    <col min="4363" max="4364" width="49.83203125" style="822" customWidth="1"/>
    <col min="4365" max="4365" width="38.1640625" style="822" customWidth="1"/>
    <col min="4366" max="4367" width="50" style="822" customWidth="1"/>
    <col min="4368" max="4368" width="38.33203125" style="822" customWidth="1"/>
    <col min="4369" max="4369" width="50" style="822" customWidth="1"/>
    <col min="4370" max="4370" width="186.33203125" style="822" customWidth="1"/>
    <col min="4371" max="4371" width="50" style="822" customWidth="1"/>
    <col min="4372" max="4372" width="38.33203125" style="822" customWidth="1"/>
    <col min="4373" max="4373" width="49.83203125" style="822" customWidth="1"/>
    <col min="4374" max="4374" width="50" style="822" customWidth="1"/>
    <col min="4375" max="4375" width="45" style="822" customWidth="1"/>
    <col min="4376" max="4377" width="50" style="822" customWidth="1"/>
    <col min="4378" max="4378" width="45" style="822" customWidth="1"/>
    <col min="4379" max="4380" width="50" style="822" customWidth="1"/>
    <col min="4381" max="4381" width="45" style="822" customWidth="1"/>
    <col min="4382" max="4382" width="50.33203125" style="822" customWidth="1"/>
    <col min="4383" max="4383" width="50" style="822" customWidth="1"/>
    <col min="4384" max="4384" width="45" style="822" customWidth="1"/>
    <col min="4385" max="4385" width="50" style="822" customWidth="1"/>
    <col min="4386" max="4387" width="51" style="822" customWidth="1"/>
    <col min="4388" max="4593" width="9.33203125" style="822"/>
    <col min="4594" max="4594" width="186.33203125" style="822" customWidth="1"/>
    <col min="4595" max="4595" width="49.83203125" style="822" customWidth="1"/>
    <col min="4596" max="4596" width="38.33203125" style="822" customWidth="1"/>
    <col min="4597" max="4598" width="50" style="822" customWidth="1"/>
    <col min="4599" max="4599" width="37.6640625" style="822" customWidth="1"/>
    <col min="4600" max="4600" width="50" style="822" customWidth="1"/>
    <col min="4601" max="4601" width="51.33203125" style="822" customWidth="1"/>
    <col min="4602" max="4602" width="38.1640625" style="822" customWidth="1"/>
    <col min="4603" max="4604" width="50" style="822" customWidth="1"/>
    <col min="4605" max="4605" width="38.33203125" style="822" customWidth="1"/>
    <col min="4606" max="4607" width="50" style="822" customWidth="1"/>
    <col min="4608" max="4608" width="38.33203125" style="822" customWidth="1"/>
    <col min="4609" max="4609" width="50" style="822" customWidth="1"/>
    <col min="4610" max="4610" width="186.33203125" style="822" customWidth="1"/>
    <col min="4611" max="4611" width="50" style="822" customWidth="1"/>
    <col min="4612" max="4612" width="38.33203125" style="822" customWidth="1"/>
    <col min="4613" max="4614" width="49.83203125" style="822" customWidth="1"/>
    <col min="4615" max="4615" width="38.1640625" style="822" customWidth="1"/>
    <col min="4616" max="4616" width="49.83203125" style="822" customWidth="1"/>
    <col min="4617" max="4617" width="50" style="822" customWidth="1"/>
    <col min="4618" max="4618" width="38.33203125" style="822" customWidth="1"/>
    <col min="4619" max="4620" width="49.83203125" style="822" customWidth="1"/>
    <col min="4621" max="4621" width="38.1640625" style="822" customWidth="1"/>
    <col min="4622" max="4623" width="50" style="822" customWidth="1"/>
    <col min="4624" max="4624" width="38.33203125" style="822" customWidth="1"/>
    <col min="4625" max="4625" width="50" style="822" customWidth="1"/>
    <col min="4626" max="4626" width="186.33203125" style="822" customWidth="1"/>
    <col min="4627" max="4627" width="50" style="822" customWidth="1"/>
    <col min="4628" max="4628" width="38.33203125" style="822" customWidth="1"/>
    <col min="4629" max="4629" width="49.83203125" style="822" customWidth="1"/>
    <col min="4630" max="4630" width="50" style="822" customWidth="1"/>
    <col min="4631" max="4631" width="45" style="822" customWidth="1"/>
    <col min="4632" max="4633" width="50" style="822" customWidth="1"/>
    <col min="4634" max="4634" width="45" style="822" customWidth="1"/>
    <col min="4635" max="4636" width="50" style="822" customWidth="1"/>
    <col min="4637" max="4637" width="45" style="822" customWidth="1"/>
    <col min="4638" max="4638" width="50.33203125" style="822" customWidth="1"/>
    <col min="4639" max="4639" width="50" style="822" customWidth="1"/>
    <col min="4640" max="4640" width="45" style="822" customWidth="1"/>
    <col min="4641" max="4641" width="50" style="822" customWidth="1"/>
    <col min="4642" max="4643" width="51" style="822" customWidth="1"/>
    <col min="4644" max="4849" width="9.33203125" style="822"/>
    <col min="4850" max="4850" width="186.33203125" style="822" customWidth="1"/>
    <col min="4851" max="4851" width="49.83203125" style="822" customWidth="1"/>
    <col min="4852" max="4852" width="38.33203125" style="822" customWidth="1"/>
    <col min="4853" max="4854" width="50" style="822" customWidth="1"/>
    <col min="4855" max="4855" width="37.6640625" style="822" customWidth="1"/>
    <col min="4856" max="4856" width="50" style="822" customWidth="1"/>
    <col min="4857" max="4857" width="51.33203125" style="822" customWidth="1"/>
    <col min="4858" max="4858" width="38.1640625" style="822" customWidth="1"/>
    <col min="4859" max="4860" width="50" style="822" customWidth="1"/>
    <col min="4861" max="4861" width="38.33203125" style="822" customWidth="1"/>
    <col min="4862" max="4863" width="50" style="822" customWidth="1"/>
    <col min="4864" max="4864" width="38.33203125" style="822" customWidth="1"/>
    <col min="4865" max="4865" width="50" style="822" customWidth="1"/>
    <col min="4866" max="4866" width="186.33203125" style="822" customWidth="1"/>
    <col min="4867" max="4867" width="50" style="822" customWidth="1"/>
    <col min="4868" max="4868" width="38.33203125" style="822" customWidth="1"/>
    <col min="4869" max="4870" width="49.83203125" style="822" customWidth="1"/>
    <col min="4871" max="4871" width="38.1640625" style="822" customWidth="1"/>
    <col min="4872" max="4872" width="49.83203125" style="822" customWidth="1"/>
    <col min="4873" max="4873" width="50" style="822" customWidth="1"/>
    <col min="4874" max="4874" width="38.33203125" style="822" customWidth="1"/>
    <col min="4875" max="4876" width="49.83203125" style="822" customWidth="1"/>
    <col min="4877" max="4877" width="38.1640625" style="822" customWidth="1"/>
    <col min="4878" max="4879" width="50" style="822" customWidth="1"/>
    <col min="4880" max="4880" width="38.33203125" style="822" customWidth="1"/>
    <col min="4881" max="4881" width="50" style="822" customWidth="1"/>
    <col min="4882" max="4882" width="186.33203125" style="822" customWidth="1"/>
    <col min="4883" max="4883" width="50" style="822" customWidth="1"/>
    <col min="4884" max="4884" width="38.33203125" style="822" customWidth="1"/>
    <col min="4885" max="4885" width="49.83203125" style="822" customWidth="1"/>
    <col min="4886" max="4886" width="50" style="822" customWidth="1"/>
    <col min="4887" max="4887" width="45" style="822" customWidth="1"/>
    <col min="4888" max="4889" width="50" style="822" customWidth="1"/>
    <col min="4890" max="4890" width="45" style="822" customWidth="1"/>
    <col min="4891" max="4892" width="50" style="822" customWidth="1"/>
    <col min="4893" max="4893" width="45" style="822" customWidth="1"/>
    <col min="4894" max="4894" width="50.33203125" style="822" customWidth="1"/>
    <col min="4895" max="4895" width="50" style="822" customWidth="1"/>
    <col min="4896" max="4896" width="45" style="822" customWidth="1"/>
    <col min="4897" max="4897" width="50" style="822" customWidth="1"/>
    <col min="4898" max="4899" width="51" style="822" customWidth="1"/>
    <col min="4900" max="5105" width="9.33203125" style="822"/>
    <col min="5106" max="5106" width="186.33203125" style="822" customWidth="1"/>
    <col min="5107" max="5107" width="49.83203125" style="822" customWidth="1"/>
    <col min="5108" max="5108" width="38.33203125" style="822" customWidth="1"/>
    <col min="5109" max="5110" width="50" style="822" customWidth="1"/>
    <col min="5111" max="5111" width="37.6640625" style="822" customWidth="1"/>
    <col min="5112" max="5112" width="50" style="822" customWidth="1"/>
    <col min="5113" max="5113" width="51.33203125" style="822" customWidth="1"/>
    <col min="5114" max="5114" width="38.1640625" style="822" customWidth="1"/>
    <col min="5115" max="5116" width="50" style="822" customWidth="1"/>
    <col min="5117" max="5117" width="38.33203125" style="822" customWidth="1"/>
    <col min="5118" max="5119" width="50" style="822" customWidth="1"/>
    <col min="5120" max="5120" width="38.33203125" style="822" customWidth="1"/>
    <col min="5121" max="5121" width="50" style="822" customWidth="1"/>
    <col min="5122" max="5122" width="186.33203125" style="822" customWidth="1"/>
    <col min="5123" max="5123" width="50" style="822" customWidth="1"/>
    <col min="5124" max="5124" width="38.33203125" style="822" customWidth="1"/>
    <col min="5125" max="5126" width="49.83203125" style="822" customWidth="1"/>
    <col min="5127" max="5127" width="38.1640625" style="822" customWidth="1"/>
    <col min="5128" max="5128" width="49.83203125" style="822" customWidth="1"/>
    <col min="5129" max="5129" width="50" style="822" customWidth="1"/>
    <col min="5130" max="5130" width="38.33203125" style="822" customWidth="1"/>
    <col min="5131" max="5132" width="49.83203125" style="822" customWidth="1"/>
    <col min="5133" max="5133" width="38.1640625" style="822" customWidth="1"/>
    <col min="5134" max="5135" width="50" style="822" customWidth="1"/>
    <col min="5136" max="5136" width="38.33203125" style="822" customWidth="1"/>
    <col min="5137" max="5137" width="50" style="822" customWidth="1"/>
    <col min="5138" max="5138" width="186.33203125" style="822" customWidth="1"/>
    <col min="5139" max="5139" width="50" style="822" customWidth="1"/>
    <col min="5140" max="5140" width="38.33203125" style="822" customWidth="1"/>
    <col min="5141" max="5141" width="49.83203125" style="822" customWidth="1"/>
    <col min="5142" max="5142" width="50" style="822" customWidth="1"/>
    <col min="5143" max="5143" width="45" style="822" customWidth="1"/>
    <col min="5144" max="5145" width="50" style="822" customWidth="1"/>
    <col min="5146" max="5146" width="45" style="822" customWidth="1"/>
    <col min="5147" max="5148" width="50" style="822" customWidth="1"/>
    <col min="5149" max="5149" width="45" style="822" customWidth="1"/>
    <col min="5150" max="5150" width="50.33203125" style="822" customWidth="1"/>
    <col min="5151" max="5151" width="50" style="822" customWidth="1"/>
    <col min="5152" max="5152" width="45" style="822" customWidth="1"/>
    <col min="5153" max="5153" width="50" style="822" customWidth="1"/>
    <col min="5154" max="5155" width="51" style="822" customWidth="1"/>
    <col min="5156" max="5361" width="9.33203125" style="822"/>
    <col min="5362" max="5362" width="186.33203125" style="822" customWidth="1"/>
    <col min="5363" max="5363" width="49.83203125" style="822" customWidth="1"/>
    <col min="5364" max="5364" width="38.33203125" style="822" customWidth="1"/>
    <col min="5365" max="5366" width="50" style="822" customWidth="1"/>
    <col min="5367" max="5367" width="37.6640625" style="822" customWidth="1"/>
    <col min="5368" max="5368" width="50" style="822" customWidth="1"/>
    <col min="5369" max="5369" width="51.33203125" style="822" customWidth="1"/>
    <col min="5370" max="5370" width="38.1640625" style="822" customWidth="1"/>
    <col min="5371" max="5372" width="50" style="822" customWidth="1"/>
    <col min="5373" max="5373" width="38.33203125" style="822" customWidth="1"/>
    <col min="5374" max="5375" width="50" style="822" customWidth="1"/>
    <col min="5376" max="5376" width="38.33203125" style="822" customWidth="1"/>
    <col min="5377" max="5377" width="50" style="822" customWidth="1"/>
    <col min="5378" max="5378" width="186.33203125" style="822" customWidth="1"/>
    <col min="5379" max="5379" width="50" style="822" customWidth="1"/>
    <col min="5380" max="5380" width="38.33203125" style="822" customWidth="1"/>
    <col min="5381" max="5382" width="49.83203125" style="822" customWidth="1"/>
    <col min="5383" max="5383" width="38.1640625" style="822" customWidth="1"/>
    <col min="5384" max="5384" width="49.83203125" style="822" customWidth="1"/>
    <col min="5385" max="5385" width="50" style="822" customWidth="1"/>
    <col min="5386" max="5386" width="38.33203125" style="822" customWidth="1"/>
    <col min="5387" max="5388" width="49.83203125" style="822" customWidth="1"/>
    <col min="5389" max="5389" width="38.1640625" style="822" customWidth="1"/>
    <col min="5390" max="5391" width="50" style="822" customWidth="1"/>
    <col min="5392" max="5392" width="38.33203125" style="822" customWidth="1"/>
    <col min="5393" max="5393" width="50" style="822" customWidth="1"/>
    <col min="5394" max="5394" width="186.33203125" style="822" customWidth="1"/>
    <col min="5395" max="5395" width="50" style="822" customWidth="1"/>
    <col min="5396" max="5396" width="38.33203125" style="822" customWidth="1"/>
    <col min="5397" max="5397" width="49.83203125" style="822" customWidth="1"/>
    <col min="5398" max="5398" width="50" style="822" customWidth="1"/>
    <col min="5399" max="5399" width="45" style="822" customWidth="1"/>
    <col min="5400" max="5401" width="50" style="822" customWidth="1"/>
    <col min="5402" max="5402" width="45" style="822" customWidth="1"/>
    <col min="5403" max="5404" width="50" style="822" customWidth="1"/>
    <col min="5405" max="5405" width="45" style="822" customWidth="1"/>
    <col min="5406" max="5406" width="50.33203125" style="822" customWidth="1"/>
    <col min="5407" max="5407" width="50" style="822" customWidth="1"/>
    <col min="5408" max="5408" width="45" style="822" customWidth="1"/>
    <col min="5409" max="5409" width="50" style="822" customWidth="1"/>
    <col min="5410" max="5411" width="51" style="822" customWidth="1"/>
    <col min="5412" max="5617" width="9.33203125" style="822"/>
    <col min="5618" max="5618" width="186.33203125" style="822" customWidth="1"/>
    <col min="5619" max="5619" width="49.83203125" style="822" customWidth="1"/>
    <col min="5620" max="5620" width="38.33203125" style="822" customWidth="1"/>
    <col min="5621" max="5622" width="50" style="822" customWidth="1"/>
    <col min="5623" max="5623" width="37.6640625" style="822" customWidth="1"/>
    <col min="5624" max="5624" width="50" style="822" customWidth="1"/>
    <col min="5625" max="5625" width="51.33203125" style="822" customWidth="1"/>
    <col min="5626" max="5626" width="38.1640625" style="822" customWidth="1"/>
    <col min="5627" max="5628" width="50" style="822" customWidth="1"/>
    <col min="5629" max="5629" width="38.33203125" style="822" customWidth="1"/>
    <col min="5630" max="5631" width="50" style="822" customWidth="1"/>
    <col min="5632" max="5632" width="38.33203125" style="822" customWidth="1"/>
    <col min="5633" max="5633" width="50" style="822" customWidth="1"/>
    <col min="5634" max="5634" width="186.33203125" style="822" customWidth="1"/>
    <col min="5635" max="5635" width="50" style="822" customWidth="1"/>
    <col min="5636" max="5636" width="38.33203125" style="822" customWidth="1"/>
    <col min="5637" max="5638" width="49.83203125" style="822" customWidth="1"/>
    <col min="5639" max="5639" width="38.1640625" style="822" customWidth="1"/>
    <col min="5640" max="5640" width="49.83203125" style="822" customWidth="1"/>
    <col min="5641" max="5641" width="50" style="822" customWidth="1"/>
    <col min="5642" max="5642" width="38.33203125" style="822" customWidth="1"/>
    <col min="5643" max="5644" width="49.83203125" style="822" customWidth="1"/>
    <col min="5645" max="5645" width="38.1640625" style="822" customWidth="1"/>
    <col min="5646" max="5647" width="50" style="822" customWidth="1"/>
    <col min="5648" max="5648" width="38.33203125" style="822" customWidth="1"/>
    <col min="5649" max="5649" width="50" style="822" customWidth="1"/>
    <col min="5650" max="5650" width="186.33203125" style="822" customWidth="1"/>
    <col min="5651" max="5651" width="50" style="822" customWidth="1"/>
    <col min="5652" max="5652" width="38.33203125" style="822" customWidth="1"/>
    <col min="5653" max="5653" width="49.83203125" style="822" customWidth="1"/>
    <col min="5654" max="5654" width="50" style="822" customWidth="1"/>
    <col min="5655" max="5655" width="45" style="822" customWidth="1"/>
    <col min="5656" max="5657" width="50" style="822" customWidth="1"/>
    <col min="5658" max="5658" width="45" style="822" customWidth="1"/>
    <col min="5659" max="5660" width="50" style="822" customWidth="1"/>
    <col min="5661" max="5661" width="45" style="822" customWidth="1"/>
    <col min="5662" max="5662" width="50.33203125" style="822" customWidth="1"/>
    <col min="5663" max="5663" width="50" style="822" customWidth="1"/>
    <col min="5664" max="5664" width="45" style="822" customWidth="1"/>
    <col min="5665" max="5665" width="50" style="822" customWidth="1"/>
    <col min="5666" max="5667" width="51" style="822" customWidth="1"/>
    <col min="5668" max="5873" width="9.33203125" style="822"/>
    <col min="5874" max="5874" width="186.33203125" style="822" customWidth="1"/>
    <col min="5875" max="5875" width="49.83203125" style="822" customWidth="1"/>
    <col min="5876" max="5876" width="38.33203125" style="822" customWidth="1"/>
    <col min="5877" max="5878" width="50" style="822" customWidth="1"/>
    <col min="5879" max="5879" width="37.6640625" style="822" customWidth="1"/>
    <col min="5880" max="5880" width="50" style="822" customWidth="1"/>
    <col min="5881" max="5881" width="51.33203125" style="822" customWidth="1"/>
    <col min="5882" max="5882" width="38.1640625" style="822" customWidth="1"/>
    <col min="5883" max="5884" width="50" style="822" customWidth="1"/>
    <col min="5885" max="5885" width="38.33203125" style="822" customWidth="1"/>
    <col min="5886" max="5887" width="50" style="822" customWidth="1"/>
    <col min="5888" max="5888" width="38.33203125" style="822" customWidth="1"/>
    <col min="5889" max="5889" width="50" style="822" customWidth="1"/>
    <col min="5890" max="5890" width="186.33203125" style="822" customWidth="1"/>
    <col min="5891" max="5891" width="50" style="822" customWidth="1"/>
    <col min="5892" max="5892" width="38.33203125" style="822" customWidth="1"/>
    <col min="5893" max="5894" width="49.83203125" style="822" customWidth="1"/>
    <col min="5895" max="5895" width="38.1640625" style="822" customWidth="1"/>
    <col min="5896" max="5896" width="49.83203125" style="822" customWidth="1"/>
    <col min="5897" max="5897" width="50" style="822" customWidth="1"/>
    <col min="5898" max="5898" width="38.33203125" style="822" customWidth="1"/>
    <col min="5899" max="5900" width="49.83203125" style="822" customWidth="1"/>
    <col min="5901" max="5901" width="38.1640625" style="822" customWidth="1"/>
    <col min="5902" max="5903" width="50" style="822" customWidth="1"/>
    <col min="5904" max="5904" width="38.33203125" style="822" customWidth="1"/>
    <col min="5905" max="5905" width="50" style="822" customWidth="1"/>
    <col min="5906" max="5906" width="186.33203125" style="822" customWidth="1"/>
    <col min="5907" max="5907" width="50" style="822" customWidth="1"/>
    <col min="5908" max="5908" width="38.33203125" style="822" customWidth="1"/>
    <col min="5909" max="5909" width="49.83203125" style="822" customWidth="1"/>
    <col min="5910" max="5910" width="50" style="822" customWidth="1"/>
    <col min="5911" max="5911" width="45" style="822" customWidth="1"/>
    <col min="5912" max="5913" width="50" style="822" customWidth="1"/>
    <col min="5914" max="5914" width="45" style="822" customWidth="1"/>
    <col min="5915" max="5916" width="50" style="822" customWidth="1"/>
    <col min="5917" max="5917" width="45" style="822" customWidth="1"/>
    <col min="5918" max="5918" width="50.33203125" style="822" customWidth="1"/>
    <col min="5919" max="5919" width="50" style="822" customWidth="1"/>
    <col min="5920" max="5920" width="45" style="822" customWidth="1"/>
    <col min="5921" max="5921" width="50" style="822" customWidth="1"/>
    <col min="5922" max="5923" width="51" style="822" customWidth="1"/>
    <col min="5924" max="6129" width="9.33203125" style="822"/>
    <col min="6130" max="6130" width="186.33203125" style="822" customWidth="1"/>
    <col min="6131" max="6131" width="49.83203125" style="822" customWidth="1"/>
    <col min="6132" max="6132" width="38.33203125" style="822" customWidth="1"/>
    <col min="6133" max="6134" width="50" style="822" customWidth="1"/>
    <col min="6135" max="6135" width="37.6640625" style="822" customWidth="1"/>
    <col min="6136" max="6136" width="50" style="822" customWidth="1"/>
    <col min="6137" max="6137" width="51.33203125" style="822" customWidth="1"/>
    <col min="6138" max="6138" width="38.1640625" style="822" customWidth="1"/>
    <col min="6139" max="6140" width="50" style="822" customWidth="1"/>
    <col min="6141" max="6141" width="38.33203125" style="822" customWidth="1"/>
    <col min="6142" max="6143" width="50" style="822" customWidth="1"/>
    <col min="6144" max="6144" width="38.33203125" style="822" customWidth="1"/>
    <col min="6145" max="6145" width="50" style="822" customWidth="1"/>
    <col min="6146" max="6146" width="186.33203125" style="822" customWidth="1"/>
    <col min="6147" max="6147" width="50" style="822" customWidth="1"/>
    <col min="6148" max="6148" width="38.33203125" style="822" customWidth="1"/>
    <col min="6149" max="6150" width="49.83203125" style="822" customWidth="1"/>
    <col min="6151" max="6151" width="38.1640625" style="822" customWidth="1"/>
    <col min="6152" max="6152" width="49.83203125" style="822" customWidth="1"/>
    <col min="6153" max="6153" width="50" style="822" customWidth="1"/>
    <col min="6154" max="6154" width="38.33203125" style="822" customWidth="1"/>
    <col min="6155" max="6156" width="49.83203125" style="822" customWidth="1"/>
    <col min="6157" max="6157" width="38.1640625" style="822" customWidth="1"/>
    <col min="6158" max="6159" width="50" style="822" customWidth="1"/>
    <col min="6160" max="6160" width="38.33203125" style="822" customWidth="1"/>
    <col min="6161" max="6161" width="50" style="822" customWidth="1"/>
    <col min="6162" max="6162" width="186.33203125" style="822" customWidth="1"/>
    <col min="6163" max="6163" width="50" style="822" customWidth="1"/>
    <col min="6164" max="6164" width="38.33203125" style="822" customWidth="1"/>
    <col min="6165" max="6165" width="49.83203125" style="822" customWidth="1"/>
    <col min="6166" max="6166" width="50" style="822" customWidth="1"/>
    <col min="6167" max="6167" width="45" style="822" customWidth="1"/>
    <col min="6168" max="6169" width="50" style="822" customWidth="1"/>
    <col min="6170" max="6170" width="45" style="822" customWidth="1"/>
    <col min="6171" max="6172" width="50" style="822" customWidth="1"/>
    <col min="6173" max="6173" width="45" style="822" customWidth="1"/>
    <col min="6174" max="6174" width="50.33203125" style="822" customWidth="1"/>
    <col min="6175" max="6175" width="50" style="822" customWidth="1"/>
    <col min="6176" max="6176" width="45" style="822" customWidth="1"/>
    <col min="6177" max="6177" width="50" style="822" customWidth="1"/>
    <col min="6178" max="6179" width="51" style="822" customWidth="1"/>
    <col min="6180" max="6385" width="9.33203125" style="822"/>
    <col min="6386" max="6386" width="186.33203125" style="822" customWidth="1"/>
    <col min="6387" max="6387" width="49.83203125" style="822" customWidth="1"/>
    <col min="6388" max="6388" width="38.33203125" style="822" customWidth="1"/>
    <col min="6389" max="6390" width="50" style="822" customWidth="1"/>
    <col min="6391" max="6391" width="37.6640625" style="822" customWidth="1"/>
    <col min="6392" max="6392" width="50" style="822" customWidth="1"/>
    <col min="6393" max="6393" width="51.33203125" style="822" customWidth="1"/>
    <col min="6394" max="6394" width="38.1640625" style="822" customWidth="1"/>
    <col min="6395" max="6396" width="50" style="822" customWidth="1"/>
    <col min="6397" max="6397" width="38.33203125" style="822" customWidth="1"/>
    <col min="6398" max="6399" width="50" style="822" customWidth="1"/>
    <col min="6400" max="6400" width="38.33203125" style="822" customWidth="1"/>
    <col min="6401" max="6401" width="50" style="822" customWidth="1"/>
    <col min="6402" max="6402" width="186.33203125" style="822" customWidth="1"/>
    <col min="6403" max="6403" width="50" style="822" customWidth="1"/>
    <col min="6404" max="6404" width="38.33203125" style="822" customWidth="1"/>
    <col min="6405" max="6406" width="49.83203125" style="822" customWidth="1"/>
    <col min="6407" max="6407" width="38.1640625" style="822" customWidth="1"/>
    <col min="6408" max="6408" width="49.83203125" style="822" customWidth="1"/>
    <col min="6409" max="6409" width="50" style="822" customWidth="1"/>
    <col min="6410" max="6410" width="38.33203125" style="822" customWidth="1"/>
    <col min="6411" max="6412" width="49.83203125" style="822" customWidth="1"/>
    <col min="6413" max="6413" width="38.1640625" style="822" customWidth="1"/>
    <col min="6414" max="6415" width="50" style="822" customWidth="1"/>
    <col min="6416" max="6416" width="38.33203125" style="822" customWidth="1"/>
    <col min="6417" max="6417" width="50" style="822" customWidth="1"/>
    <col min="6418" max="6418" width="186.33203125" style="822" customWidth="1"/>
    <col min="6419" max="6419" width="50" style="822" customWidth="1"/>
    <col min="6420" max="6420" width="38.33203125" style="822" customWidth="1"/>
    <col min="6421" max="6421" width="49.83203125" style="822" customWidth="1"/>
    <col min="6422" max="6422" width="50" style="822" customWidth="1"/>
    <col min="6423" max="6423" width="45" style="822" customWidth="1"/>
    <col min="6424" max="6425" width="50" style="822" customWidth="1"/>
    <col min="6426" max="6426" width="45" style="822" customWidth="1"/>
    <col min="6427" max="6428" width="50" style="822" customWidth="1"/>
    <col min="6429" max="6429" width="45" style="822" customWidth="1"/>
    <col min="6430" max="6430" width="50.33203125" style="822" customWidth="1"/>
    <col min="6431" max="6431" width="50" style="822" customWidth="1"/>
    <col min="6432" max="6432" width="45" style="822" customWidth="1"/>
    <col min="6433" max="6433" width="50" style="822" customWidth="1"/>
    <col min="6434" max="6435" width="51" style="822" customWidth="1"/>
    <col min="6436" max="6641" width="9.33203125" style="822"/>
    <col min="6642" max="6642" width="186.33203125" style="822" customWidth="1"/>
    <col min="6643" max="6643" width="49.83203125" style="822" customWidth="1"/>
    <col min="6644" max="6644" width="38.33203125" style="822" customWidth="1"/>
    <col min="6645" max="6646" width="50" style="822" customWidth="1"/>
    <col min="6647" max="6647" width="37.6640625" style="822" customWidth="1"/>
    <col min="6648" max="6648" width="50" style="822" customWidth="1"/>
    <col min="6649" max="6649" width="51.33203125" style="822" customWidth="1"/>
    <col min="6650" max="6650" width="38.1640625" style="822" customWidth="1"/>
    <col min="6651" max="6652" width="50" style="822" customWidth="1"/>
    <col min="6653" max="6653" width="38.33203125" style="822" customWidth="1"/>
    <col min="6654" max="6655" width="50" style="822" customWidth="1"/>
    <col min="6656" max="6656" width="38.33203125" style="822" customWidth="1"/>
    <col min="6657" max="6657" width="50" style="822" customWidth="1"/>
    <col min="6658" max="6658" width="186.33203125" style="822" customWidth="1"/>
    <col min="6659" max="6659" width="50" style="822" customWidth="1"/>
    <col min="6660" max="6660" width="38.33203125" style="822" customWidth="1"/>
    <col min="6661" max="6662" width="49.83203125" style="822" customWidth="1"/>
    <col min="6663" max="6663" width="38.1640625" style="822" customWidth="1"/>
    <col min="6664" max="6664" width="49.83203125" style="822" customWidth="1"/>
    <col min="6665" max="6665" width="50" style="822" customWidth="1"/>
    <col min="6666" max="6666" width="38.33203125" style="822" customWidth="1"/>
    <col min="6667" max="6668" width="49.83203125" style="822" customWidth="1"/>
    <col min="6669" max="6669" width="38.1640625" style="822" customWidth="1"/>
    <col min="6670" max="6671" width="50" style="822" customWidth="1"/>
    <col min="6672" max="6672" width="38.33203125" style="822" customWidth="1"/>
    <col min="6673" max="6673" width="50" style="822" customWidth="1"/>
    <col min="6674" max="6674" width="186.33203125" style="822" customWidth="1"/>
    <col min="6675" max="6675" width="50" style="822" customWidth="1"/>
    <col min="6676" max="6676" width="38.33203125" style="822" customWidth="1"/>
    <col min="6677" max="6677" width="49.83203125" style="822" customWidth="1"/>
    <col min="6678" max="6678" width="50" style="822" customWidth="1"/>
    <col min="6679" max="6679" width="45" style="822" customWidth="1"/>
    <col min="6680" max="6681" width="50" style="822" customWidth="1"/>
    <col min="6682" max="6682" width="45" style="822" customWidth="1"/>
    <col min="6683" max="6684" width="50" style="822" customWidth="1"/>
    <col min="6685" max="6685" width="45" style="822" customWidth="1"/>
    <col min="6686" max="6686" width="50.33203125" style="822" customWidth="1"/>
    <col min="6687" max="6687" width="50" style="822" customWidth="1"/>
    <col min="6688" max="6688" width="45" style="822" customWidth="1"/>
    <col min="6689" max="6689" width="50" style="822" customWidth="1"/>
    <col min="6690" max="6691" width="51" style="822" customWidth="1"/>
    <col min="6692" max="6897" width="9.33203125" style="822"/>
    <col min="6898" max="6898" width="186.33203125" style="822" customWidth="1"/>
    <col min="6899" max="6899" width="49.83203125" style="822" customWidth="1"/>
    <col min="6900" max="6900" width="38.33203125" style="822" customWidth="1"/>
    <col min="6901" max="6902" width="50" style="822" customWidth="1"/>
    <col min="6903" max="6903" width="37.6640625" style="822" customWidth="1"/>
    <col min="6904" max="6904" width="50" style="822" customWidth="1"/>
    <col min="6905" max="6905" width="51.33203125" style="822" customWidth="1"/>
    <col min="6906" max="6906" width="38.1640625" style="822" customWidth="1"/>
    <col min="6907" max="6908" width="50" style="822" customWidth="1"/>
    <col min="6909" max="6909" width="38.33203125" style="822" customWidth="1"/>
    <col min="6910" max="6911" width="50" style="822" customWidth="1"/>
    <col min="6912" max="6912" width="38.33203125" style="822" customWidth="1"/>
    <col min="6913" max="6913" width="50" style="822" customWidth="1"/>
    <col min="6914" max="6914" width="186.33203125" style="822" customWidth="1"/>
    <col min="6915" max="6915" width="50" style="822" customWidth="1"/>
    <col min="6916" max="6916" width="38.33203125" style="822" customWidth="1"/>
    <col min="6917" max="6918" width="49.83203125" style="822" customWidth="1"/>
    <col min="6919" max="6919" width="38.1640625" style="822" customWidth="1"/>
    <col min="6920" max="6920" width="49.83203125" style="822" customWidth="1"/>
    <col min="6921" max="6921" width="50" style="822" customWidth="1"/>
    <col min="6922" max="6922" width="38.33203125" style="822" customWidth="1"/>
    <col min="6923" max="6924" width="49.83203125" style="822" customWidth="1"/>
    <col min="6925" max="6925" width="38.1640625" style="822" customWidth="1"/>
    <col min="6926" max="6927" width="50" style="822" customWidth="1"/>
    <col min="6928" max="6928" width="38.33203125" style="822" customWidth="1"/>
    <col min="6929" max="6929" width="50" style="822" customWidth="1"/>
    <col min="6930" max="6930" width="186.33203125" style="822" customWidth="1"/>
    <col min="6931" max="6931" width="50" style="822" customWidth="1"/>
    <col min="6932" max="6932" width="38.33203125" style="822" customWidth="1"/>
    <col min="6933" max="6933" width="49.83203125" style="822" customWidth="1"/>
    <col min="6934" max="6934" width="50" style="822" customWidth="1"/>
    <col min="6935" max="6935" width="45" style="822" customWidth="1"/>
    <col min="6936" max="6937" width="50" style="822" customWidth="1"/>
    <col min="6938" max="6938" width="45" style="822" customWidth="1"/>
    <col min="6939" max="6940" width="50" style="822" customWidth="1"/>
    <col min="6941" max="6941" width="45" style="822" customWidth="1"/>
    <col min="6942" max="6942" width="50.33203125" style="822" customWidth="1"/>
    <col min="6943" max="6943" width="50" style="822" customWidth="1"/>
    <col min="6944" max="6944" width="45" style="822" customWidth="1"/>
    <col min="6945" max="6945" width="50" style="822" customWidth="1"/>
    <col min="6946" max="6947" width="51" style="822" customWidth="1"/>
    <col min="6948" max="7153" width="9.33203125" style="822"/>
    <col min="7154" max="7154" width="186.33203125" style="822" customWidth="1"/>
    <col min="7155" max="7155" width="49.83203125" style="822" customWidth="1"/>
    <col min="7156" max="7156" width="38.33203125" style="822" customWidth="1"/>
    <col min="7157" max="7158" width="50" style="822" customWidth="1"/>
    <col min="7159" max="7159" width="37.6640625" style="822" customWidth="1"/>
    <col min="7160" max="7160" width="50" style="822" customWidth="1"/>
    <col min="7161" max="7161" width="51.33203125" style="822" customWidth="1"/>
    <col min="7162" max="7162" width="38.1640625" style="822" customWidth="1"/>
    <col min="7163" max="7164" width="50" style="822" customWidth="1"/>
    <col min="7165" max="7165" width="38.33203125" style="822" customWidth="1"/>
    <col min="7166" max="7167" width="50" style="822" customWidth="1"/>
    <col min="7168" max="7168" width="38.33203125" style="822" customWidth="1"/>
    <col min="7169" max="7169" width="50" style="822" customWidth="1"/>
    <col min="7170" max="7170" width="186.33203125" style="822" customWidth="1"/>
    <col min="7171" max="7171" width="50" style="822" customWidth="1"/>
    <col min="7172" max="7172" width="38.33203125" style="822" customWidth="1"/>
    <col min="7173" max="7174" width="49.83203125" style="822" customWidth="1"/>
    <col min="7175" max="7175" width="38.1640625" style="822" customWidth="1"/>
    <col min="7176" max="7176" width="49.83203125" style="822" customWidth="1"/>
    <col min="7177" max="7177" width="50" style="822" customWidth="1"/>
    <col min="7178" max="7178" width="38.33203125" style="822" customWidth="1"/>
    <col min="7179" max="7180" width="49.83203125" style="822" customWidth="1"/>
    <col min="7181" max="7181" width="38.1640625" style="822" customWidth="1"/>
    <col min="7182" max="7183" width="50" style="822" customWidth="1"/>
    <col min="7184" max="7184" width="38.33203125" style="822" customWidth="1"/>
    <col min="7185" max="7185" width="50" style="822" customWidth="1"/>
    <col min="7186" max="7186" width="186.33203125" style="822" customWidth="1"/>
    <col min="7187" max="7187" width="50" style="822" customWidth="1"/>
    <col min="7188" max="7188" width="38.33203125" style="822" customWidth="1"/>
    <col min="7189" max="7189" width="49.83203125" style="822" customWidth="1"/>
    <col min="7190" max="7190" width="50" style="822" customWidth="1"/>
    <col min="7191" max="7191" width="45" style="822" customWidth="1"/>
    <col min="7192" max="7193" width="50" style="822" customWidth="1"/>
    <col min="7194" max="7194" width="45" style="822" customWidth="1"/>
    <col min="7195" max="7196" width="50" style="822" customWidth="1"/>
    <col min="7197" max="7197" width="45" style="822" customWidth="1"/>
    <col min="7198" max="7198" width="50.33203125" style="822" customWidth="1"/>
    <col min="7199" max="7199" width="50" style="822" customWidth="1"/>
    <col min="7200" max="7200" width="45" style="822" customWidth="1"/>
    <col min="7201" max="7201" width="50" style="822" customWidth="1"/>
    <col min="7202" max="7203" width="51" style="822" customWidth="1"/>
    <col min="7204" max="7409" width="9.33203125" style="822"/>
    <col min="7410" max="7410" width="186.33203125" style="822" customWidth="1"/>
    <col min="7411" max="7411" width="49.83203125" style="822" customWidth="1"/>
    <col min="7412" max="7412" width="38.33203125" style="822" customWidth="1"/>
    <col min="7413" max="7414" width="50" style="822" customWidth="1"/>
    <col min="7415" max="7415" width="37.6640625" style="822" customWidth="1"/>
    <col min="7416" max="7416" width="50" style="822" customWidth="1"/>
    <col min="7417" max="7417" width="51.33203125" style="822" customWidth="1"/>
    <col min="7418" max="7418" width="38.1640625" style="822" customWidth="1"/>
    <col min="7419" max="7420" width="50" style="822" customWidth="1"/>
    <col min="7421" max="7421" width="38.33203125" style="822" customWidth="1"/>
    <col min="7422" max="7423" width="50" style="822" customWidth="1"/>
    <col min="7424" max="7424" width="38.33203125" style="822" customWidth="1"/>
    <col min="7425" max="7425" width="50" style="822" customWidth="1"/>
    <col min="7426" max="7426" width="186.33203125" style="822" customWidth="1"/>
    <col min="7427" max="7427" width="50" style="822" customWidth="1"/>
    <col min="7428" max="7428" width="38.33203125" style="822" customWidth="1"/>
    <col min="7429" max="7430" width="49.83203125" style="822" customWidth="1"/>
    <col min="7431" max="7431" width="38.1640625" style="822" customWidth="1"/>
    <col min="7432" max="7432" width="49.83203125" style="822" customWidth="1"/>
    <col min="7433" max="7433" width="50" style="822" customWidth="1"/>
    <col min="7434" max="7434" width="38.33203125" style="822" customWidth="1"/>
    <col min="7435" max="7436" width="49.83203125" style="822" customWidth="1"/>
    <col min="7437" max="7437" width="38.1640625" style="822" customWidth="1"/>
    <col min="7438" max="7439" width="50" style="822" customWidth="1"/>
    <col min="7440" max="7440" width="38.33203125" style="822" customWidth="1"/>
    <col min="7441" max="7441" width="50" style="822" customWidth="1"/>
    <col min="7442" max="7442" width="186.33203125" style="822" customWidth="1"/>
    <col min="7443" max="7443" width="50" style="822" customWidth="1"/>
    <col min="7444" max="7444" width="38.33203125" style="822" customWidth="1"/>
    <col min="7445" max="7445" width="49.83203125" style="822" customWidth="1"/>
    <col min="7446" max="7446" width="50" style="822" customWidth="1"/>
    <col min="7447" max="7447" width="45" style="822" customWidth="1"/>
    <col min="7448" max="7449" width="50" style="822" customWidth="1"/>
    <col min="7450" max="7450" width="45" style="822" customWidth="1"/>
    <col min="7451" max="7452" width="50" style="822" customWidth="1"/>
    <col min="7453" max="7453" width="45" style="822" customWidth="1"/>
    <col min="7454" max="7454" width="50.33203125" style="822" customWidth="1"/>
    <col min="7455" max="7455" width="50" style="822" customWidth="1"/>
    <col min="7456" max="7456" width="45" style="822" customWidth="1"/>
    <col min="7457" max="7457" width="50" style="822" customWidth="1"/>
    <col min="7458" max="7459" width="51" style="822" customWidth="1"/>
    <col min="7460" max="7665" width="9.33203125" style="822"/>
    <col min="7666" max="7666" width="186.33203125" style="822" customWidth="1"/>
    <col min="7667" max="7667" width="49.83203125" style="822" customWidth="1"/>
    <col min="7668" max="7668" width="38.33203125" style="822" customWidth="1"/>
    <col min="7669" max="7670" width="50" style="822" customWidth="1"/>
    <col min="7671" max="7671" width="37.6640625" style="822" customWidth="1"/>
    <col min="7672" max="7672" width="50" style="822" customWidth="1"/>
    <col min="7673" max="7673" width="51.33203125" style="822" customWidth="1"/>
    <col min="7674" max="7674" width="38.1640625" style="822" customWidth="1"/>
    <col min="7675" max="7676" width="50" style="822" customWidth="1"/>
    <col min="7677" max="7677" width="38.33203125" style="822" customWidth="1"/>
    <col min="7678" max="7679" width="50" style="822" customWidth="1"/>
    <col min="7680" max="7680" width="38.33203125" style="822" customWidth="1"/>
    <col min="7681" max="7681" width="50" style="822" customWidth="1"/>
    <col min="7682" max="7682" width="186.33203125" style="822" customWidth="1"/>
    <col min="7683" max="7683" width="50" style="822" customWidth="1"/>
    <col min="7684" max="7684" width="38.33203125" style="822" customWidth="1"/>
    <col min="7685" max="7686" width="49.83203125" style="822" customWidth="1"/>
    <col min="7687" max="7687" width="38.1640625" style="822" customWidth="1"/>
    <col min="7688" max="7688" width="49.83203125" style="822" customWidth="1"/>
    <col min="7689" max="7689" width="50" style="822" customWidth="1"/>
    <col min="7690" max="7690" width="38.33203125" style="822" customWidth="1"/>
    <col min="7691" max="7692" width="49.83203125" style="822" customWidth="1"/>
    <col min="7693" max="7693" width="38.1640625" style="822" customWidth="1"/>
    <col min="7694" max="7695" width="50" style="822" customWidth="1"/>
    <col min="7696" max="7696" width="38.33203125" style="822" customWidth="1"/>
    <col min="7697" max="7697" width="50" style="822" customWidth="1"/>
    <col min="7698" max="7698" width="186.33203125" style="822" customWidth="1"/>
    <col min="7699" max="7699" width="50" style="822" customWidth="1"/>
    <col min="7700" max="7700" width="38.33203125" style="822" customWidth="1"/>
    <col min="7701" max="7701" width="49.83203125" style="822" customWidth="1"/>
    <col min="7702" max="7702" width="50" style="822" customWidth="1"/>
    <col min="7703" max="7703" width="45" style="822" customWidth="1"/>
    <col min="7704" max="7705" width="50" style="822" customWidth="1"/>
    <col min="7706" max="7706" width="45" style="822" customWidth="1"/>
    <col min="7707" max="7708" width="50" style="822" customWidth="1"/>
    <col min="7709" max="7709" width="45" style="822" customWidth="1"/>
    <col min="7710" max="7710" width="50.33203125" style="822" customWidth="1"/>
    <col min="7711" max="7711" width="50" style="822" customWidth="1"/>
    <col min="7712" max="7712" width="45" style="822" customWidth="1"/>
    <col min="7713" max="7713" width="50" style="822" customWidth="1"/>
    <col min="7714" max="7715" width="51" style="822" customWidth="1"/>
    <col min="7716" max="7921" width="9.33203125" style="822"/>
    <col min="7922" max="7922" width="186.33203125" style="822" customWidth="1"/>
    <col min="7923" max="7923" width="49.83203125" style="822" customWidth="1"/>
    <col min="7924" max="7924" width="38.33203125" style="822" customWidth="1"/>
    <col min="7925" max="7926" width="50" style="822" customWidth="1"/>
    <col min="7927" max="7927" width="37.6640625" style="822" customWidth="1"/>
    <col min="7928" max="7928" width="50" style="822" customWidth="1"/>
    <col min="7929" max="7929" width="51.33203125" style="822" customWidth="1"/>
    <col min="7930" max="7930" width="38.1640625" style="822" customWidth="1"/>
    <col min="7931" max="7932" width="50" style="822" customWidth="1"/>
    <col min="7933" max="7933" width="38.33203125" style="822" customWidth="1"/>
    <col min="7934" max="7935" width="50" style="822" customWidth="1"/>
    <col min="7936" max="7936" width="38.33203125" style="822" customWidth="1"/>
    <col min="7937" max="7937" width="50" style="822" customWidth="1"/>
    <col min="7938" max="7938" width="186.33203125" style="822" customWidth="1"/>
    <col min="7939" max="7939" width="50" style="822" customWidth="1"/>
    <col min="7940" max="7940" width="38.33203125" style="822" customWidth="1"/>
    <col min="7941" max="7942" width="49.83203125" style="822" customWidth="1"/>
    <col min="7943" max="7943" width="38.1640625" style="822" customWidth="1"/>
    <col min="7944" max="7944" width="49.83203125" style="822" customWidth="1"/>
    <col min="7945" max="7945" width="50" style="822" customWidth="1"/>
    <col min="7946" max="7946" width="38.33203125" style="822" customWidth="1"/>
    <col min="7947" max="7948" width="49.83203125" style="822" customWidth="1"/>
    <col min="7949" max="7949" width="38.1640625" style="822" customWidth="1"/>
    <col min="7950" max="7951" width="50" style="822" customWidth="1"/>
    <col min="7952" max="7952" width="38.33203125" style="822" customWidth="1"/>
    <col min="7953" max="7953" width="50" style="822" customWidth="1"/>
    <col min="7954" max="7954" width="186.33203125" style="822" customWidth="1"/>
    <col min="7955" max="7955" width="50" style="822" customWidth="1"/>
    <col min="7956" max="7956" width="38.33203125" style="822" customWidth="1"/>
    <col min="7957" max="7957" width="49.83203125" style="822" customWidth="1"/>
    <col min="7958" max="7958" width="50" style="822" customWidth="1"/>
    <col min="7959" max="7959" width="45" style="822" customWidth="1"/>
    <col min="7960" max="7961" width="50" style="822" customWidth="1"/>
    <col min="7962" max="7962" width="45" style="822" customWidth="1"/>
    <col min="7963" max="7964" width="50" style="822" customWidth="1"/>
    <col min="7965" max="7965" width="45" style="822" customWidth="1"/>
    <col min="7966" max="7966" width="50.33203125" style="822" customWidth="1"/>
    <col min="7967" max="7967" width="50" style="822" customWidth="1"/>
    <col min="7968" max="7968" width="45" style="822" customWidth="1"/>
    <col min="7969" max="7969" width="50" style="822" customWidth="1"/>
    <col min="7970" max="7971" width="51" style="822" customWidth="1"/>
    <col min="7972" max="8177" width="9.33203125" style="822"/>
    <col min="8178" max="8178" width="186.33203125" style="822" customWidth="1"/>
    <col min="8179" max="8179" width="49.83203125" style="822" customWidth="1"/>
    <col min="8180" max="8180" width="38.33203125" style="822" customWidth="1"/>
    <col min="8181" max="8182" width="50" style="822" customWidth="1"/>
    <col min="8183" max="8183" width="37.6640625" style="822" customWidth="1"/>
    <col min="8184" max="8184" width="50" style="822" customWidth="1"/>
    <col min="8185" max="8185" width="51.33203125" style="822" customWidth="1"/>
    <col min="8186" max="8186" width="38.1640625" style="822" customWidth="1"/>
    <col min="8187" max="8188" width="50" style="822" customWidth="1"/>
    <col min="8189" max="8189" width="38.33203125" style="822" customWidth="1"/>
    <col min="8190" max="8191" width="50" style="822" customWidth="1"/>
    <col min="8192" max="8192" width="38.33203125" style="822" customWidth="1"/>
    <col min="8193" max="8193" width="50" style="822" customWidth="1"/>
    <col min="8194" max="8194" width="186.33203125" style="822" customWidth="1"/>
    <col min="8195" max="8195" width="50" style="822" customWidth="1"/>
    <col min="8196" max="8196" width="38.33203125" style="822" customWidth="1"/>
    <col min="8197" max="8198" width="49.83203125" style="822" customWidth="1"/>
    <col min="8199" max="8199" width="38.1640625" style="822" customWidth="1"/>
    <col min="8200" max="8200" width="49.83203125" style="822" customWidth="1"/>
    <col min="8201" max="8201" width="50" style="822" customWidth="1"/>
    <col min="8202" max="8202" width="38.33203125" style="822" customWidth="1"/>
    <col min="8203" max="8204" width="49.83203125" style="822" customWidth="1"/>
    <col min="8205" max="8205" width="38.1640625" style="822" customWidth="1"/>
    <col min="8206" max="8207" width="50" style="822" customWidth="1"/>
    <col min="8208" max="8208" width="38.33203125" style="822" customWidth="1"/>
    <col min="8209" max="8209" width="50" style="822" customWidth="1"/>
    <col min="8210" max="8210" width="186.33203125" style="822" customWidth="1"/>
    <col min="8211" max="8211" width="50" style="822" customWidth="1"/>
    <col min="8212" max="8212" width="38.33203125" style="822" customWidth="1"/>
    <col min="8213" max="8213" width="49.83203125" style="822" customWidth="1"/>
    <col min="8214" max="8214" width="50" style="822" customWidth="1"/>
    <col min="8215" max="8215" width="45" style="822" customWidth="1"/>
    <col min="8216" max="8217" width="50" style="822" customWidth="1"/>
    <col min="8218" max="8218" width="45" style="822" customWidth="1"/>
    <col min="8219" max="8220" width="50" style="822" customWidth="1"/>
    <col min="8221" max="8221" width="45" style="822" customWidth="1"/>
    <col min="8222" max="8222" width="50.33203125" style="822" customWidth="1"/>
    <col min="8223" max="8223" width="50" style="822" customWidth="1"/>
    <col min="8224" max="8224" width="45" style="822" customWidth="1"/>
    <col min="8225" max="8225" width="50" style="822" customWidth="1"/>
    <col min="8226" max="8227" width="51" style="822" customWidth="1"/>
    <col min="8228" max="8433" width="9.33203125" style="822"/>
    <col min="8434" max="8434" width="186.33203125" style="822" customWidth="1"/>
    <col min="8435" max="8435" width="49.83203125" style="822" customWidth="1"/>
    <col min="8436" max="8436" width="38.33203125" style="822" customWidth="1"/>
    <col min="8437" max="8438" width="50" style="822" customWidth="1"/>
    <col min="8439" max="8439" width="37.6640625" style="822" customWidth="1"/>
    <col min="8440" max="8440" width="50" style="822" customWidth="1"/>
    <col min="8441" max="8441" width="51.33203125" style="822" customWidth="1"/>
    <col min="8442" max="8442" width="38.1640625" style="822" customWidth="1"/>
    <col min="8443" max="8444" width="50" style="822" customWidth="1"/>
    <col min="8445" max="8445" width="38.33203125" style="822" customWidth="1"/>
    <col min="8446" max="8447" width="50" style="822" customWidth="1"/>
    <col min="8448" max="8448" width="38.33203125" style="822" customWidth="1"/>
    <col min="8449" max="8449" width="50" style="822" customWidth="1"/>
    <col min="8450" max="8450" width="186.33203125" style="822" customWidth="1"/>
    <col min="8451" max="8451" width="50" style="822" customWidth="1"/>
    <col min="8452" max="8452" width="38.33203125" style="822" customWidth="1"/>
    <col min="8453" max="8454" width="49.83203125" style="822" customWidth="1"/>
    <col min="8455" max="8455" width="38.1640625" style="822" customWidth="1"/>
    <col min="8456" max="8456" width="49.83203125" style="822" customWidth="1"/>
    <col min="8457" max="8457" width="50" style="822" customWidth="1"/>
    <col min="8458" max="8458" width="38.33203125" style="822" customWidth="1"/>
    <col min="8459" max="8460" width="49.83203125" style="822" customWidth="1"/>
    <col min="8461" max="8461" width="38.1640625" style="822" customWidth="1"/>
    <col min="8462" max="8463" width="50" style="822" customWidth="1"/>
    <col min="8464" max="8464" width="38.33203125" style="822" customWidth="1"/>
    <col min="8465" max="8465" width="50" style="822" customWidth="1"/>
    <col min="8466" max="8466" width="186.33203125" style="822" customWidth="1"/>
    <col min="8467" max="8467" width="50" style="822" customWidth="1"/>
    <col min="8468" max="8468" width="38.33203125" style="822" customWidth="1"/>
    <col min="8469" max="8469" width="49.83203125" style="822" customWidth="1"/>
    <col min="8470" max="8470" width="50" style="822" customWidth="1"/>
    <col min="8471" max="8471" width="45" style="822" customWidth="1"/>
    <col min="8472" max="8473" width="50" style="822" customWidth="1"/>
    <col min="8474" max="8474" width="45" style="822" customWidth="1"/>
    <col min="8475" max="8476" width="50" style="822" customWidth="1"/>
    <col min="8477" max="8477" width="45" style="822" customWidth="1"/>
    <col min="8478" max="8478" width="50.33203125" style="822" customWidth="1"/>
    <col min="8479" max="8479" width="50" style="822" customWidth="1"/>
    <col min="8480" max="8480" width="45" style="822" customWidth="1"/>
    <col min="8481" max="8481" width="50" style="822" customWidth="1"/>
    <col min="8482" max="8483" width="51" style="822" customWidth="1"/>
    <col min="8484" max="8689" width="9.33203125" style="822"/>
    <col min="8690" max="8690" width="186.33203125" style="822" customWidth="1"/>
    <col min="8691" max="8691" width="49.83203125" style="822" customWidth="1"/>
    <col min="8692" max="8692" width="38.33203125" style="822" customWidth="1"/>
    <col min="8693" max="8694" width="50" style="822" customWidth="1"/>
    <col min="8695" max="8695" width="37.6640625" style="822" customWidth="1"/>
    <col min="8696" max="8696" width="50" style="822" customWidth="1"/>
    <col min="8697" max="8697" width="51.33203125" style="822" customWidth="1"/>
    <col min="8698" max="8698" width="38.1640625" style="822" customWidth="1"/>
    <col min="8699" max="8700" width="50" style="822" customWidth="1"/>
    <col min="8701" max="8701" width="38.33203125" style="822" customWidth="1"/>
    <col min="8702" max="8703" width="50" style="822" customWidth="1"/>
    <col min="8704" max="8704" width="38.33203125" style="822" customWidth="1"/>
    <col min="8705" max="8705" width="50" style="822" customWidth="1"/>
    <col min="8706" max="8706" width="186.33203125" style="822" customWidth="1"/>
    <col min="8707" max="8707" width="50" style="822" customWidth="1"/>
    <col min="8708" max="8708" width="38.33203125" style="822" customWidth="1"/>
    <col min="8709" max="8710" width="49.83203125" style="822" customWidth="1"/>
    <col min="8711" max="8711" width="38.1640625" style="822" customWidth="1"/>
    <col min="8712" max="8712" width="49.83203125" style="822" customWidth="1"/>
    <col min="8713" max="8713" width="50" style="822" customWidth="1"/>
    <col min="8714" max="8714" width="38.33203125" style="822" customWidth="1"/>
    <col min="8715" max="8716" width="49.83203125" style="822" customWidth="1"/>
    <col min="8717" max="8717" width="38.1640625" style="822" customWidth="1"/>
    <col min="8718" max="8719" width="50" style="822" customWidth="1"/>
    <col min="8720" max="8720" width="38.33203125" style="822" customWidth="1"/>
    <col min="8721" max="8721" width="50" style="822" customWidth="1"/>
    <col min="8722" max="8722" width="186.33203125" style="822" customWidth="1"/>
    <col min="8723" max="8723" width="50" style="822" customWidth="1"/>
    <col min="8724" max="8724" width="38.33203125" style="822" customWidth="1"/>
    <col min="8725" max="8725" width="49.83203125" style="822" customWidth="1"/>
    <col min="8726" max="8726" width="50" style="822" customWidth="1"/>
    <col min="8727" max="8727" width="45" style="822" customWidth="1"/>
    <col min="8728" max="8729" width="50" style="822" customWidth="1"/>
    <col min="8730" max="8730" width="45" style="822" customWidth="1"/>
    <col min="8731" max="8732" width="50" style="822" customWidth="1"/>
    <col min="8733" max="8733" width="45" style="822" customWidth="1"/>
    <col min="8734" max="8734" width="50.33203125" style="822" customWidth="1"/>
    <col min="8735" max="8735" width="50" style="822" customWidth="1"/>
    <col min="8736" max="8736" width="45" style="822" customWidth="1"/>
    <col min="8737" max="8737" width="50" style="822" customWidth="1"/>
    <col min="8738" max="8739" width="51" style="822" customWidth="1"/>
    <col min="8740" max="8945" width="9.33203125" style="822"/>
    <col min="8946" max="8946" width="186.33203125" style="822" customWidth="1"/>
    <col min="8947" max="8947" width="49.83203125" style="822" customWidth="1"/>
    <col min="8948" max="8948" width="38.33203125" style="822" customWidth="1"/>
    <col min="8949" max="8950" width="50" style="822" customWidth="1"/>
    <col min="8951" max="8951" width="37.6640625" style="822" customWidth="1"/>
    <col min="8952" max="8952" width="50" style="822" customWidth="1"/>
    <col min="8953" max="8953" width="51.33203125" style="822" customWidth="1"/>
    <col min="8954" max="8954" width="38.1640625" style="822" customWidth="1"/>
    <col min="8955" max="8956" width="50" style="822" customWidth="1"/>
    <col min="8957" max="8957" width="38.33203125" style="822" customWidth="1"/>
    <col min="8958" max="8959" width="50" style="822" customWidth="1"/>
    <col min="8960" max="8960" width="38.33203125" style="822" customWidth="1"/>
    <col min="8961" max="8961" width="50" style="822" customWidth="1"/>
    <col min="8962" max="8962" width="186.33203125" style="822" customWidth="1"/>
    <col min="8963" max="8963" width="50" style="822" customWidth="1"/>
    <col min="8964" max="8964" width="38.33203125" style="822" customWidth="1"/>
    <col min="8965" max="8966" width="49.83203125" style="822" customWidth="1"/>
    <col min="8967" max="8967" width="38.1640625" style="822" customWidth="1"/>
    <col min="8968" max="8968" width="49.83203125" style="822" customWidth="1"/>
    <col min="8969" max="8969" width="50" style="822" customWidth="1"/>
    <col min="8970" max="8970" width="38.33203125" style="822" customWidth="1"/>
    <col min="8971" max="8972" width="49.83203125" style="822" customWidth="1"/>
    <col min="8973" max="8973" width="38.1640625" style="822" customWidth="1"/>
    <col min="8974" max="8975" width="50" style="822" customWidth="1"/>
    <col min="8976" max="8976" width="38.33203125" style="822" customWidth="1"/>
    <col min="8977" max="8977" width="50" style="822" customWidth="1"/>
    <col min="8978" max="8978" width="186.33203125" style="822" customWidth="1"/>
    <col min="8979" max="8979" width="50" style="822" customWidth="1"/>
    <col min="8980" max="8980" width="38.33203125" style="822" customWidth="1"/>
    <col min="8981" max="8981" width="49.83203125" style="822" customWidth="1"/>
    <col min="8982" max="8982" width="50" style="822" customWidth="1"/>
    <col min="8983" max="8983" width="45" style="822" customWidth="1"/>
    <col min="8984" max="8985" width="50" style="822" customWidth="1"/>
    <col min="8986" max="8986" width="45" style="822" customWidth="1"/>
    <col min="8987" max="8988" width="50" style="822" customWidth="1"/>
    <col min="8989" max="8989" width="45" style="822" customWidth="1"/>
    <col min="8990" max="8990" width="50.33203125" style="822" customWidth="1"/>
    <col min="8991" max="8991" width="50" style="822" customWidth="1"/>
    <col min="8992" max="8992" width="45" style="822" customWidth="1"/>
    <col min="8993" max="8993" width="50" style="822" customWidth="1"/>
    <col min="8994" max="8995" width="51" style="822" customWidth="1"/>
    <col min="8996" max="9201" width="9.33203125" style="822"/>
    <col min="9202" max="9202" width="186.33203125" style="822" customWidth="1"/>
    <col min="9203" max="9203" width="49.83203125" style="822" customWidth="1"/>
    <col min="9204" max="9204" width="38.33203125" style="822" customWidth="1"/>
    <col min="9205" max="9206" width="50" style="822" customWidth="1"/>
    <col min="9207" max="9207" width="37.6640625" style="822" customWidth="1"/>
    <col min="9208" max="9208" width="50" style="822" customWidth="1"/>
    <col min="9209" max="9209" width="51.33203125" style="822" customWidth="1"/>
    <col min="9210" max="9210" width="38.1640625" style="822" customWidth="1"/>
    <col min="9211" max="9212" width="50" style="822" customWidth="1"/>
    <col min="9213" max="9213" width="38.33203125" style="822" customWidth="1"/>
    <col min="9214" max="9215" width="50" style="822" customWidth="1"/>
    <col min="9216" max="9216" width="38.33203125" style="822" customWidth="1"/>
    <col min="9217" max="9217" width="50" style="822" customWidth="1"/>
    <col min="9218" max="9218" width="186.33203125" style="822" customWidth="1"/>
    <col min="9219" max="9219" width="50" style="822" customWidth="1"/>
    <col min="9220" max="9220" width="38.33203125" style="822" customWidth="1"/>
    <col min="9221" max="9222" width="49.83203125" style="822" customWidth="1"/>
    <col min="9223" max="9223" width="38.1640625" style="822" customWidth="1"/>
    <col min="9224" max="9224" width="49.83203125" style="822" customWidth="1"/>
    <col min="9225" max="9225" width="50" style="822" customWidth="1"/>
    <col min="9226" max="9226" width="38.33203125" style="822" customWidth="1"/>
    <col min="9227" max="9228" width="49.83203125" style="822" customWidth="1"/>
    <col min="9229" max="9229" width="38.1640625" style="822" customWidth="1"/>
    <col min="9230" max="9231" width="50" style="822" customWidth="1"/>
    <col min="9232" max="9232" width="38.33203125" style="822" customWidth="1"/>
    <col min="9233" max="9233" width="50" style="822" customWidth="1"/>
    <col min="9234" max="9234" width="186.33203125" style="822" customWidth="1"/>
    <col min="9235" max="9235" width="50" style="822" customWidth="1"/>
    <col min="9236" max="9236" width="38.33203125" style="822" customWidth="1"/>
    <col min="9237" max="9237" width="49.83203125" style="822" customWidth="1"/>
    <col min="9238" max="9238" width="50" style="822" customWidth="1"/>
    <col min="9239" max="9239" width="45" style="822" customWidth="1"/>
    <col min="9240" max="9241" width="50" style="822" customWidth="1"/>
    <col min="9242" max="9242" width="45" style="822" customWidth="1"/>
    <col min="9243" max="9244" width="50" style="822" customWidth="1"/>
    <col min="9245" max="9245" width="45" style="822" customWidth="1"/>
    <col min="9246" max="9246" width="50.33203125" style="822" customWidth="1"/>
    <col min="9247" max="9247" width="50" style="822" customWidth="1"/>
    <col min="9248" max="9248" width="45" style="822" customWidth="1"/>
    <col min="9249" max="9249" width="50" style="822" customWidth="1"/>
    <col min="9250" max="9251" width="51" style="822" customWidth="1"/>
    <col min="9252" max="9457" width="9.33203125" style="822"/>
    <col min="9458" max="9458" width="186.33203125" style="822" customWidth="1"/>
    <col min="9459" max="9459" width="49.83203125" style="822" customWidth="1"/>
    <col min="9460" max="9460" width="38.33203125" style="822" customWidth="1"/>
    <col min="9461" max="9462" width="50" style="822" customWidth="1"/>
    <col min="9463" max="9463" width="37.6640625" style="822" customWidth="1"/>
    <col min="9464" max="9464" width="50" style="822" customWidth="1"/>
    <col min="9465" max="9465" width="51.33203125" style="822" customWidth="1"/>
    <col min="9466" max="9466" width="38.1640625" style="822" customWidth="1"/>
    <col min="9467" max="9468" width="50" style="822" customWidth="1"/>
    <col min="9469" max="9469" width="38.33203125" style="822" customWidth="1"/>
    <col min="9470" max="9471" width="50" style="822" customWidth="1"/>
    <col min="9472" max="9472" width="38.33203125" style="822" customWidth="1"/>
    <col min="9473" max="9473" width="50" style="822" customWidth="1"/>
    <col min="9474" max="9474" width="186.33203125" style="822" customWidth="1"/>
    <col min="9475" max="9475" width="50" style="822" customWidth="1"/>
    <col min="9476" max="9476" width="38.33203125" style="822" customWidth="1"/>
    <col min="9477" max="9478" width="49.83203125" style="822" customWidth="1"/>
    <col min="9479" max="9479" width="38.1640625" style="822" customWidth="1"/>
    <col min="9480" max="9480" width="49.83203125" style="822" customWidth="1"/>
    <col min="9481" max="9481" width="50" style="822" customWidth="1"/>
    <col min="9482" max="9482" width="38.33203125" style="822" customWidth="1"/>
    <col min="9483" max="9484" width="49.83203125" style="822" customWidth="1"/>
    <col min="9485" max="9485" width="38.1640625" style="822" customWidth="1"/>
    <col min="9486" max="9487" width="50" style="822" customWidth="1"/>
    <col min="9488" max="9488" width="38.33203125" style="822" customWidth="1"/>
    <col min="9489" max="9489" width="50" style="822" customWidth="1"/>
    <col min="9490" max="9490" width="186.33203125" style="822" customWidth="1"/>
    <col min="9491" max="9491" width="50" style="822" customWidth="1"/>
    <col min="9492" max="9492" width="38.33203125" style="822" customWidth="1"/>
    <col min="9493" max="9493" width="49.83203125" style="822" customWidth="1"/>
    <col min="9494" max="9494" width="50" style="822" customWidth="1"/>
    <col min="9495" max="9495" width="45" style="822" customWidth="1"/>
    <col min="9496" max="9497" width="50" style="822" customWidth="1"/>
    <col min="9498" max="9498" width="45" style="822" customWidth="1"/>
    <col min="9499" max="9500" width="50" style="822" customWidth="1"/>
    <col min="9501" max="9501" width="45" style="822" customWidth="1"/>
    <col min="9502" max="9502" width="50.33203125" style="822" customWidth="1"/>
    <col min="9503" max="9503" width="50" style="822" customWidth="1"/>
    <col min="9504" max="9504" width="45" style="822" customWidth="1"/>
    <col min="9505" max="9505" width="50" style="822" customWidth="1"/>
    <col min="9506" max="9507" width="51" style="822" customWidth="1"/>
    <col min="9508" max="9713" width="9.33203125" style="822"/>
    <col min="9714" max="9714" width="186.33203125" style="822" customWidth="1"/>
    <col min="9715" max="9715" width="49.83203125" style="822" customWidth="1"/>
    <col min="9716" max="9716" width="38.33203125" style="822" customWidth="1"/>
    <col min="9717" max="9718" width="50" style="822" customWidth="1"/>
    <col min="9719" max="9719" width="37.6640625" style="822" customWidth="1"/>
    <col min="9720" max="9720" width="50" style="822" customWidth="1"/>
    <col min="9721" max="9721" width="51.33203125" style="822" customWidth="1"/>
    <col min="9722" max="9722" width="38.1640625" style="822" customWidth="1"/>
    <col min="9723" max="9724" width="50" style="822" customWidth="1"/>
    <col min="9725" max="9725" width="38.33203125" style="822" customWidth="1"/>
    <col min="9726" max="9727" width="50" style="822" customWidth="1"/>
    <col min="9728" max="9728" width="38.33203125" style="822" customWidth="1"/>
    <col min="9729" max="9729" width="50" style="822" customWidth="1"/>
    <col min="9730" max="9730" width="186.33203125" style="822" customWidth="1"/>
    <col min="9731" max="9731" width="50" style="822" customWidth="1"/>
    <col min="9732" max="9732" width="38.33203125" style="822" customWidth="1"/>
    <col min="9733" max="9734" width="49.83203125" style="822" customWidth="1"/>
    <col min="9735" max="9735" width="38.1640625" style="822" customWidth="1"/>
    <col min="9736" max="9736" width="49.83203125" style="822" customWidth="1"/>
    <col min="9737" max="9737" width="50" style="822" customWidth="1"/>
    <col min="9738" max="9738" width="38.33203125" style="822" customWidth="1"/>
    <col min="9739" max="9740" width="49.83203125" style="822" customWidth="1"/>
    <col min="9741" max="9741" width="38.1640625" style="822" customWidth="1"/>
    <col min="9742" max="9743" width="50" style="822" customWidth="1"/>
    <col min="9744" max="9744" width="38.33203125" style="822" customWidth="1"/>
    <col min="9745" max="9745" width="50" style="822" customWidth="1"/>
    <col min="9746" max="9746" width="186.33203125" style="822" customWidth="1"/>
    <col min="9747" max="9747" width="50" style="822" customWidth="1"/>
    <col min="9748" max="9748" width="38.33203125" style="822" customWidth="1"/>
    <col min="9749" max="9749" width="49.83203125" style="822" customWidth="1"/>
    <col min="9750" max="9750" width="50" style="822" customWidth="1"/>
    <col min="9751" max="9751" width="45" style="822" customWidth="1"/>
    <col min="9752" max="9753" width="50" style="822" customWidth="1"/>
    <col min="9754" max="9754" width="45" style="822" customWidth="1"/>
    <col min="9755" max="9756" width="50" style="822" customWidth="1"/>
    <col min="9757" max="9757" width="45" style="822" customWidth="1"/>
    <col min="9758" max="9758" width="50.33203125" style="822" customWidth="1"/>
    <col min="9759" max="9759" width="50" style="822" customWidth="1"/>
    <col min="9760" max="9760" width="45" style="822" customWidth="1"/>
    <col min="9761" max="9761" width="50" style="822" customWidth="1"/>
    <col min="9762" max="9763" width="51" style="822" customWidth="1"/>
    <col min="9764" max="9969" width="9.33203125" style="822"/>
    <col min="9970" max="9970" width="186.33203125" style="822" customWidth="1"/>
    <col min="9971" max="9971" width="49.83203125" style="822" customWidth="1"/>
    <col min="9972" max="9972" width="38.33203125" style="822" customWidth="1"/>
    <col min="9973" max="9974" width="50" style="822" customWidth="1"/>
    <col min="9975" max="9975" width="37.6640625" style="822" customWidth="1"/>
    <col min="9976" max="9976" width="50" style="822" customWidth="1"/>
    <col min="9977" max="9977" width="51.33203125" style="822" customWidth="1"/>
    <col min="9978" max="9978" width="38.1640625" style="822" customWidth="1"/>
    <col min="9979" max="9980" width="50" style="822" customWidth="1"/>
    <col min="9981" max="9981" width="38.33203125" style="822" customWidth="1"/>
    <col min="9982" max="9983" width="50" style="822" customWidth="1"/>
    <col min="9984" max="9984" width="38.33203125" style="822" customWidth="1"/>
    <col min="9985" max="9985" width="50" style="822" customWidth="1"/>
    <col min="9986" max="9986" width="186.33203125" style="822" customWidth="1"/>
    <col min="9987" max="9987" width="50" style="822" customWidth="1"/>
    <col min="9988" max="9988" width="38.33203125" style="822" customWidth="1"/>
    <col min="9989" max="9990" width="49.83203125" style="822" customWidth="1"/>
    <col min="9991" max="9991" width="38.1640625" style="822" customWidth="1"/>
    <col min="9992" max="9992" width="49.83203125" style="822" customWidth="1"/>
    <col min="9993" max="9993" width="50" style="822" customWidth="1"/>
    <col min="9994" max="9994" width="38.33203125" style="822" customWidth="1"/>
    <col min="9995" max="9996" width="49.83203125" style="822" customWidth="1"/>
    <col min="9997" max="9997" width="38.1640625" style="822" customWidth="1"/>
    <col min="9998" max="9999" width="50" style="822" customWidth="1"/>
    <col min="10000" max="10000" width="38.33203125" style="822" customWidth="1"/>
    <col min="10001" max="10001" width="50" style="822" customWidth="1"/>
    <col min="10002" max="10002" width="186.33203125" style="822" customWidth="1"/>
    <col min="10003" max="10003" width="50" style="822" customWidth="1"/>
    <col min="10004" max="10004" width="38.33203125" style="822" customWidth="1"/>
    <col min="10005" max="10005" width="49.83203125" style="822" customWidth="1"/>
    <col min="10006" max="10006" width="50" style="822" customWidth="1"/>
    <col min="10007" max="10007" width="45" style="822" customWidth="1"/>
    <col min="10008" max="10009" width="50" style="822" customWidth="1"/>
    <col min="10010" max="10010" width="45" style="822" customWidth="1"/>
    <col min="10011" max="10012" width="50" style="822" customWidth="1"/>
    <col min="10013" max="10013" width="45" style="822" customWidth="1"/>
    <col min="10014" max="10014" width="50.33203125" style="822" customWidth="1"/>
    <col min="10015" max="10015" width="50" style="822" customWidth="1"/>
    <col min="10016" max="10016" width="45" style="822" customWidth="1"/>
    <col min="10017" max="10017" width="50" style="822" customWidth="1"/>
    <col min="10018" max="10019" width="51" style="822" customWidth="1"/>
    <col min="10020" max="10225" width="9.33203125" style="822"/>
    <col min="10226" max="10226" width="186.33203125" style="822" customWidth="1"/>
    <col min="10227" max="10227" width="49.83203125" style="822" customWidth="1"/>
    <col min="10228" max="10228" width="38.33203125" style="822" customWidth="1"/>
    <col min="10229" max="10230" width="50" style="822" customWidth="1"/>
    <col min="10231" max="10231" width="37.6640625" style="822" customWidth="1"/>
    <col min="10232" max="10232" width="50" style="822" customWidth="1"/>
    <col min="10233" max="10233" width="51.33203125" style="822" customWidth="1"/>
    <col min="10234" max="10234" width="38.1640625" style="822" customWidth="1"/>
    <col min="10235" max="10236" width="50" style="822" customWidth="1"/>
    <col min="10237" max="10237" width="38.33203125" style="822" customWidth="1"/>
    <col min="10238" max="10239" width="50" style="822" customWidth="1"/>
    <col min="10240" max="10240" width="38.33203125" style="822" customWidth="1"/>
    <col min="10241" max="10241" width="50" style="822" customWidth="1"/>
    <col min="10242" max="10242" width="186.33203125" style="822" customWidth="1"/>
    <col min="10243" max="10243" width="50" style="822" customWidth="1"/>
    <col min="10244" max="10244" width="38.33203125" style="822" customWidth="1"/>
    <col min="10245" max="10246" width="49.83203125" style="822" customWidth="1"/>
    <col min="10247" max="10247" width="38.1640625" style="822" customWidth="1"/>
    <col min="10248" max="10248" width="49.83203125" style="822" customWidth="1"/>
    <col min="10249" max="10249" width="50" style="822" customWidth="1"/>
    <col min="10250" max="10250" width="38.33203125" style="822" customWidth="1"/>
    <col min="10251" max="10252" width="49.83203125" style="822" customWidth="1"/>
    <col min="10253" max="10253" width="38.1640625" style="822" customWidth="1"/>
    <col min="10254" max="10255" width="50" style="822" customWidth="1"/>
    <col min="10256" max="10256" width="38.33203125" style="822" customWidth="1"/>
    <col min="10257" max="10257" width="50" style="822" customWidth="1"/>
    <col min="10258" max="10258" width="186.33203125" style="822" customWidth="1"/>
    <col min="10259" max="10259" width="50" style="822" customWidth="1"/>
    <col min="10260" max="10260" width="38.33203125" style="822" customWidth="1"/>
    <col min="10261" max="10261" width="49.83203125" style="822" customWidth="1"/>
    <col min="10262" max="10262" width="50" style="822" customWidth="1"/>
    <col min="10263" max="10263" width="45" style="822" customWidth="1"/>
    <col min="10264" max="10265" width="50" style="822" customWidth="1"/>
    <col min="10266" max="10266" width="45" style="822" customWidth="1"/>
    <col min="10267" max="10268" width="50" style="822" customWidth="1"/>
    <col min="10269" max="10269" width="45" style="822" customWidth="1"/>
    <col min="10270" max="10270" width="50.33203125" style="822" customWidth="1"/>
    <col min="10271" max="10271" width="50" style="822" customWidth="1"/>
    <col min="10272" max="10272" width="45" style="822" customWidth="1"/>
    <col min="10273" max="10273" width="50" style="822" customWidth="1"/>
    <col min="10274" max="10275" width="51" style="822" customWidth="1"/>
    <col min="10276" max="10481" width="9.33203125" style="822"/>
    <col min="10482" max="10482" width="186.33203125" style="822" customWidth="1"/>
    <col min="10483" max="10483" width="49.83203125" style="822" customWidth="1"/>
    <col min="10484" max="10484" width="38.33203125" style="822" customWidth="1"/>
    <col min="10485" max="10486" width="50" style="822" customWidth="1"/>
    <col min="10487" max="10487" width="37.6640625" style="822" customWidth="1"/>
    <col min="10488" max="10488" width="50" style="822" customWidth="1"/>
    <col min="10489" max="10489" width="51.33203125" style="822" customWidth="1"/>
    <col min="10490" max="10490" width="38.1640625" style="822" customWidth="1"/>
    <col min="10491" max="10492" width="50" style="822" customWidth="1"/>
    <col min="10493" max="10493" width="38.33203125" style="822" customWidth="1"/>
    <col min="10494" max="10495" width="50" style="822" customWidth="1"/>
    <col min="10496" max="10496" width="38.33203125" style="822" customWidth="1"/>
    <col min="10497" max="10497" width="50" style="822" customWidth="1"/>
    <col min="10498" max="10498" width="186.33203125" style="822" customWidth="1"/>
    <col min="10499" max="10499" width="50" style="822" customWidth="1"/>
    <col min="10500" max="10500" width="38.33203125" style="822" customWidth="1"/>
    <col min="10501" max="10502" width="49.83203125" style="822" customWidth="1"/>
    <col min="10503" max="10503" width="38.1640625" style="822" customWidth="1"/>
    <col min="10504" max="10504" width="49.83203125" style="822" customWidth="1"/>
    <col min="10505" max="10505" width="50" style="822" customWidth="1"/>
    <col min="10506" max="10506" width="38.33203125" style="822" customWidth="1"/>
    <col min="10507" max="10508" width="49.83203125" style="822" customWidth="1"/>
    <col min="10509" max="10509" width="38.1640625" style="822" customWidth="1"/>
    <col min="10510" max="10511" width="50" style="822" customWidth="1"/>
    <col min="10512" max="10512" width="38.33203125" style="822" customWidth="1"/>
    <col min="10513" max="10513" width="50" style="822" customWidth="1"/>
    <col min="10514" max="10514" width="186.33203125" style="822" customWidth="1"/>
    <col min="10515" max="10515" width="50" style="822" customWidth="1"/>
    <col min="10516" max="10516" width="38.33203125" style="822" customWidth="1"/>
    <col min="10517" max="10517" width="49.83203125" style="822" customWidth="1"/>
    <col min="10518" max="10518" width="50" style="822" customWidth="1"/>
    <col min="10519" max="10519" width="45" style="822" customWidth="1"/>
    <col min="10520" max="10521" width="50" style="822" customWidth="1"/>
    <col min="10522" max="10522" width="45" style="822" customWidth="1"/>
    <col min="10523" max="10524" width="50" style="822" customWidth="1"/>
    <col min="10525" max="10525" width="45" style="822" customWidth="1"/>
    <col min="10526" max="10526" width="50.33203125" style="822" customWidth="1"/>
    <col min="10527" max="10527" width="50" style="822" customWidth="1"/>
    <col min="10528" max="10528" width="45" style="822" customWidth="1"/>
    <col min="10529" max="10529" width="50" style="822" customWidth="1"/>
    <col min="10530" max="10531" width="51" style="822" customWidth="1"/>
    <col min="10532" max="10737" width="9.33203125" style="822"/>
    <col min="10738" max="10738" width="186.33203125" style="822" customWidth="1"/>
    <col min="10739" max="10739" width="49.83203125" style="822" customWidth="1"/>
    <col min="10740" max="10740" width="38.33203125" style="822" customWidth="1"/>
    <col min="10741" max="10742" width="50" style="822" customWidth="1"/>
    <col min="10743" max="10743" width="37.6640625" style="822" customWidth="1"/>
    <col min="10744" max="10744" width="50" style="822" customWidth="1"/>
    <col min="10745" max="10745" width="51.33203125" style="822" customWidth="1"/>
    <col min="10746" max="10746" width="38.1640625" style="822" customWidth="1"/>
    <col min="10747" max="10748" width="50" style="822" customWidth="1"/>
    <col min="10749" max="10749" width="38.33203125" style="822" customWidth="1"/>
    <col min="10750" max="10751" width="50" style="822" customWidth="1"/>
    <col min="10752" max="10752" width="38.33203125" style="822" customWidth="1"/>
    <col min="10753" max="10753" width="50" style="822" customWidth="1"/>
    <col min="10754" max="10754" width="186.33203125" style="822" customWidth="1"/>
    <col min="10755" max="10755" width="50" style="822" customWidth="1"/>
    <col min="10756" max="10756" width="38.33203125" style="822" customWidth="1"/>
    <col min="10757" max="10758" width="49.83203125" style="822" customWidth="1"/>
    <col min="10759" max="10759" width="38.1640625" style="822" customWidth="1"/>
    <col min="10760" max="10760" width="49.83203125" style="822" customWidth="1"/>
    <col min="10761" max="10761" width="50" style="822" customWidth="1"/>
    <col min="10762" max="10762" width="38.33203125" style="822" customWidth="1"/>
    <col min="10763" max="10764" width="49.83203125" style="822" customWidth="1"/>
    <col min="10765" max="10765" width="38.1640625" style="822" customWidth="1"/>
    <col min="10766" max="10767" width="50" style="822" customWidth="1"/>
    <col min="10768" max="10768" width="38.33203125" style="822" customWidth="1"/>
    <col min="10769" max="10769" width="50" style="822" customWidth="1"/>
    <col min="10770" max="10770" width="186.33203125" style="822" customWidth="1"/>
    <col min="10771" max="10771" width="50" style="822" customWidth="1"/>
    <col min="10772" max="10772" width="38.33203125" style="822" customWidth="1"/>
    <col min="10773" max="10773" width="49.83203125" style="822" customWidth="1"/>
    <col min="10774" max="10774" width="50" style="822" customWidth="1"/>
    <col min="10775" max="10775" width="45" style="822" customWidth="1"/>
    <col min="10776" max="10777" width="50" style="822" customWidth="1"/>
    <col min="10778" max="10778" width="45" style="822" customWidth="1"/>
    <col min="10779" max="10780" width="50" style="822" customWidth="1"/>
    <col min="10781" max="10781" width="45" style="822" customWidth="1"/>
    <col min="10782" max="10782" width="50.33203125" style="822" customWidth="1"/>
    <col min="10783" max="10783" width="50" style="822" customWidth="1"/>
    <col min="10784" max="10784" width="45" style="822" customWidth="1"/>
    <col min="10785" max="10785" width="50" style="822" customWidth="1"/>
    <col min="10786" max="10787" width="51" style="822" customWidth="1"/>
    <col min="10788" max="10993" width="9.33203125" style="822"/>
    <col min="10994" max="10994" width="186.33203125" style="822" customWidth="1"/>
    <col min="10995" max="10995" width="49.83203125" style="822" customWidth="1"/>
    <col min="10996" max="10996" width="38.33203125" style="822" customWidth="1"/>
    <col min="10997" max="10998" width="50" style="822" customWidth="1"/>
    <col min="10999" max="10999" width="37.6640625" style="822" customWidth="1"/>
    <col min="11000" max="11000" width="50" style="822" customWidth="1"/>
    <col min="11001" max="11001" width="51.33203125" style="822" customWidth="1"/>
    <col min="11002" max="11002" width="38.1640625" style="822" customWidth="1"/>
    <col min="11003" max="11004" width="50" style="822" customWidth="1"/>
    <col min="11005" max="11005" width="38.33203125" style="822" customWidth="1"/>
    <col min="11006" max="11007" width="50" style="822" customWidth="1"/>
    <col min="11008" max="11008" width="38.33203125" style="822" customWidth="1"/>
    <col min="11009" max="11009" width="50" style="822" customWidth="1"/>
    <col min="11010" max="11010" width="186.33203125" style="822" customWidth="1"/>
    <col min="11011" max="11011" width="50" style="822" customWidth="1"/>
    <col min="11012" max="11012" width="38.33203125" style="822" customWidth="1"/>
    <col min="11013" max="11014" width="49.83203125" style="822" customWidth="1"/>
    <col min="11015" max="11015" width="38.1640625" style="822" customWidth="1"/>
    <col min="11016" max="11016" width="49.83203125" style="822" customWidth="1"/>
    <col min="11017" max="11017" width="50" style="822" customWidth="1"/>
    <col min="11018" max="11018" width="38.33203125" style="822" customWidth="1"/>
    <col min="11019" max="11020" width="49.83203125" style="822" customWidth="1"/>
    <col min="11021" max="11021" width="38.1640625" style="822" customWidth="1"/>
    <col min="11022" max="11023" width="50" style="822" customWidth="1"/>
    <col min="11024" max="11024" width="38.33203125" style="822" customWidth="1"/>
    <col min="11025" max="11025" width="50" style="822" customWidth="1"/>
    <col min="11026" max="11026" width="186.33203125" style="822" customWidth="1"/>
    <col min="11027" max="11027" width="50" style="822" customWidth="1"/>
    <col min="11028" max="11028" width="38.33203125" style="822" customWidth="1"/>
    <col min="11029" max="11029" width="49.83203125" style="822" customWidth="1"/>
    <col min="11030" max="11030" width="50" style="822" customWidth="1"/>
    <col min="11031" max="11031" width="45" style="822" customWidth="1"/>
    <col min="11032" max="11033" width="50" style="822" customWidth="1"/>
    <col min="11034" max="11034" width="45" style="822" customWidth="1"/>
    <col min="11035" max="11036" width="50" style="822" customWidth="1"/>
    <col min="11037" max="11037" width="45" style="822" customWidth="1"/>
    <col min="11038" max="11038" width="50.33203125" style="822" customWidth="1"/>
    <col min="11039" max="11039" width="50" style="822" customWidth="1"/>
    <col min="11040" max="11040" width="45" style="822" customWidth="1"/>
    <col min="11041" max="11041" width="50" style="822" customWidth="1"/>
    <col min="11042" max="11043" width="51" style="822" customWidth="1"/>
    <col min="11044" max="11249" width="9.33203125" style="822"/>
    <col min="11250" max="11250" width="186.33203125" style="822" customWidth="1"/>
    <col min="11251" max="11251" width="49.83203125" style="822" customWidth="1"/>
    <col min="11252" max="11252" width="38.33203125" style="822" customWidth="1"/>
    <col min="11253" max="11254" width="50" style="822" customWidth="1"/>
    <col min="11255" max="11255" width="37.6640625" style="822" customWidth="1"/>
    <col min="11256" max="11256" width="50" style="822" customWidth="1"/>
    <col min="11257" max="11257" width="51.33203125" style="822" customWidth="1"/>
    <col min="11258" max="11258" width="38.1640625" style="822" customWidth="1"/>
    <col min="11259" max="11260" width="50" style="822" customWidth="1"/>
    <col min="11261" max="11261" width="38.33203125" style="822" customWidth="1"/>
    <col min="11262" max="11263" width="50" style="822" customWidth="1"/>
    <col min="11264" max="11264" width="38.33203125" style="822" customWidth="1"/>
    <col min="11265" max="11265" width="50" style="822" customWidth="1"/>
    <col min="11266" max="11266" width="186.33203125" style="822" customWidth="1"/>
    <col min="11267" max="11267" width="50" style="822" customWidth="1"/>
    <col min="11268" max="11268" width="38.33203125" style="822" customWidth="1"/>
    <col min="11269" max="11270" width="49.83203125" style="822" customWidth="1"/>
    <col min="11271" max="11271" width="38.1640625" style="822" customWidth="1"/>
    <col min="11272" max="11272" width="49.83203125" style="822" customWidth="1"/>
    <col min="11273" max="11273" width="50" style="822" customWidth="1"/>
    <col min="11274" max="11274" width="38.33203125" style="822" customWidth="1"/>
    <col min="11275" max="11276" width="49.83203125" style="822" customWidth="1"/>
    <col min="11277" max="11277" width="38.1640625" style="822" customWidth="1"/>
    <col min="11278" max="11279" width="50" style="822" customWidth="1"/>
    <col min="11280" max="11280" width="38.33203125" style="822" customWidth="1"/>
    <col min="11281" max="11281" width="50" style="822" customWidth="1"/>
    <col min="11282" max="11282" width="186.33203125" style="822" customWidth="1"/>
    <col min="11283" max="11283" width="50" style="822" customWidth="1"/>
    <col min="11284" max="11284" width="38.33203125" style="822" customWidth="1"/>
    <col min="11285" max="11285" width="49.83203125" style="822" customWidth="1"/>
    <col min="11286" max="11286" width="50" style="822" customWidth="1"/>
    <col min="11287" max="11287" width="45" style="822" customWidth="1"/>
    <col min="11288" max="11289" width="50" style="822" customWidth="1"/>
    <col min="11290" max="11290" width="45" style="822" customWidth="1"/>
    <col min="11291" max="11292" width="50" style="822" customWidth="1"/>
    <col min="11293" max="11293" width="45" style="822" customWidth="1"/>
    <col min="11294" max="11294" width="50.33203125" style="822" customWidth="1"/>
    <col min="11295" max="11295" width="50" style="822" customWidth="1"/>
    <col min="11296" max="11296" width="45" style="822" customWidth="1"/>
    <col min="11297" max="11297" width="50" style="822" customWidth="1"/>
    <col min="11298" max="11299" width="51" style="822" customWidth="1"/>
    <col min="11300" max="11505" width="9.33203125" style="822"/>
    <col min="11506" max="11506" width="186.33203125" style="822" customWidth="1"/>
    <col min="11507" max="11507" width="49.83203125" style="822" customWidth="1"/>
    <col min="11508" max="11508" width="38.33203125" style="822" customWidth="1"/>
    <col min="11509" max="11510" width="50" style="822" customWidth="1"/>
    <col min="11511" max="11511" width="37.6640625" style="822" customWidth="1"/>
    <col min="11512" max="11512" width="50" style="822" customWidth="1"/>
    <col min="11513" max="11513" width="51.33203125" style="822" customWidth="1"/>
    <col min="11514" max="11514" width="38.1640625" style="822" customWidth="1"/>
    <col min="11515" max="11516" width="50" style="822" customWidth="1"/>
    <col min="11517" max="11517" width="38.33203125" style="822" customWidth="1"/>
    <col min="11518" max="11519" width="50" style="822" customWidth="1"/>
    <col min="11520" max="11520" width="38.33203125" style="822" customWidth="1"/>
    <col min="11521" max="11521" width="50" style="822" customWidth="1"/>
    <col min="11522" max="11522" width="186.33203125" style="822" customWidth="1"/>
    <col min="11523" max="11523" width="50" style="822" customWidth="1"/>
    <col min="11524" max="11524" width="38.33203125" style="822" customWidth="1"/>
    <col min="11525" max="11526" width="49.83203125" style="822" customWidth="1"/>
    <col min="11527" max="11527" width="38.1640625" style="822" customWidth="1"/>
    <col min="11528" max="11528" width="49.83203125" style="822" customWidth="1"/>
    <col min="11529" max="11529" width="50" style="822" customWidth="1"/>
    <col min="11530" max="11530" width="38.33203125" style="822" customWidth="1"/>
    <col min="11531" max="11532" width="49.83203125" style="822" customWidth="1"/>
    <col min="11533" max="11533" width="38.1640625" style="822" customWidth="1"/>
    <col min="11534" max="11535" width="50" style="822" customWidth="1"/>
    <col min="11536" max="11536" width="38.33203125" style="822" customWidth="1"/>
    <col min="11537" max="11537" width="50" style="822" customWidth="1"/>
    <col min="11538" max="11538" width="186.33203125" style="822" customWidth="1"/>
    <col min="11539" max="11539" width="50" style="822" customWidth="1"/>
    <col min="11540" max="11540" width="38.33203125" style="822" customWidth="1"/>
    <col min="11541" max="11541" width="49.83203125" style="822" customWidth="1"/>
    <col min="11542" max="11542" width="50" style="822" customWidth="1"/>
    <col min="11543" max="11543" width="45" style="822" customWidth="1"/>
    <col min="11544" max="11545" width="50" style="822" customWidth="1"/>
    <col min="11546" max="11546" width="45" style="822" customWidth="1"/>
    <col min="11547" max="11548" width="50" style="822" customWidth="1"/>
    <col min="11549" max="11549" width="45" style="822" customWidth="1"/>
    <col min="11550" max="11550" width="50.33203125" style="822" customWidth="1"/>
    <col min="11551" max="11551" width="50" style="822" customWidth="1"/>
    <col min="11552" max="11552" width="45" style="822" customWidth="1"/>
    <col min="11553" max="11553" width="50" style="822" customWidth="1"/>
    <col min="11554" max="11555" width="51" style="822" customWidth="1"/>
    <col min="11556" max="11761" width="9.33203125" style="822"/>
    <col min="11762" max="11762" width="186.33203125" style="822" customWidth="1"/>
    <col min="11763" max="11763" width="49.83203125" style="822" customWidth="1"/>
    <col min="11764" max="11764" width="38.33203125" style="822" customWidth="1"/>
    <col min="11765" max="11766" width="50" style="822" customWidth="1"/>
    <col min="11767" max="11767" width="37.6640625" style="822" customWidth="1"/>
    <col min="11768" max="11768" width="50" style="822" customWidth="1"/>
    <col min="11769" max="11769" width="51.33203125" style="822" customWidth="1"/>
    <col min="11770" max="11770" width="38.1640625" style="822" customWidth="1"/>
    <col min="11771" max="11772" width="50" style="822" customWidth="1"/>
    <col min="11773" max="11773" width="38.33203125" style="822" customWidth="1"/>
    <col min="11774" max="11775" width="50" style="822" customWidth="1"/>
    <col min="11776" max="11776" width="38.33203125" style="822" customWidth="1"/>
    <col min="11777" max="11777" width="50" style="822" customWidth="1"/>
    <col min="11778" max="11778" width="186.33203125" style="822" customWidth="1"/>
    <col min="11779" max="11779" width="50" style="822" customWidth="1"/>
    <col min="11780" max="11780" width="38.33203125" style="822" customWidth="1"/>
    <col min="11781" max="11782" width="49.83203125" style="822" customWidth="1"/>
    <col min="11783" max="11783" width="38.1640625" style="822" customWidth="1"/>
    <col min="11784" max="11784" width="49.83203125" style="822" customWidth="1"/>
    <col min="11785" max="11785" width="50" style="822" customWidth="1"/>
    <col min="11786" max="11786" width="38.33203125" style="822" customWidth="1"/>
    <col min="11787" max="11788" width="49.83203125" style="822" customWidth="1"/>
    <col min="11789" max="11789" width="38.1640625" style="822" customWidth="1"/>
    <col min="11790" max="11791" width="50" style="822" customWidth="1"/>
    <col min="11792" max="11792" width="38.33203125" style="822" customWidth="1"/>
    <col min="11793" max="11793" width="50" style="822" customWidth="1"/>
    <col min="11794" max="11794" width="186.33203125" style="822" customWidth="1"/>
    <col min="11795" max="11795" width="50" style="822" customWidth="1"/>
    <col min="11796" max="11796" width="38.33203125" style="822" customWidth="1"/>
    <col min="11797" max="11797" width="49.83203125" style="822" customWidth="1"/>
    <col min="11798" max="11798" width="50" style="822" customWidth="1"/>
    <col min="11799" max="11799" width="45" style="822" customWidth="1"/>
    <col min="11800" max="11801" width="50" style="822" customWidth="1"/>
    <col min="11802" max="11802" width="45" style="822" customWidth="1"/>
    <col min="11803" max="11804" width="50" style="822" customWidth="1"/>
    <col min="11805" max="11805" width="45" style="822" customWidth="1"/>
    <col min="11806" max="11806" width="50.33203125" style="822" customWidth="1"/>
    <col min="11807" max="11807" width="50" style="822" customWidth="1"/>
    <col min="11808" max="11808" width="45" style="822" customWidth="1"/>
    <col min="11809" max="11809" width="50" style="822" customWidth="1"/>
    <col min="11810" max="11811" width="51" style="822" customWidth="1"/>
    <col min="11812" max="12017" width="9.33203125" style="822"/>
    <col min="12018" max="12018" width="186.33203125" style="822" customWidth="1"/>
    <col min="12019" max="12019" width="49.83203125" style="822" customWidth="1"/>
    <col min="12020" max="12020" width="38.33203125" style="822" customWidth="1"/>
    <col min="12021" max="12022" width="50" style="822" customWidth="1"/>
    <col min="12023" max="12023" width="37.6640625" style="822" customWidth="1"/>
    <col min="12024" max="12024" width="50" style="822" customWidth="1"/>
    <col min="12025" max="12025" width="51.33203125" style="822" customWidth="1"/>
    <col min="12026" max="12026" width="38.1640625" style="822" customWidth="1"/>
    <col min="12027" max="12028" width="50" style="822" customWidth="1"/>
    <col min="12029" max="12029" width="38.33203125" style="822" customWidth="1"/>
    <col min="12030" max="12031" width="50" style="822" customWidth="1"/>
    <col min="12032" max="12032" width="38.33203125" style="822" customWidth="1"/>
    <col min="12033" max="12033" width="50" style="822" customWidth="1"/>
    <col min="12034" max="12034" width="186.33203125" style="822" customWidth="1"/>
    <col min="12035" max="12035" width="50" style="822" customWidth="1"/>
    <col min="12036" max="12036" width="38.33203125" style="822" customWidth="1"/>
    <col min="12037" max="12038" width="49.83203125" style="822" customWidth="1"/>
    <col min="12039" max="12039" width="38.1640625" style="822" customWidth="1"/>
    <col min="12040" max="12040" width="49.83203125" style="822" customWidth="1"/>
    <col min="12041" max="12041" width="50" style="822" customWidth="1"/>
    <col min="12042" max="12042" width="38.33203125" style="822" customWidth="1"/>
    <col min="12043" max="12044" width="49.83203125" style="822" customWidth="1"/>
    <col min="12045" max="12045" width="38.1640625" style="822" customWidth="1"/>
    <col min="12046" max="12047" width="50" style="822" customWidth="1"/>
    <col min="12048" max="12048" width="38.33203125" style="822" customWidth="1"/>
    <col min="12049" max="12049" width="50" style="822" customWidth="1"/>
    <col min="12050" max="12050" width="186.33203125" style="822" customWidth="1"/>
    <col min="12051" max="12051" width="50" style="822" customWidth="1"/>
    <col min="12052" max="12052" width="38.33203125" style="822" customWidth="1"/>
    <col min="12053" max="12053" width="49.83203125" style="822" customWidth="1"/>
    <col min="12054" max="12054" width="50" style="822" customWidth="1"/>
    <col min="12055" max="12055" width="45" style="822" customWidth="1"/>
    <col min="12056" max="12057" width="50" style="822" customWidth="1"/>
    <col min="12058" max="12058" width="45" style="822" customWidth="1"/>
    <col min="12059" max="12060" width="50" style="822" customWidth="1"/>
    <col min="12061" max="12061" width="45" style="822" customWidth="1"/>
    <col min="12062" max="12062" width="50.33203125" style="822" customWidth="1"/>
    <col min="12063" max="12063" width="50" style="822" customWidth="1"/>
    <col min="12064" max="12064" width="45" style="822" customWidth="1"/>
    <col min="12065" max="12065" width="50" style="822" customWidth="1"/>
    <col min="12066" max="12067" width="51" style="822" customWidth="1"/>
    <col min="12068" max="12273" width="9.33203125" style="822"/>
    <col min="12274" max="12274" width="186.33203125" style="822" customWidth="1"/>
    <col min="12275" max="12275" width="49.83203125" style="822" customWidth="1"/>
    <col min="12276" max="12276" width="38.33203125" style="822" customWidth="1"/>
    <col min="12277" max="12278" width="50" style="822" customWidth="1"/>
    <col min="12279" max="12279" width="37.6640625" style="822" customWidth="1"/>
    <col min="12280" max="12280" width="50" style="822" customWidth="1"/>
    <col min="12281" max="12281" width="51.33203125" style="822" customWidth="1"/>
    <col min="12282" max="12282" width="38.1640625" style="822" customWidth="1"/>
    <col min="12283" max="12284" width="50" style="822" customWidth="1"/>
    <col min="12285" max="12285" width="38.33203125" style="822" customWidth="1"/>
    <col min="12286" max="12287" width="50" style="822" customWidth="1"/>
    <col min="12288" max="12288" width="38.33203125" style="822" customWidth="1"/>
    <col min="12289" max="12289" width="50" style="822" customWidth="1"/>
    <col min="12290" max="12290" width="186.33203125" style="822" customWidth="1"/>
    <col min="12291" max="12291" width="50" style="822" customWidth="1"/>
    <col min="12292" max="12292" width="38.33203125" style="822" customWidth="1"/>
    <col min="12293" max="12294" width="49.83203125" style="822" customWidth="1"/>
    <col min="12295" max="12295" width="38.1640625" style="822" customWidth="1"/>
    <col min="12296" max="12296" width="49.83203125" style="822" customWidth="1"/>
    <col min="12297" max="12297" width="50" style="822" customWidth="1"/>
    <col min="12298" max="12298" width="38.33203125" style="822" customWidth="1"/>
    <col min="12299" max="12300" width="49.83203125" style="822" customWidth="1"/>
    <col min="12301" max="12301" width="38.1640625" style="822" customWidth="1"/>
    <col min="12302" max="12303" width="50" style="822" customWidth="1"/>
    <col min="12304" max="12304" width="38.33203125" style="822" customWidth="1"/>
    <col min="12305" max="12305" width="50" style="822" customWidth="1"/>
    <col min="12306" max="12306" width="186.33203125" style="822" customWidth="1"/>
    <col min="12307" max="12307" width="50" style="822" customWidth="1"/>
    <col min="12308" max="12308" width="38.33203125" style="822" customWidth="1"/>
    <col min="12309" max="12309" width="49.83203125" style="822" customWidth="1"/>
    <col min="12310" max="12310" width="50" style="822" customWidth="1"/>
    <col min="12311" max="12311" width="45" style="822" customWidth="1"/>
    <col min="12312" max="12313" width="50" style="822" customWidth="1"/>
    <col min="12314" max="12314" width="45" style="822" customWidth="1"/>
    <col min="12315" max="12316" width="50" style="822" customWidth="1"/>
    <col min="12317" max="12317" width="45" style="822" customWidth="1"/>
    <col min="12318" max="12318" width="50.33203125" style="822" customWidth="1"/>
    <col min="12319" max="12319" width="50" style="822" customWidth="1"/>
    <col min="12320" max="12320" width="45" style="822" customWidth="1"/>
    <col min="12321" max="12321" width="50" style="822" customWidth="1"/>
    <col min="12322" max="12323" width="51" style="822" customWidth="1"/>
    <col min="12324" max="12529" width="9.33203125" style="822"/>
    <col min="12530" max="12530" width="186.33203125" style="822" customWidth="1"/>
    <col min="12531" max="12531" width="49.83203125" style="822" customWidth="1"/>
    <col min="12532" max="12532" width="38.33203125" style="822" customWidth="1"/>
    <col min="12533" max="12534" width="50" style="822" customWidth="1"/>
    <col min="12535" max="12535" width="37.6640625" style="822" customWidth="1"/>
    <col min="12536" max="12536" width="50" style="822" customWidth="1"/>
    <col min="12537" max="12537" width="51.33203125" style="822" customWidth="1"/>
    <col min="12538" max="12538" width="38.1640625" style="822" customWidth="1"/>
    <col min="12539" max="12540" width="50" style="822" customWidth="1"/>
    <col min="12541" max="12541" width="38.33203125" style="822" customWidth="1"/>
    <col min="12542" max="12543" width="50" style="822" customWidth="1"/>
    <col min="12544" max="12544" width="38.33203125" style="822" customWidth="1"/>
    <col min="12545" max="12545" width="50" style="822" customWidth="1"/>
    <col min="12546" max="12546" width="186.33203125" style="822" customWidth="1"/>
    <col min="12547" max="12547" width="50" style="822" customWidth="1"/>
    <col min="12548" max="12548" width="38.33203125" style="822" customWidth="1"/>
    <col min="12549" max="12550" width="49.83203125" style="822" customWidth="1"/>
    <col min="12551" max="12551" width="38.1640625" style="822" customWidth="1"/>
    <col min="12552" max="12552" width="49.83203125" style="822" customWidth="1"/>
    <col min="12553" max="12553" width="50" style="822" customWidth="1"/>
    <col min="12554" max="12554" width="38.33203125" style="822" customWidth="1"/>
    <col min="12555" max="12556" width="49.83203125" style="822" customWidth="1"/>
    <col min="12557" max="12557" width="38.1640625" style="822" customWidth="1"/>
    <col min="12558" max="12559" width="50" style="822" customWidth="1"/>
    <col min="12560" max="12560" width="38.33203125" style="822" customWidth="1"/>
    <col min="12561" max="12561" width="50" style="822" customWidth="1"/>
    <col min="12562" max="12562" width="186.33203125" style="822" customWidth="1"/>
    <col min="12563" max="12563" width="50" style="822" customWidth="1"/>
    <col min="12564" max="12564" width="38.33203125" style="822" customWidth="1"/>
    <col min="12565" max="12565" width="49.83203125" style="822" customWidth="1"/>
    <col min="12566" max="12566" width="50" style="822" customWidth="1"/>
    <col min="12567" max="12567" width="45" style="822" customWidth="1"/>
    <col min="12568" max="12569" width="50" style="822" customWidth="1"/>
    <col min="12570" max="12570" width="45" style="822" customWidth="1"/>
    <col min="12571" max="12572" width="50" style="822" customWidth="1"/>
    <col min="12573" max="12573" width="45" style="822" customWidth="1"/>
    <col min="12574" max="12574" width="50.33203125" style="822" customWidth="1"/>
    <col min="12575" max="12575" width="50" style="822" customWidth="1"/>
    <col min="12576" max="12576" width="45" style="822" customWidth="1"/>
    <col min="12577" max="12577" width="50" style="822" customWidth="1"/>
    <col min="12578" max="12579" width="51" style="822" customWidth="1"/>
    <col min="12580" max="12785" width="9.33203125" style="822"/>
    <col min="12786" max="12786" width="186.33203125" style="822" customWidth="1"/>
    <col min="12787" max="12787" width="49.83203125" style="822" customWidth="1"/>
    <col min="12788" max="12788" width="38.33203125" style="822" customWidth="1"/>
    <col min="12789" max="12790" width="50" style="822" customWidth="1"/>
    <col min="12791" max="12791" width="37.6640625" style="822" customWidth="1"/>
    <col min="12792" max="12792" width="50" style="822" customWidth="1"/>
    <col min="12793" max="12793" width="51.33203125" style="822" customWidth="1"/>
    <col min="12794" max="12794" width="38.1640625" style="822" customWidth="1"/>
    <col min="12795" max="12796" width="50" style="822" customWidth="1"/>
    <col min="12797" max="12797" width="38.33203125" style="822" customWidth="1"/>
    <col min="12798" max="12799" width="50" style="822" customWidth="1"/>
    <col min="12800" max="12800" width="38.33203125" style="822" customWidth="1"/>
    <col min="12801" max="12801" width="50" style="822" customWidth="1"/>
    <col min="12802" max="12802" width="186.33203125" style="822" customWidth="1"/>
    <col min="12803" max="12803" width="50" style="822" customWidth="1"/>
    <col min="12804" max="12804" width="38.33203125" style="822" customWidth="1"/>
    <col min="12805" max="12806" width="49.83203125" style="822" customWidth="1"/>
    <col min="12807" max="12807" width="38.1640625" style="822" customWidth="1"/>
    <col min="12808" max="12808" width="49.83203125" style="822" customWidth="1"/>
    <col min="12809" max="12809" width="50" style="822" customWidth="1"/>
    <col min="12810" max="12810" width="38.33203125" style="822" customWidth="1"/>
    <col min="12811" max="12812" width="49.83203125" style="822" customWidth="1"/>
    <col min="12813" max="12813" width="38.1640625" style="822" customWidth="1"/>
    <col min="12814" max="12815" width="50" style="822" customWidth="1"/>
    <col min="12816" max="12816" width="38.33203125" style="822" customWidth="1"/>
    <col min="12817" max="12817" width="50" style="822" customWidth="1"/>
    <col min="12818" max="12818" width="186.33203125" style="822" customWidth="1"/>
    <col min="12819" max="12819" width="50" style="822" customWidth="1"/>
    <col min="12820" max="12820" width="38.33203125" style="822" customWidth="1"/>
    <col min="12821" max="12821" width="49.83203125" style="822" customWidth="1"/>
    <col min="12822" max="12822" width="50" style="822" customWidth="1"/>
    <col min="12823" max="12823" width="45" style="822" customWidth="1"/>
    <col min="12824" max="12825" width="50" style="822" customWidth="1"/>
    <col min="12826" max="12826" width="45" style="822" customWidth="1"/>
    <col min="12827" max="12828" width="50" style="822" customWidth="1"/>
    <col min="12829" max="12829" width="45" style="822" customWidth="1"/>
    <col min="12830" max="12830" width="50.33203125" style="822" customWidth="1"/>
    <col min="12831" max="12831" width="50" style="822" customWidth="1"/>
    <col min="12832" max="12832" width="45" style="822" customWidth="1"/>
    <col min="12833" max="12833" width="50" style="822" customWidth="1"/>
    <col min="12834" max="12835" width="51" style="822" customWidth="1"/>
    <col min="12836" max="13041" width="9.33203125" style="822"/>
    <col min="13042" max="13042" width="186.33203125" style="822" customWidth="1"/>
    <col min="13043" max="13043" width="49.83203125" style="822" customWidth="1"/>
    <col min="13044" max="13044" width="38.33203125" style="822" customWidth="1"/>
    <col min="13045" max="13046" width="50" style="822" customWidth="1"/>
    <col min="13047" max="13047" width="37.6640625" style="822" customWidth="1"/>
    <col min="13048" max="13048" width="50" style="822" customWidth="1"/>
    <col min="13049" max="13049" width="51.33203125" style="822" customWidth="1"/>
    <col min="13050" max="13050" width="38.1640625" style="822" customWidth="1"/>
    <col min="13051" max="13052" width="50" style="822" customWidth="1"/>
    <col min="13053" max="13053" width="38.33203125" style="822" customWidth="1"/>
    <col min="13054" max="13055" width="50" style="822" customWidth="1"/>
    <col min="13056" max="13056" width="38.33203125" style="822" customWidth="1"/>
    <col min="13057" max="13057" width="50" style="822" customWidth="1"/>
    <col min="13058" max="13058" width="186.33203125" style="822" customWidth="1"/>
    <col min="13059" max="13059" width="50" style="822" customWidth="1"/>
    <col min="13060" max="13060" width="38.33203125" style="822" customWidth="1"/>
    <col min="13061" max="13062" width="49.83203125" style="822" customWidth="1"/>
    <col min="13063" max="13063" width="38.1640625" style="822" customWidth="1"/>
    <col min="13064" max="13064" width="49.83203125" style="822" customWidth="1"/>
    <col min="13065" max="13065" width="50" style="822" customWidth="1"/>
    <col min="13066" max="13066" width="38.33203125" style="822" customWidth="1"/>
    <col min="13067" max="13068" width="49.83203125" style="822" customWidth="1"/>
    <col min="13069" max="13069" width="38.1640625" style="822" customWidth="1"/>
    <col min="13070" max="13071" width="50" style="822" customWidth="1"/>
    <col min="13072" max="13072" width="38.33203125" style="822" customWidth="1"/>
    <col min="13073" max="13073" width="50" style="822" customWidth="1"/>
    <col min="13074" max="13074" width="186.33203125" style="822" customWidth="1"/>
    <col min="13075" max="13075" width="50" style="822" customWidth="1"/>
    <col min="13076" max="13076" width="38.33203125" style="822" customWidth="1"/>
    <col min="13077" max="13077" width="49.83203125" style="822" customWidth="1"/>
    <col min="13078" max="13078" width="50" style="822" customWidth="1"/>
    <col min="13079" max="13079" width="45" style="822" customWidth="1"/>
    <col min="13080" max="13081" width="50" style="822" customWidth="1"/>
    <col min="13082" max="13082" width="45" style="822" customWidth="1"/>
    <col min="13083" max="13084" width="50" style="822" customWidth="1"/>
    <col min="13085" max="13085" width="45" style="822" customWidth="1"/>
    <col min="13086" max="13086" width="50.33203125" style="822" customWidth="1"/>
    <col min="13087" max="13087" width="50" style="822" customWidth="1"/>
    <col min="13088" max="13088" width="45" style="822" customWidth="1"/>
    <col min="13089" max="13089" width="50" style="822" customWidth="1"/>
    <col min="13090" max="13091" width="51" style="822" customWidth="1"/>
    <col min="13092" max="13297" width="9.33203125" style="822"/>
    <col min="13298" max="13298" width="186.33203125" style="822" customWidth="1"/>
    <col min="13299" max="13299" width="49.83203125" style="822" customWidth="1"/>
    <col min="13300" max="13300" width="38.33203125" style="822" customWidth="1"/>
    <col min="13301" max="13302" width="50" style="822" customWidth="1"/>
    <col min="13303" max="13303" width="37.6640625" style="822" customWidth="1"/>
    <col min="13304" max="13304" width="50" style="822" customWidth="1"/>
    <col min="13305" max="13305" width="51.33203125" style="822" customWidth="1"/>
    <col min="13306" max="13306" width="38.1640625" style="822" customWidth="1"/>
    <col min="13307" max="13308" width="50" style="822" customWidth="1"/>
    <col min="13309" max="13309" width="38.33203125" style="822" customWidth="1"/>
    <col min="13310" max="13311" width="50" style="822" customWidth="1"/>
    <col min="13312" max="13312" width="38.33203125" style="822" customWidth="1"/>
    <col min="13313" max="13313" width="50" style="822" customWidth="1"/>
    <col min="13314" max="13314" width="186.33203125" style="822" customWidth="1"/>
    <col min="13315" max="13315" width="50" style="822" customWidth="1"/>
    <col min="13316" max="13316" width="38.33203125" style="822" customWidth="1"/>
    <col min="13317" max="13318" width="49.83203125" style="822" customWidth="1"/>
    <col min="13319" max="13319" width="38.1640625" style="822" customWidth="1"/>
    <col min="13320" max="13320" width="49.83203125" style="822" customWidth="1"/>
    <col min="13321" max="13321" width="50" style="822" customWidth="1"/>
    <col min="13322" max="13322" width="38.33203125" style="822" customWidth="1"/>
    <col min="13323" max="13324" width="49.83203125" style="822" customWidth="1"/>
    <col min="13325" max="13325" width="38.1640625" style="822" customWidth="1"/>
    <col min="13326" max="13327" width="50" style="822" customWidth="1"/>
    <col min="13328" max="13328" width="38.33203125" style="822" customWidth="1"/>
    <col min="13329" max="13329" width="50" style="822" customWidth="1"/>
    <col min="13330" max="13330" width="186.33203125" style="822" customWidth="1"/>
    <col min="13331" max="13331" width="50" style="822" customWidth="1"/>
    <col min="13332" max="13332" width="38.33203125" style="822" customWidth="1"/>
    <col min="13333" max="13333" width="49.83203125" style="822" customWidth="1"/>
    <col min="13334" max="13334" width="50" style="822" customWidth="1"/>
    <col min="13335" max="13335" width="45" style="822" customWidth="1"/>
    <col min="13336" max="13337" width="50" style="822" customWidth="1"/>
    <col min="13338" max="13338" width="45" style="822" customWidth="1"/>
    <col min="13339" max="13340" width="50" style="822" customWidth="1"/>
    <col min="13341" max="13341" width="45" style="822" customWidth="1"/>
    <col min="13342" max="13342" width="50.33203125" style="822" customWidth="1"/>
    <col min="13343" max="13343" width="50" style="822" customWidth="1"/>
    <col min="13344" max="13344" width="45" style="822" customWidth="1"/>
    <col min="13345" max="13345" width="50" style="822" customWidth="1"/>
    <col min="13346" max="13347" width="51" style="822" customWidth="1"/>
    <col min="13348" max="13553" width="9.33203125" style="822"/>
    <col min="13554" max="13554" width="186.33203125" style="822" customWidth="1"/>
    <col min="13555" max="13555" width="49.83203125" style="822" customWidth="1"/>
    <col min="13556" max="13556" width="38.33203125" style="822" customWidth="1"/>
    <col min="13557" max="13558" width="50" style="822" customWidth="1"/>
    <col min="13559" max="13559" width="37.6640625" style="822" customWidth="1"/>
    <col min="13560" max="13560" width="50" style="822" customWidth="1"/>
    <col min="13561" max="13561" width="51.33203125" style="822" customWidth="1"/>
    <col min="13562" max="13562" width="38.1640625" style="822" customWidth="1"/>
    <col min="13563" max="13564" width="50" style="822" customWidth="1"/>
    <col min="13565" max="13565" width="38.33203125" style="822" customWidth="1"/>
    <col min="13566" max="13567" width="50" style="822" customWidth="1"/>
    <col min="13568" max="13568" width="38.33203125" style="822" customWidth="1"/>
    <col min="13569" max="13569" width="50" style="822" customWidth="1"/>
    <col min="13570" max="13570" width="186.33203125" style="822" customWidth="1"/>
    <col min="13571" max="13571" width="50" style="822" customWidth="1"/>
    <col min="13572" max="13572" width="38.33203125" style="822" customWidth="1"/>
    <col min="13573" max="13574" width="49.83203125" style="822" customWidth="1"/>
    <col min="13575" max="13575" width="38.1640625" style="822" customWidth="1"/>
    <col min="13576" max="13576" width="49.83203125" style="822" customWidth="1"/>
    <col min="13577" max="13577" width="50" style="822" customWidth="1"/>
    <col min="13578" max="13578" width="38.33203125" style="822" customWidth="1"/>
    <col min="13579" max="13580" width="49.83203125" style="822" customWidth="1"/>
    <col min="13581" max="13581" width="38.1640625" style="822" customWidth="1"/>
    <col min="13582" max="13583" width="50" style="822" customWidth="1"/>
    <col min="13584" max="13584" width="38.33203125" style="822" customWidth="1"/>
    <col min="13585" max="13585" width="50" style="822" customWidth="1"/>
    <col min="13586" max="13586" width="186.33203125" style="822" customWidth="1"/>
    <col min="13587" max="13587" width="50" style="822" customWidth="1"/>
    <col min="13588" max="13588" width="38.33203125" style="822" customWidth="1"/>
    <col min="13589" max="13589" width="49.83203125" style="822" customWidth="1"/>
    <col min="13590" max="13590" width="50" style="822" customWidth="1"/>
    <col min="13591" max="13591" width="45" style="822" customWidth="1"/>
    <col min="13592" max="13593" width="50" style="822" customWidth="1"/>
    <col min="13594" max="13594" width="45" style="822" customWidth="1"/>
    <col min="13595" max="13596" width="50" style="822" customWidth="1"/>
    <col min="13597" max="13597" width="45" style="822" customWidth="1"/>
    <col min="13598" max="13598" width="50.33203125" style="822" customWidth="1"/>
    <col min="13599" max="13599" width="50" style="822" customWidth="1"/>
    <col min="13600" max="13600" width="45" style="822" customWidth="1"/>
    <col min="13601" max="13601" width="50" style="822" customWidth="1"/>
    <col min="13602" max="13603" width="51" style="822" customWidth="1"/>
    <col min="13604" max="13809" width="9.33203125" style="822"/>
    <col min="13810" max="13810" width="186.33203125" style="822" customWidth="1"/>
    <col min="13811" max="13811" width="49.83203125" style="822" customWidth="1"/>
    <col min="13812" max="13812" width="38.33203125" style="822" customWidth="1"/>
    <col min="13813" max="13814" width="50" style="822" customWidth="1"/>
    <col min="13815" max="13815" width="37.6640625" style="822" customWidth="1"/>
    <col min="13816" max="13816" width="50" style="822" customWidth="1"/>
    <col min="13817" max="13817" width="51.33203125" style="822" customWidth="1"/>
    <col min="13818" max="13818" width="38.1640625" style="822" customWidth="1"/>
    <col min="13819" max="13820" width="50" style="822" customWidth="1"/>
    <col min="13821" max="13821" width="38.33203125" style="822" customWidth="1"/>
    <col min="13822" max="13823" width="50" style="822" customWidth="1"/>
    <col min="13824" max="13824" width="38.33203125" style="822" customWidth="1"/>
    <col min="13825" max="13825" width="50" style="822" customWidth="1"/>
    <col min="13826" max="13826" width="186.33203125" style="822" customWidth="1"/>
    <col min="13827" max="13827" width="50" style="822" customWidth="1"/>
    <col min="13828" max="13828" width="38.33203125" style="822" customWidth="1"/>
    <col min="13829" max="13830" width="49.83203125" style="822" customWidth="1"/>
    <col min="13831" max="13831" width="38.1640625" style="822" customWidth="1"/>
    <col min="13832" max="13832" width="49.83203125" style="822" customWidth="1"/>
    <col min="13833" max="13833" width="50" style="822" customWidth="1"/>
    <col min="13834" max="13834" width="38.33203125" style="822" customWidth="1"/>
    <col min="13835" max="13836" width="49.83203125" style="822" customWidth="1"/>
    <col min="13837" max="13837" width="38.1640625" style="822" customWidth="1"/>
    <col min="13838" max="13839" width="50" style="822" customWidth="1"/>
    <col min="13840" max="13840" width="38.33203125" style="822" customWidth="1"/>
    <col min="13841" max="13841" width="50" style="822" customWidth="1"/>
    <col min="13842" max="13842" width="186.33203125" style="822" customWidth="1"/>
    <col min="13843" max="13843" width="50" style="822" customWidth="1"/>
    <col min="13844" max="13844" width="38.33203125" style="822" customWidth="1"/>
    <col min="13845" max="13845" width="49.83203125" style="822" customWidth="1"/>
    <col min="13846" max="13846" width="50" style="822" customWidth="1"/>
    <col min="13847" max="13847" width="45" style="822" customWidth="1"/>
    <col min="13848" max="13849" width="50" style="822" customWidth="1"/>
    <col min="13850" max="13850" width="45" style="822" customWidth="1"/>
    <col min="13851" max="13852" width="50" style="822" customWidth="1"/>
    <col min="13853" max="13853" width="45" style="822" customWidth="1"/>
    <col min="13854" max="13854" width="50.33203125" style="822" customWidth="1"/>
    <col min="13855" max="13855" width="50" style="822" customWidth="1"/>
    <col min="13856" max="13856" width="45" style="822" customWidth="1"/>
    <col min="13857" max="13857" width="50" style="822" customWidth="1"/>
    <col min="13858" max="13859" width="51" style="822" customWidth="1"/>
    <col min="13860" max="14065" width="9.33203125" style="822"/>
    <col min="14066" max="14066" width="186.33203125" style="822" customWidth="1"/>
    <col min="14067" max="14067" width="49.83203125" style="822" customWidth="1"/>
    <col min="14068" max="14068" width="38.33203125" style="822" customWidth="1"/>
    <col min="14069" max="14070" width="50" style="822" customWidth="1"/>
    <col min="14071" max="14071" width="37.6640625" style="822" customWidth="1"/>
    <col min="14072" max="14072" width="50" style="822" customWidth="1"/>
    <col min="14073" max="14073" width="51.33203125" style="822" customWidth="1"/>
    <col min="14074" max="14074" width="38.1640625" style="822" customWidth="1"/>
    <col min="14075" max="14076" width="50" style="822" customWidth="1"/>
    <col min="14077" max="14077" width="38.33203125" style="822" customWidth="1"/>
    <col min="14078" max="14079" width="50" style="822" customWidth="1"/>
    <col min="14080" max="14080" width="38.33203125" style="822" customWidth="1"/>
    <col min="14081" max="14081" width="50" style="822" customWidth="1"/>
    <col min="14082" max="14082" width="186.33203125" style="822" customWidth="1"/>
    <col min="14083" max="14083" width="50" style="822" customWidth="1"/>
    <col min="14084" max="14084" width="38.33203125" style="822" customWidth="1"/>
    <col min="14085" max="14086" width="49.83203125" style="822" customWidth="1"/>
    <col min="14087" max="14087" width="38.1640625" style="822" customWidth="1"/>
    <col min="14088" max="14088" width="49.83203125" style="822" customWidth="1"/>
    <col min="14089" max="14089" width="50" style="822" customWidth="1"/>
    <col min="14090" max="14090" width="38.33203125" style="822" customWidth="1"/>
    <col min="14091" max="14092" width="49.83203125" style="822" customWidth="1"/>
    <col min="14093" max="14093" width="38.1640625" style="822" customWidth="1"/>
    <col min="14094" max="14095" width="50" style="822" customWidth="1"/>
    <col min="14096" max="14096" width="38.33203125" style="822" customWidth="1"/>
    <col min="14097" max="14097" width="50" style="822" customWidth="1"/>
    <col min="14098" max="14098" width="186.33203125" style="822" customWidth="1"/>
    <col min="14099" max="14099" width="50" style="822" customWidth="1"/>
    <col min="14100" max="14100" width="38.33203125" style="822" customWidth="1"/>
    <col min="14101" max="14101" width="49.83203125" style="822" customWidth="1"/>
    <col min="14102" max="14102" width="50" style="822" customWidth="1"/>
    <col min="14103" max="14103" width="45" style="822" customWidth="1"/>
    <col min="14104" max="14105" width="50" style="822" customWidth="1"/>
    <col min="14106" max="14106" width="45" style="822" customWidth="1"/>
    <col min="14107" max="14108" width="50" style="822" customWidth="1"/>
    <col min="14109" max="14109" width="45" style="822" customWidth="1"/>
    <col min="14110" max="14110" width="50.33203125" style="822" customWidth="1"/>
    <col min="14111" max="14111" width="50" style="822" customWidth="1"/>
    <col min="14112" max="14112" width="45" style="822" customWidth="1"/>
    <col min="14113" max="14113" width="50" style="822" customWidth="1"/>
    <col min="14114" max="14115" width="51" style="822" customWidth="1"/>
    <col min="14116" max="14321" width="9.33203125" style="822"/>
    <col min="14322" max="14322" width="186.33203125" style="822" customWidth="1"/>
    <col min="14323" max="14323" width="49.83203125" style="822" customWidth="1"/>
    <col min="14324" max="14324" width="38.33203125" style="822" customWidth="1"/>
    <col min="14325" max="14326" width="50" style="822" customWidth="1"/>
    <col min="14327" max="14327" width="37.6640625" style="822" customWidth="1"/>
    <col min="14328" max="14328" width="50" style="822" customWidth="1"/>
    <col min="14329" max="14329" width="51.33203125" style="822" customWidth="1"/>
    <col min="14330" max="14330" width="38.1640625" style="822" customWidth="1"/>
    <col min="14331" max="14332" width="50" style="822" customWidth="1"/>
    <col min="14333" max="14333" width="38.33203125" style="822" customWidth="1"/>
    <col min="14334" max="14335" width="50" style="822" customWidth="1"/>
    <col min="14336" max="14336" width="38.33203125" style="822" customWidth="1"/>
    <col min="14337" max="14337" width="50" style="822" customWidth="1"/>
    <col min="14338" max="14338" width="186.33203125" style="822" customWidth="1"/>
    <col min="14339" max="14339" width="50" style="822" customWidth="1"/>
    <col min="14340" max="14340" width="38.33203125" style="822" customWidth="1"/>
    <col min="14341" max="14342" width="49.83203125" style="822" customWidth="1"/>
    <col min="14343" max="14343" width="38.1640625" style="822" customWidth="1"/>
    <col min="14344" max="14344" width="49.83203125" style="822" customWidth="1"/>
    <col min="14345" max="14345" width="50" style="822" customWidth="1"/>
    <col min="14346" max="14346" width="38.33203125" style="822" customWidth="1"/>
    <col min="14347" max="14348" width="49.83203125" style="822" customWidth="1"/>
    <col min="14349" max="14349" width="38.1640625" style="822" customWidth="1"/>
    <col min="14350" max="14351" width="50" style="822" customWidth="1"/>
    <col min="14352" max="14352" width="38.33203125" style="822" customWidth="1"/>
    <col min="14353" max="14353" width="50" style="822" customWidth="1"/>
    <col min="14354" max="14354" width="186.33203125" style="822" customWidth="1"/>
    <col min="14355" max="14355" width="50" style="822" customWidth="1"/>
    <col min="14356" max="14356" width="38.33203125" style="822" customWidth="1"/>
    <col min="14357" max="14357" width="49.83203125" style="822" customWidth="1"/>
    <col min="14358" max="14358" width="50" style="822" customWidth="1"/>
    <col min="14359" max="14359" width="45" style="822" customWidth="1"/>
    <col min="14360" max="14361" width="50" style="822" customWidth="1"/>
    <col min="14362" max="14362" width="45" style="822" customWidth="1"/>
    <col min="14363" max="14364" width="50" style="822" customWidth="1"/>
    <col min="14365" max="14365" width="45" style="822" customWidth="1"/>
    <col min="14366" max="14366" width="50.33203125" style="822" customWidth="1"/>
    <col min="14367" max="14367" width="50" style="822" customWidth="1"/>
    <col min="14368" max="14368" width="45" style="822" customWidth="1"/>
    <col min="14369" max="14369" width="50" style="822" customWidth="1"/>
    <col min="14370" max="14371" width="51" style="822" customWidth="1"/>
    <col min="14372" max="14577" width="9.33203125" style="822"/>
    <col min="14578" max="14578" width="186.33203125" style="822" customWidth="1"/>
    <col min="14579" max="14579" width="49.83203125" style="822" customWidth="1"/>
    <col min="14580" max="14580" width="38.33203125" style="822" customWidth="1"/>
    <col min="14581" max="14582" width="50" style="822" customWidth="1"/>
    <col min="14583" max="14583" width="37.6640625" style="822" customWidth="1"/>
    <col min="14584" max="14584" width="50" style="822" customWidth="1"/>
    <col min="14585" max="14585" width="51.33203125" style="822" customWidth="1"/>
    <col min="14586" max="14586" width="38.1640625" style="822" customWidth="1"/>
    <col min="14587" max="14588" width="50" style="822" customWidth="1"/>
    <col min="14589" max="14589" width="38.33203125" style="822" customWidth="1"/>
    <col min="14590" max="14591" width="50" style="822" customWidth="1"/>
    <col min="14592" max="14592" width="38.33203125" style="822" customWidth="1"/>
    <col min="14593" max="14593" width="50" style="822" customWidth="1"/>
    <col min="14594" max="14594" width="186.33203125" style="822" customWidth="1"/>
    <col min="14595" max="14595" width="50" style="822" customWidth="1"/>
    <col min="14596" max="14596" width="38.33203125" style="822" customWidth="1"/>
    <col min="14597" max="14598" width="49.83203125" style="822" customWidth="1"/>
    <col min="14599" max="14599" width="38.1640625" style="822" customWidth="1"/>
    <col min="14600" max="14600" width="49.83203125" style="822" customWidth="1"/>
    <col min="14601" max="14601" width="50" style="822" customWidth="1"/>
    <col min="14602" max="14602" width="38.33203125" style="822" customWidth="1"/>
    <col min="14603" max="14604" width="49.83203125" style="822" customWidth="1"/>
    <col min="14605" max="14605" width="38.1640625" style="822" customWidth="1"/>
    <col min="14606" max="14607" width="50" style="822" customWidth="1"/>
    <col min="14608" max="14608" width="38.33203125" style="822" customWidth="1"/>
    <col min="14609" max="14609" width="50" style="822" customWidth="1"/>
    <col min="14610" max="14610" width="186.33203125" style="822" customWidth="1"/>
    <col min="14611" max="14611" width="50" style="822" customWidth="1"/>
    <col min="14612" max="14612" width="38.33203125" style="822" customWidth="1"/>
    <col min="14613" max="14613" width="49.83203125" style="822" customWidth="1"/>
    <col min="14614" max="14614" width="50" style="822" customWidth="1"/>
    <col min="14615" max="14615" width="45" style="822" customWidth="1"/>
    <col min="14616" max="14617" width="50" style="822" customWidth="1"/>
    <col min="14618" max="14618" width="45" style="822" customWidth="1"/>
    <col min="14619" max="14620" width="50" style="822" customWidth="1"/>
    <col min="14621" max="14621" width="45" style="822" customWidth="1"/>
    <col min="14622" max="14622" width="50.33203125" style="822" customWidth="1"/>
    <col min="14623" max="14623" width="50" style="822" customWidth="1"/>
    <col min="14624" max="14624" width="45" style="822" customWidth="1"/>
    <col min="14625" max="14625" width="50" style="822" customWidth="1"/>
    <col min="14626" max="14627" width="51" style="822" customWidth="1"/>
    <col min="14628" max="14833" width="9.33203125" style="822"/>
    <col min="14834" max="14834" width="186.33203125" style="822" customWidth="1"/>
    <col min="14835" max="14835" width="49.83203125" style="822" customWidth="1"/>
    <col min="14836" max="14836" width="38.33203125" style="822" customWidth="1"/>
    <col min="14837" max="14838" width="50" style="822" customWidth="1"/>
    <col min="14839" max="14839" width="37.6640625" style="822" customWidth="1"/>
    <col min="14840" max="14840" width="50" style="822" customWidth="1"/>
    <col min="14841" max="14841" width="51.33203125" style="822" customWidth="1"/>
    <col min="14842" max="14842" width="38.1640625" style="822" customWidth="1"/>
    <col min="14843" max="14844" width="50" style="822" customWidth="1"/>
    <col min="14845" max="14845" width="38.33203125" style="822" customWidth="1"/>
    <col min="14846" max="14847" width="50" style="822" customWidth="1"/>
    <col min="14848" max="14848" width="38.33203125" style="822" customWidth="1"/>
    <col min="14849" max="14849" width="50" style="822" customWidth="1"/>
    <col min="14850" max="14850" width="186.33203125" style="822" customWidth="1"/>
    <col min="14851" max="14851" width="50" style="822" customWidth="1"/>
    <col min="14852" max="14852" width="38.33203125" style="822" customWidth="1"/>
    <col min="14853" max="14854" width="49.83203125" style="822" customWidth="1"/>
    <col min="14855" max="14855" width="38.1640625" style="822" customWidth="1"/>
    <col min="14856" max="14856" width="49.83203125" style="822" customWidth="1"/>
    <col min="14857" max="14857" width="50" style="822" customWidth="1"/>
    <col min="14858" max="14858" width="38.33203125" style="822" customWidth="1"/>
    <col min="14859" max="14860" width="49.83203125" style="822" customWidth="1"/>
    <col min="14861" max="14861" width="38.1640625" style="822" customWidth="1"/>
    <col min="14862" max="14863" width="50" style="822" customWidth="1"/>
    <col min="14864" max="14864" width="38.33203125" style="822" customWidth="1"/>
    <col min="14865" max="14865" width="50" style="822" customWidth="1"/>
    <col min="14866" max="14866" width="186.33203125" style="822" customWidth="1"/>
    <col min="14867" max="14867" width="50" style="822" customWidth="1"/>
    <col min="14868" max="14868" width="38.33203125" style="822" customWidth="1"/>
    <col min="14869" max="14869" width="49.83203125" style="822" customWidth="1"/>
    <col min="14870" max="14870" width="50" style="822" customWidth="1"/>
    <col min="14871" max="14871" width="45" style="822" customWidth="1"/>
    <col min="14872" max="14873" width="50" style="822" customWidth="1"/>
    <col min="14874" max="14874" width="45" style="822" customWidth="1"/>
    <col min="14875" max="14876" width="50" style="822" customWidth="1"/>
    <col min="14877" max="14877" width="45" style="822" customWidth="1"/>
    <col min="14878" max="14878" width="50.33203125" style="822" customWidth="1"/>
    <col min="14879" max="14879" width="50" style="822" customWidth="1"/>
    <col min="14880" max="14880" width="45" style="822" customWidth="1"/>
    <col min="14881" max="14881" width="50" style="822" customWidth="1"/>
    <col min="14882" max="14883" width="51" style="822" customWidth="1"/>
    <col min="14884" max="15089" width="9.33203125" style="822"/>
    <col min="15090" max="15090" width="186.33203125" style="822" customWidth="1"/>
    <col min="15091" max="15091" width="49.83203125" style="822" customWidth="1"/>
    <col min="15092" max="15092" width="38.33203125" style="822" customWidth="1"/>
    <col min="15093" max="15094" width="50" style="822" customWidth="1"/>
    <col min="15095" max="15095" width="37.6640625" style="822" customWidth="1"/>
    <col min="15096" max="15096" width="50" style="822" customWidth="1"/>
    <col min="15097" max="15097" width="51.33203125" style="822" customWidth="1"/>
    <col min="15098" max="15098" width="38.1640625" style="822" customWidth="1"/>
    <col min="15099" max="15100" width="50" style="822" customWidth="1"/>
    <col min="15101" max="15101" width="38.33203125" style="822" customWidth="1"/>
    <col min="15102" max="15103" width="50" style="822" customWidth="1"/>
    <col min="15104" max="15104" width="38.33203125" style="822" customWidth="1"/>
    <col min="15105" max="15105" width="50" style="822" customWidth="1"/>
    <col min="15106" max="15106" width="186.33203125" style="822" customWidth="1"/>
    <col min="15107" max="15107" width="50" style="822" customWidth="1"/>
    <col min="15108" max="15108" width="38.33203125" style="822" customWidth="1"/>
    <col min="15109" max="15110" width="49.83203125" style="822" customWidth="1"/>
    <col min="15111" max="15111" width="38.1640625" style="822" customWidth="1"/>
    <col min="15112" max="15112" width="49.83203125" style="822" customWidth="1"/>
    <col min="15113" max="15113" width="50" style="822" customWidth="1"/>
    <col min="15114" max="15114" width="38.33203125" style="822" customWidth="1"/>
    <col min="15115" max="15116" width="49.83203125" style="822" customWidth="1"/>
    <col min="15117" max="15117" width="38.1640625" style="822" customWidth="1"/>
    <col min="15118" max="15119" width="50" style="822" customWidth="1"/>
    <col min="15120" max="15120" width="38.33203125" style="822" customWidth="1"/>
    <col min="15121" max="15121" width="50" style="822" customWidth="1"/>
    <col min="15122" max="15122" width="186.33203125" style="822" customWidth="1"/>
    <col min="15123" max="15123" width="50" style="822" customWidth="1"/>
    <col min="15124" max="15124" width="38.33203125" style="822" customWidth="1"/>
    <col min="15125" max="15125" width="49.83203125" style="822" customWidth="1"/>
    <col min="15126" max="15126" width="50" style="822" customWidth="1"/>
    <col min="15127" max="15127" width="45" style="822" customWidth="1"/>
    <col min="15128" max="15129" width="50" style="822" customWidth="1"/>
    <col min="15130" max="15130" width="45" style="822" customWidth="1"/>
    <col min="15131" max="15132" width="50" style="822" customWidth="1"/>
    <col min="15133" max="15133" width="45" style="822" customWidth="1"/>
    <col min="15134" max="15134" width="50.33203125" style="822" customWidth="1"/>
    <col min="15135" max="15135" width="50" style="822" customWidth="1"/>
    <col min="15136" max="15136" width="45" style="822" customWidth="1"/>
    <col min="15137" max="15137" width="50" style="822" customWidth="1"/>
    <col min="15138" max="15139" width="51" style="822" customWidth="1"/>
    <col min="15140" max="15345" width="9.33203125" style="822"/>
    <col min="15346" max="15346" width="186.33203125" style="822" customWidth="1"/>
    <col min="15347" max="15347" width="49.83203125" style="822" customWidth="1"/>
    <col min="15348" max="15348" width="38.33203125" style="822" customWidth="1"/>
    <col min="15349" max="15350" width="50" style="822" customWidth="1"/>
    <col min="15351" max="15351" width="37.6640625" style="822" customWidth="1"/>
    <col min="15352" max="15352" width="50" style="822" customWidth="1"/>
    <col min="15353" max="15353" width="51.33203125" style="822" customWidth="1"/>
    <col min="15354" max="15354" width="38.1640625" style="822" customWidth="1"/>
    <col min="15355" max="15356" width="50" style="822" customWidth="1"/>
    <col min="15357" max="15357" width="38.33203125" style="822" customWidth="1"/>
    <col min="15358" max="15359" width="50" style="822" customWidth="1"/>
    <col min="15360" max="15360" width="38.33203125" style="822" customWidth="1"/>
    <col min="15361" max="15361" width="50" style="822" customWidth="1"/>
    <col min="15362" max="15362" width="186.33203125" style="822" customWidth="1"/>
    <col min="15363" max="15363" width="50" style="822" customWidth="1"/>
    <col min="15364" max="15364" width="38.33203125" style="822" customWidth="1"/>
    <col min="15365" max="15366" width="49.83203125" style="822" customWidth="1"/>
    <col min="15367" max="15367" width="38.1640625" style="822" customWidth="1"/>
    <col min="15368" max="15368" width="49.83203125" style="822" customWidth="1"/>
    <col min="15369" max="15369" width="50" style="822" customWidth="1"/>
    <col min="15370" max="15370" width="38.33203125" style="822" customWidth="1"/>
    <col min="15371" max="15372" width="49.83203125" style="822" customWidth="1"/>
    <col min="15373" max="15373" width="38.1640625" style="822" customWidth="1"/>
    <col min="15374" max="15375" width="50" style="822" customWidth="1"/>
    <col min="15376" max="15376" width="38.33203125" style="822" customWidth="1"/>
    <col min="15377" max="15377" width="50" style="822" customWidth="1"/>
    <col min="15378" max="15378" width="186.33203125" style="822" customWidth="1"/>
    <col min="15379" max="15379" width="50" style="822" customWidth="1"/>
    <col min="15380" max="15380" width="38.33203125" style="822" customWidth="1"/>
    <col min="15381" max="15381" width="49.83203125" style="822" customWidth="1"/>
    <col min="15382" max="15382" width="50" style="822" customWidth="1"/>
    <col min="15383" max="15383" width="45" style="822" customWidth="1"/>
    <col min="15384" max="15385" width="50" style="822" customWidth="1"/>
    <col min="15386" max="15386" width="45" style="822" customWidth="1"/>
    <col min="15387" max="15388" width="50" style="822" customWidth="1"/>
    <col min="15389" max="15389" width="45" style="822" customWidth="1"/>
    <col min="15390" max="15390" width="50.33203125" style="822" customWidth="1"/>
    <col min="15391" max="15391" width="50" style="822" customWidth="1"/>
    <col min="15392" max="15392" width="45" style="822" customWidth="1"/>
    <col min="15393" max="15393" width="50" style="822" customWidth="1"/>
    <col min="15394" max="15395" width="51" style="822" customWidth="1"/>
    <col min="15396" max="15601" width="9.33203125" style="822"/>
    <col min="15602" max="15602" width="186.33203125" style="822" customWidth="1"/>
    <col min="15603" max="15603" width="49.83203125" style="822" customWidth="1"/>
    <col min="15604" max="15604" width="38.33203125" style="822" customWidth="1"/>
    <col min="15605" max="15606" width="50" style="822" customWidth="1"/>
    <col min="15607" max="15607" width="37.6640625" style="822" customWidth="1"/>
    <col min="15608" max="15608" width="50" style="822" customWidth="1"/>
    <col min="15609" max="15609" width="51.33203125" style="822" customWidth="1"/>
    <col min="15610" max="15610" width="38.1640625" style="822" customWidth="1"/>
    <col min="15611" max="15612" width="50" style="822" customWidth="1"/>
    <col min="15613" max="15613" width="38.33203125" style="822" customWidth="1"/>
    <col min="15614" max="15615" width="50" style="822" customWidth="1"/>
    <col min="15616" max="15616" width="38.33203125" style="822" customWidth="1"/>
    <col min="15617" max="15617" width="50" style="822" customWidth="1"/>
    <col min="15618" max="15618" width="186.33203125" style="822" customWidth="1"/>
    <col min="15619" max="15619" width="50" style="822" customWidth="1"/>
    <col min="15620" max="15620" width="38.33203125" style="822" customWidth="1"/>
    <col min="15621" max="15622" width="49.83203125" style="822" customWidth="1"/>
    <col min="15623" max="15623" width="38.1640625" style="822" customWidth="1"/>
    <col min="15624" max="15624" width="49.83203125" style="822" customWidth="1"/>
    <col min="15625" max="15625" width="50" style="822" customWidth="1"/>
    <col min="15626" max="15626" width="38.33203125" style="822" customWidth="1"/>
    <col min="15627" max="15628" width="49.83203125" style="822" customWidth="1"/>
    <col min="15629" max="15629" width="38.1640625" style="822" customWidth="1"/>
    <col min="15630" max="15631" width="50" style="822" customWidth="1"/>
    <col min="15632" max="15632" width="38.33203125" style="822" customWidth="1"/>
    <col min="15633" max="15633" width="50" style="822" customWidth="1"/>
    <col min="15634" max="15634" width="186.33203125" style="822" customWidth="1"/>
    <col min="15635" max="15635" width="50" style="822" customWidth="1"/>
    <col min="15636" max="15636" width="38.33203125" style="822" customWidth="1"/>
    <col min="15637" max="15637" width="49.83203125" style="822" customWidth="1"/>
    <col min="15638" max="15638" width="50" style="822" customWidth="1"/>
    <col min="15639" max="15639" width="45" style="822" customWidth="1"/>
    <col min="15640" max="15641" width="50" style="822" customWidth="1"/>
    <col min="15642" max="15642" width="45" style="822" customWidth="1"/>
    <col min="15643" max="15644" width="50" style="822" customWidth="1"/>
    <col min="15645" max="15645" width="45" style="822" customWidth="1"/>
    <col min="15646" max="15646" width="50.33203125" style="822" customWidth="1"/>
    <col min="15647" max="15647" width="50" style="822" customWidth="1"/>
    <col min="15648" max="15648" width="45" style="822" customWidth="1"/>
    <col min="15649" max="15649" width="50" style="822" customWidth="1"/>
    <col min="15650" max="15651" width="51" style="822" customWidth="1"/>
    <col min="15652" max="15857" width="9.33203125" style="822"/>
    <col min="15858" max="15858" width="186.33203125" style="822" customWidth="1"/>
    <col min="15859" max="15859" width="49.83203125" style="822" customWidth="1"/>
    <col min="15860" max="15860" width="38.33203125" style="822" customWidth="1"/>
    <col min="15861" max="15862" width="50" style="822" customWidth="1"/>
    <col min="15863" max="15863" width="37.6640625" style="822" customWidth="1"/>
    <col min="15864" max="15864" width="50" style="822" customWidth="1"/>
    <col min="15865" max="15865" width="51.33203125" style="822" customWidth="1"/>
    <col min="15866" max="15866" width="38.1640625" style="822" customWidth="1"/>
    <col min="15867" max="15868" width="50" style="822" customWidth="1"/>
    <col min="15869" max="15869" width="38.33203125" style="822" customWidth="1"/>
    <col min="15870" max="15871" width="50" style="822" customWidth="1"/>
    <col min="15872" max="15872" width="38.33203125" style="822" customWidth="1"/>
    <col min="15873" max="15873" width="50" style="822" customWidth="1"/>
    <col min="15874" max="15874" width="186.33203125" style="822" customWidth="1"/>
    <col min="15875" max="15875" width="50" style="822" customWidth="1"/>
    <col min="15876" max="15876" width="38.33203125" style="822" customWidth="1"/>
    <col min="15877" max="15878" width="49.83203125" style="822" customWidth="1"/>
    <col min="15879" max="15879" width="38.1640625" style="822" customWidth="1"/>
    <col min="15880" max="15880" width="49.83203125" style="822" customWidth="1"/>
    <col min="15881" max="15881" width="50" style="822" customWidth="1"/>
    <col min="15882" max="15882" width="38.33203125" style="822" customWidth="1"/>
    <col min="15883" max="15884" width="49.83203125" style="822" customWidth="1"/>
    <col min="15885" max="15885" width="38.1640625" style="822" customWidth="1"/>
    <col min="15886" max="15887" width="50" style="822" customWidth="1"/>
    <col min="15888" max="15888" width="38.33203125" style="822" customWidth="1"/>
    <col min="15889" max="15889" width="50" style="822" customWidth="1"/>
    <col min="15890" max="15890" width="186.33203125" style="822" customWidth="1"/>
    <col min="15891" max="15891" width="50" style="822" customWidth="1"/>
    <col min="15892" max="15892" width="38.33203125" style="822" customWidth="1"/>
    <col min="15893" max="15893" width="49.83203125" style="822" customWidth="1"/>
    <col min="15894" max="15894" width="50" style="822" customWidth="1"/>
    <col min="15895" max="15895" width="45" style="822" customWidth="1"/>
    <col min="15896" max="15897" width="50" style="822" customWidth="1"/>
    <col min="15898" max="15898" width="45" style="822" customWidth="1"/>
    <col min="15899" max="15900" width="50" style="822" customWidth="1"/>
    <col min="15901" max="15901" width="45" style="822" customWidth="1"/>
    <col min="15902" max="15902" width="50.33203125" style="822" customWidth="1"/>
    <col min="15903" max="15903" width="50" style="822" customWidth="1"/>
    <col min="15904" max="15904" width="45" style="822" customWidth="1"/>
    <col min="15905" max="15905" width="50" style="822" customWidth="1"/>
    <col min="15906" max="15907" width="51" style="822" customWidth="1"/>
    <col min="15908" max="16113" width="9.33203125" style="822"/>
    <col min="16114" max="16114" width="186.33203125" style="822" customWidth="1"/>
    <col min="16115" max="16115" width="49.83203125" style="822" customWidth="1"/>
    <col min="16116" max="16116" width="38.33203125" style="822" customWidth="1"/>
    <col min="16117" max="16118" width="50" style="822" customWidth="1"/>
    <col min="16119" max="16119" width="37.6640625" style="822" customWidth="1"/>
    <col min="16120" max="16120" width="50" style="822" customWidth="1"/>
    <col min="16121" max="16121" width="51.33203125" style="822" customWidth="1"/>
    <col min="16122" max="16122" width="38.1640625" style="822" customWidth="1"/>
    <col min="16123" max="16124" width="50" style="822" customWidth="1"/>
    <col min="16125" max="16125" width="38.33203125" style="822" customWidth="1"/>
    <col min="16126" max="16127" width="50" style="822" customWidth="1"/>
    <col min="16128" max="16128" width="38.33203125" style="822" customWidth="1"/>
    <col min="16129" max="16129" width="50" style="822" customWidth="1"/>
    <col min="16130" max="16130" width="186.33203125" style="822" customWidth="1"/>
    <col min="16131" max="16131" width="50" style="822" customWidth="1"/>
    <col min="16132" max="16132" width="38.33203125" style="822" customWidth="1"/>
    <col min="16133" max="16134" width="49.83203125" style="822" customWidth="1"/>
    <col min="16135" max="16135" width="38.1640625" style="822" customWidth="1"/>
    <col min="16136" max="16136" width="49.83203125" style="822" customWidth="1"/>
    <col min="16137" max="16137" width="50" style="822" customWidth="1"/>
    <col min="16138" max="16138" width="38.33203125" style="822" customWidth="1"/>
    <col min="16139" max="16140" width="49.83203125" style="822" customWidth="1"/>
    <col min="16141" max="16141" width="38.1640625" style="822" customWidth="1"/>
    <col min="16142" max="16143" width="50" style="822" customWidth="1"/>
    <col min="16144" max="16144" width="38.33203125" style="822" customWidth="1"/>
    <col min="16145" max="16145" width="50" style="822" customWidth="1"/>
    <col min="16146" max="16146" width="186.33203125" style="822" customWidth="1"/>
    <col min="16147" max="16147" width="50" style="822" customWidth="1"/>
    <col min="16148" max="16148" width="38.33203125" style="822" customWidth="1"/>
    <col min="16149" max="16149" width="49.83203125" style="822" customWidth="1"/>
    <col min="16150" max="16150" width="50" style="822" customWidth="1"/>
    <col min="16151" max="16151" width="45" style="822" customWidth="1"/>
    <col min="16152" max="16153" width="50" style="822" customWidth="1"/>
    <col min="16154" max="16154" width="45" style="822" customWidth="1"/>
    <col min="16155" max="16156" width="50" style="822" customWidth="1"/>
    <col min="16157" max="16157" width="45" style="822" customWidth="1"/>
    <col min="16158" max="16158" width="50.33203125" style="822" customWidth="1"/>
    <col min="16159" max="16159" width="50" style="822" customWidth="1"/>
    <col min="16160" max="16160" width="45" style="822" customWidth="1"/>
    <col min="16161" max="16161" width="50" style="822" customWidth="1"/>
    <col min="16162" max="16163" width="51" style="822" customWidth="1"/>
    <col min="16164" max="16384" width="9.33203125" style="822"/>
  </cols>
  <sheetData>
    <row r="3" spans="1:48" ht="54" customHeight="1" x14ac:dyDescent="0.6">
      <c r="A3" s="821"/>
      <c r="B3" s="979" t="s">
        <v>389</v>
      </c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  <c r="O3" s="979"/>
      <c r="P3" s="979"/>
      <c r="R3" s="980" t="s">
        <v>389</v>
      </c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H3" s="980" t="s">
        <v>389</v>
      </c>
      <c r="AI3" s="980"/>
      <c r="AJ3" s="980"/>
      <c r="AK3" s="980"/>
      <c r="AL3" s="980"/>
      <c r="AM3" s="980"/>
      <c r="AN3" s="980"/>
      <c r="AO3" s="980"/>
      <c r="AP3" s="980"/>
      <c r="AQ3" s="980"/>
      <c r="AR3" s="980"/>
      <c r="AS3" s="980"/>
      <c r="AT3" s="980"/>
      <c r="AU3" s="980"/>
      <c r="AV3" s="980"/>
    </row>
    <row r="4" spans="1:48" ht="54" customHeight="1" x14ac:dyDescent="0.6">
      <c r="A4" s="821"/>
      <c r="B4" s="979" t="s">
        <v>1064</v>
      </c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  <c r="O4" s="979"/>
      <c r="P4" s="979"/>
      <c r="R4" s="980" t="s">
        <v>1064</v>
      </c>
      <c r="S4" s="980"/>
      <c r="T4" s="980"/>
      <c r="U4" s="980"/>
      <c r="V4" s="980"/>
      <c r="W4" s="980"/>
      <c r="X4" s="980"/>
      <c r="Y4" s="980"/>
      <c r="Z4" s="980"/>
      <c r="AA4" s="980"/>
      <c r="AB4" s="980"/>
      <c r="AC4" s="980"/>
      <c r="AD4" s="980"/>
      <c r="AE4" s="980"/>
      <c r="AF4" s="980"/>
      <c r="AH4" s="980" t="s">
        <v>1064</v>
      </c>
      <c r="AI4" s="980"/>
      <c r="AJ4" s="980"/>
      <c r="AK4" s="980"/>
      <c r="AL4" s="980"/>
      <c r="AM4" s="980"/>
      <c r="AN4" s="980"/>
      <c r="AO4" s="980"/>
      <c r="AP4" s="980"/>
      <c r="AQ4" s="980"/>
      <c r="AR4" s="980"/>
      <c r="AS4" s="980"/>
      <c r="AT4" s="980"/>
      <c r="AU4" s="980"/>
      <c r="AV4" s="980"/>
    </row>
    <row r="5" spans="1:48" ht="42.75" customHeight="1" thickBot="1" x14ac:dyDescent="0.65"/>
    <row r="6" spans="1:48" s="827" customFormat="1" ht="140.25" customHeight="1" thickBot="1" x14ac:dyDescent="0.65">
      <c r="A6" s="825" t="s">
        <v>1065</v>
      </c>
      <c r="B6" s="976" t="s">
        <v>102</v>
      </c>
      <c r="C6" s="977"/>
      <c r="D6" s="978"/>
      <c r="E6" s="970" t="s">
        <v>429</v>
      </c>
      <c r="F6" s="971"/>
      <c r="G6" s="972"/>
      <c r="H6" s="970" t="s">
        <v>1066</v>
      </c>
      <c r="I6" s="971"/>
      <c r="J6" s="972"/>
      <c r="K6" s="976" t="s">
        <v>341</v>
      </c>
      <c r="L6" s="977"/>
      <c r="M6" s="978"/>
      <c r="N6" s="970" t="s">
        <v>405</v>
      </c>
      <c r="O6" s="971"/>
      <c r="P6" s="972"/>
      <c r="Q6" s="825" t="s">
        <v>1065</v>
      </c>
      <c r="R6" s="976" t="s">
        <v>123</v>
      </c>
      <c r="S6" s="977"/>
      <c r="T6" s="978"/>
      <c r="U6" s="970" t="s">
        <v>124</v>
      </c>
      <c r="V6" s="971"/>
      <c r="W6" s="972"/>
      <c r="X6" s="970" t="s">
        <v>435</v>
      </c>
      <c r="Y6" s="971"/>
      <c r="Z6" s="972"/>
      <c r="AA6" s="970" t="s">
        <v>406</v>
      </c>
      <c r="AB6" s="971"/>
      <c r="AC6" s="972"/>
      <c r="AD6" s="970" t="s">
        <v>1067</v>
      </c>
      <c r="AE6" s="971"/>
      <c r="AF6" s="972"/>
      <c r="AG6" s="826" t="s">
        <v>1065</v>
      </c>
      <c r="AH6" s="970" t="s">
        <v>1068</v>
      </c>
      <c r="AI6" s="971"/>
      <c r="AJ6" s="972"/>
      <c r="AK6" s="964" t="s">
        <v>1069</v>
      </c>
      <c r="AL6" s="964"/>
      <c r="AM6" s="964"/>
      <c r="AN6" s="964"/>
      <c r="AO6" s="964"/>
      <c r="AP6" s="965"/>
      <c r="AQ6" s="970" t="s">
        <v>1070</v>
      </c>
      <c r="AR6" s="971"/>
      <c r="AS6" s="972"/>
      <c r="AT6" s="970" t="s">
        <v>1071</v>
      </c>
      <c r="AU6" s="971"/>
      <c r="AV6" s="972"/>
    </row>
    <row r="7" spans="1:48" s="827" customFormat="1" ht="78.75" customHeight="1" thickBot="1" x14ac:dyDescent="0.65">
      <c r="A7" s="828" t="s">
        <v>1072</v>
      </c>
      <c r="B7" s="967"/>
      <c r="C7" s="968"/>
      <c r="D7" s="969"/>
      <c r="E7" s="829"/>
      <c r="F7" s="830"/>
      <c r="G7" s="831"/>
      <c r="H7" s="829"/>
      <c r="I7" s="830"/>
      <c r="J7" s="831"/>
      <c r="K7" s="829"/>
      <c r="L7" s="830"/>
      <c r="M7" s="831"/>
      <c r="N7" s="967"/>
      <c r="O7" s="968"/>
      <c r="P7" s="969"/>
      <c r="Q7" s="828" t="s">
        <v>1072</v>
      </c>
      <c r="R7" s="967"/>
      <c r="S7" s="968"/>
      <c r="T7" s="969"/>
      <c r="U7" s="832"/>
      <c r="V7" s="832"/>
      <c r="W7" s="832"/>
      <c r="X7" s="967"/>
      <c r="Y7" s="968"/>
      <c r="Z7" s="969"/>
      <c r="AA7" s="967"/>
      <c r="AB7" s="968"/>
      <c r="AC7" s="969"/>
      <c r="AD7" s="967"/>
      <c r="AE7" s="968"/>
      <c r="AF7" s="969"/>
      <c r="AG7" s="833" t="s">
        <v>1072</v>
      </c>
      <c r="AH7" s="973"/>
      <c r="AI7" s="974"/>
      <c r="AJ7" s="975"/>
      <c r="AK7" s="964" t="s">
        <v>1073</v>
      </c>
      <c r="AL7" s="964"/>
      <c r="AM7" s="965"/>
      <c r="AN7" s="966" t="s">
        <v>1074</v>
      </c>
      <c r="AO7" s="964"/>
      <c r="AP7" s="965"/>
      <c r="AQ7" s="967"/>
      <c r="AR7" s="968"/>
      <c r="AS7" s="969"/>
      <c r="AT7" s="967"/>
      <c r="AU7" s="968"/>
      <c r="AV7" s="969"/>
    </row>
    <row r="8" spans="1:48" s="824" customFormat="1" ht="147.75" customHeight="1" thickBot="1" x14ac:dyDescent="0.65">
      <c r="A8" s="834"/>
      <c r="B8" s="835" t="s">
        <v>1013</v>
      </c>
      <c r="C8" s="835" t="s">
        <v>1014</v>
      </c>
      <c r="D8" s="835" t="s">
        <v>1015</v>
      </c>
      <c r="E8" s="835" t="s">
        <v>1013</v>
      </c>
      <c r="F8" s="835" t="s">
        <v>1014</v>
      </c>
      <c r="G8" s="835" t="s">
        <v>1015</v>
      </c>
      <c r="H8" s="835" t="s">
        <v>1013</v>
      </c>
      <c r="I8" s="835" t="s">
        <v>1014</v>
      </c>
      <c r="J8" s="835" t="s">
        <v>1015</v>
      </c>
      <c r="K8" s="835" t="s">
        <v>1013</v>
      </c>
      <c r="L8" s="835" t="s">
        <v>1014</v>
      </c>
      <c r="M8" s="835" t="s">
        <v>1015</v>
      </c>
      <c r="N8" s="835" t="s">
        <v>1013</v>
      </c>
      <c r="O8" s="835" t="s">
        <v>1014</v>
      </c>
      <c r="P8" s="835" t="s">
        <v>1015</v>
      </c>
      <c r="Q8" s="834"/>
      <c r="R8" s="835" t="s">
        <v>1013</v>
      </c>
      <c r="S8" s="835" t="s">
        <v>1014</v>
      </c>
      <c r="T8" s="835" t="s">
        <v>1015</v>
      </c>
      <c r="U8" s="835" t="s">
        <v>1013</v>
      </c>
      <c r="V8" s="835" t="s">
        <v>1014</v>
      </c>
      <c r="W8" s="835" t="s">
        <v>1015</v>
      </c>
      <c r="X8" s="835" t="s">
        <v>1013</v>
      </c>
      <c r="Y8" s="835" t="s">
        <v>1014</v>
      </c>
      <c r="Z8" s="835" t="s">
        <v>1015</v>
      </c>
      <c r="AA8" s="835" t="s">
        <v>1013</v>
      </c>
      <c r="AB8" s="835" t="s">
        <v>1014</v>
      </c>
      <c r="AC8" s="835" t="s">
        <v>1015</v>
      </c>
      <c r="AD8" s="835" t="s">
        <v>1013</v>
      </c>
      <c r="AE8" s="835" t="s">
        <v>1014</v>
      </c>
      <c r="AF8" s="835" t="s">
        <v>1015</v>
      </c>
      <c r="AG8" s="834"/>
      <c r="AH8" s="835" t="s">
        <v>1013</v>
      </c>
      <c r="AI8" s="835" t="s">
        <v>1014</v>
      </c>
      <c r="AJ8" s="835" t="s">
        <v>1015</v>
      </c>
      <c r="AK8" s="835" t="s">
        <v>1013</v>
      </c>
      <c r="AL8" s="835" t="s">
        <v>1014</v>
      </c>
      <c r="AM8" s="835" t="s">
        <v>1015</v>
      </c>
      <c r="AN8" s="835" t="s">
        <v>1013</v>
      </c>
      <c r="AO8" s="835" t="s">
        <v>1014</v>
      </c>
      <c r="AP8" s="835" t="s">
        <v>1015</v>
      </c>
      <c r="AQ8" s="835" t="s">
        <v>1013</v>
      </c>
      <c r="AR8" s="835" t="s">
        <v>1014</v>
      </c>
      <c r="AS8" s="835" t="s">
        <v>1015</v>
      </c>
      <c r="AT8" s="835" t="s">
        <v>1013</v>
      </c>
      <c r="AU8" s="835" t="s">
        <v>1014</v>
      </c>
      <c r="AV8" s="835" t="s">
        <v>1015</v>
      </c>
    </row>
    <row r="9" spans="1:48" ht="45.75" customHeight="1" x14ac:dyDescent="0.6">
      <c r="A9" s="836" t="s">
        <v>1075</v>
      </c>
      <c r="B9" s="837"/>
      <c r="C9" s="837"/>
      <c r="D9" s="837"/>
      <c r="E9" s="837"/>
      <c r="F9" s="837"/>
      <c r="G9" s="837"/>
      <c r="H9" s="837"/>
      <c r="I9" s="837"/>
      <c r="J9" s="837"/>
      <c r="K9" s="837"/>
      <c r="L9" s="837"/>
      <c r="M9" s="837"/>
      <c r="N9" s="837"/>
      <c r="O9" s="837"/>
      <c r="P9" s="837"/>
      <c r="Q9" s="836" t="s">
        <v>1075</v>
      </c>
      <c r="R9" s="837"/>
      <c r="S9" s="837"/>
      <c r="T9" s="837"/>
      <c r="U9" s="837"/>
      <c r="V9" s="837"/>
      <c r="W9" s="837"/>
      <c r="X9" s="837"/>
      <c r="Y9" s="837"/>
      <c r="Z9" s="837"/>
      <c r="AA9" s="837"/>
      <c r="AB9" s="837"/>
      <c r="AC9" s="837"/>
      <c r="AD9" s="837"/>
      <c r="AE9" s="837"/>
      <c r="AF9" s="837"/>
      <c r="AG9" s="836" t="s">
        <v>1075</v>
      </c>
      <c r="AH9" s="836"/>
      <c r="AI9" s="836"/>
      <c r="AJ9" s="836"/>
      <c r="AK9" s="836"/>
      <c r="AL9" s="836"/>
      <c r="AM9" s="836"/>
      <c r="AN9" s="836"/>
      <c r="AO9" s="836"/>
      <c r="AP9" s="836"/>
      <c r="AQ9" s="836"/>
      <c r="AR9" s="836"/>
      <c r="AS9" s="838"/>
      <c r="AT9" s="838"/>
      <c r="AU9" s="838"/>
      <c r="AV9" s="837"/>
    </row>
    <row r="10" spans="1:48" ht="48.75" customHeight="1" x14ac:dyDescent="0.6">
      <c r="A10" s="839" t="s">
        <v>1022</v>
      </c>
      <c r="B10" s="840">
        <f>'[4]int.bevételek RM II'!D10</f>
        <v>1001</v>
      </c>
      <c r="C10" s="840">
        <v>541</v>
      </c>
      <c r="D10" s="840">
        <f t="shared" ref="D10:D27" si="0">SUM(B10:C10)</f>
        <v>1542</v>
      </c>
      <c r="E10" s="840">
        <f>'[4]int.bevételek RM II'!G10</f>
        <v>0</v>
      </c>
      <c r="F10" s="840"/>
      <c r="G10" s="840">
        <f t="shared" ref="G10:G27" si="1">SUM(E10:F10)</f>
        <v>0</v>
      </c>
      <c r="H10" s="840">
        <f>'[4]int.bevételek RM II'!J10</f>
        <v>0</v>
      </c>
      <c r="I10" s="840"/>
      <c r="J10" s="840">
        <f t="shared" ref="J10:J27" si="2">SUM(H10:I10)</f>
        <v>0</v>
      </c>
      <c r="K10" s="840">
        <f>'[4]int.bevételek RM II'!M10</f>
        <v>0</v>
      </c>
      <c r="L10" s="840"/>
      <c r="M10" s="840">
        <f t="shared" ref="M10:M27" si="3">SUM(K10:L10)</f>
        <v>0</v>
      </c>
      <c r="N10" s="840">
        <f t="shared" ref="N10:P27" si="4">B10+E10+H10+K10</f>
        <v>1001</v>
      </c>
      <c r="O10" s="840">
        <f t="shared" si="4"/>
        <v>541</v>
      </c>
      <c r="P10" s="840">
        <f t="shared" si="4"/>
        <v>1542</v>
      </c>
      <c r="Q10" s="839" t="s">
        <v>1022</v>
      </c>
      <c r="R10" s="840">
        <f>'[4]int.bevételek RM II'!T10</f>
        <v>0</v>
      </c>
      <c r="S10" s="840"/>
      <c r="T10" s="840">
        <f t="shared" ref="T10:T27" si="5">SUM(R10:S10)</f>
        <v>0</v>
      </c>
      <c r="U10" s="840">
        <f>'[4]int.bevételek RM II'!W10</f>
        <v>0</v>
      </c>
      <c r="V10" s="840"/>
      <c r="W10" s="840">
        <f>SUM(U10:V10)</f>
        <v>0</v>
      </c>
      <c r="X10" s="840">
        <f>'[4]int.bevételek RM II'!Z10</f>
        <v>0</v>
      </c>
      <c r="Y10" s="840"/>
      <c r="Z10" s="840">
        <f t="shared" ref="Z10:Z27" si="6">SUM(X10:Y10)</f>
        <v>0</v>
      </c>
      <c r="AA10" s="840">
        <f t="shared" ref="AA10:AC27" si="7">R10+U10+X10</f>
        <v>0</v>
      </c>
      <c r="AB10" s="840">
        <f t="shared" si="7"/>
        <v>0</v>
      </c>
      <c r="AC10" s="840">
        <f t="shared" si="7"/>
        <v>0</v>
      </c>
      <c r="AD10" s="840">
        <f>N10+AA10</f>
        <v>1001</v>
      </c>
      <c r="AE10" s="840">
        <f>O10+AB10</f>
        <v>541</v>
      </c>
      <c r="AF10" s="840">
        <f>P10+AC10</f>
        <v>1542</v>
      </c>
      <c r="AG10" s="839" t="s">
        <v>1022</v>
      </c>
      <c r="AH10" s="840">
        <f>'[4]int.bevételek RM II'!AJ10</f>
        <v>512</v>
      </c>
      <c r="AI10" s="840"/>
      <c r="AJ10" s="840">
        <f t="shared" ref="AJ10:AJ27" si="8">SUM(AH10:AI10)</f>
        <v>512</v>
      </c>
      <c r="AK10" s="840">
        <f>'[4]int.bevételek RM II'!AM10</f>
        <v>154964</v>
      </c>
      <c r="AL10" s="840">
        <f>-759-445</f>
        <v>-1204</v>
      </c>
      <c r="AM10" s="840">
        <f t="shared" ref="AM10:AM27" si="9">SUM(AK10:AL10)</f>
        <v>153760</v>
      </c>
      <c r="AN10" s="840">
        <f>'[4]int.bevételek RM II'!AP10</f>
        <v>11401</v>
      </c>
      <c r="AO10" s="840">
        <f>100+445</f>
        <v>545</v>
      </c>
      <c r="AP10" s="840">
        <f t="shared" ref="AP10:AP27" si="10">SUM(AN10:AO10)</f>
        <v>11946</v>
      </c>
      <c r="AQ10" s="840">
        <f t="shared" ref="AQ10:AS27" si="11">AK10+AN10</f>
        <v>166365</v>
      </c>
      <c r="AR10" s="840">
        <f t="shared" si="11"/>
        <v>-659</v>
      </c>
      <c r="AS10" s="840">
        <f t="shared" si="11"/>
        <v>165706</v>
      </c>
      <c r="AT10" s="840">
        <f>N10+AA10+AH10+AQ10</f>
        <v>167878</v>
      </c>
      <c r="AU10" s="840">
        <f>O10+AB10+AI10+AR10</f>
        <v>-118</v>
      </c>
      <c r="AV10" s="840">
        <f>P10+AC10+AJ10+AS10</f>
        <v>167760</v>
      </c>
    </row>
    <row r="11" spans="1:48" ht="48.75" customHeight="1" x14ac:dyDescent="0.6">
      <c r="A11" s="841" t="s">
        <v>1023</v>
      </c>
      <c r="B11" s="840">
        <f>'[4]int.bevételek RM II'!D11</f>
        <v>1009</v>
      </c>
      <c r="C11" s="840">
        <v>410</v>
      </c>
      <c r="D11" s="840">
        <f t="shared" si="0"/>
        <v>1419</v>
      </c>
      <c r="E11" s="840">
        <f>'[4]int.bevételek RM II'!G11</f>
        <v>0</v>
      </c>
      <c r="F11" s="840"/>
      <c r="G11" s="840">
        <f t="shared" si="1"/>
        <v>0</v>
      </c>
      <c r="H11" s="840">
        <f>'[4]int.bevételek RM II'!J11</f>
        <v>0</v>
      </c>
      <c r="I11" s="840"/>
      <c r="J11" s="840">
        <f t="shared" si="2"/>
        <v>0</v>
      </c>
      <c r="K11" s="840">
        <f>'[4]int.bevételek RM II'!M11</f>
        <v>0</v>
      </c>
      <c r="L11" s="842"/>
      <c r="M11" s="840">
        <f t="shared" si="3"/>
        <v>0</v>
      </c>
      <c r="N11" s="840">
        <f t="shared" si="4"/>
        <v>1009</v>
      </c>
      <c r="O11" s="840">
        <f t="shared" si="4"/>
        <v>410</v>
      </c>
      <c r="P11" s="840">
        <f t="shared" si="4"/>
        <v>1419</v>
      </c>
      <c r="Q11" s="841" t="s">
        <v>1023</v>
      </c>
      <c r="R11" s="840">
        <f>'[4]int.bevételek RM II'!T11</f>
        <v>0</v>
      </c>
      <c r="S11" s="840"/>
      <c r="T11" s="840">
        <f t="shared" si="5"/>
        <v>0</v>
      </c>
      <c r="U11" s="840">
        <f>'[4]int.bevételek RM II'!W11</f>
        <v>0</v>
      </c>
      <c r="V11" s="840"/>
      <c r="W11" s="840">
        <f>SUM(U11:V11)</f>
        <v>0</v>
      </c>
      <c r="X11" s="840">
        <f>'[4]int.bevételek RM II'!Z11</f>
        <v>0</v>
      </c>
      <c r="Y11" s="840"/>
      <c r="Z11" s="840">
        <f t="shared" si="6"/>
        <v>0</v>
      </c>
      <c r="AA11" s="840">
        <f t="shared" si="7"/>
        <v>0</v>
      </c>
      <c r="AB11" s="840">
        <f t="shared" si="7"/>
        <v>0</v>
      </c>
      <c r="AC11" s="840">
        <f t="shared" si="7"/>
        <v>0</v>
      </c>
      <c r="AD11" s="840">
        <f t="shared" ref="AD11:AF38" si="12">N11+AA11</f>
        <v>1009</v>
      </c>
      <c r="AE11" s="840">
        <f t="shared" si="12"/>
        <v>410</v>
      </c>
      <c r="AF11" s="840">
        <f t="shared" si="12"/>
        <v>1419</v>
      </c>
      <c r="AG11" s="841" t="s">
        <v>1023</v>
      </c>
      <c r="AH11" s="840">
        <f>'[4]int.bevételek RM II'!AJ11</f>
        <v>467</v>
      </c>
      <c r="AI11" s="840"/>
      <c r="AJ11" s="840">
        <f t="shared" si="8"/>
        <v>467</v>
      </c>
      <c r="AK11" s="840">
        <f>'[4]int.bevételek RM II'!AM11</f>
        <v>105803</v>
      </c>
      <c r="AL11" s="840">
        <f>-434-87</f>
        <v>-521</v>
      </c>
      <c r="AM11" s="840">
        <f t="shared" si="9"/>
        <v>105282</v>
      </c>
      <c r="AN11" s="840">
        <f>'[4]int.bevételek RM II'!AP11</f>
        <v>3828</v>
      </c>
      <c r="AO11" s="840">
        <f>100+87</f>
        <v>187</v>
      </c>
      <c r="AP11" s="840">
        <f t="shared" si="10"/>
        <v>4015</v>
      </c>
      <c r="AQ11" s="840">
        <f t="shared" si="11"/>
        <v>109631</v>
      </c>
      <c r="AR11" s="840">
        <f t="shared" si="11"/>
        <v>-334</v>
      </c>
      <c r="AS11" s="840">
        <f t="shared" si="11"/>
        <v>109297</v>
      </c>
      <c r="AT11" s="840">
        <f t="shared" ref="AT11:AV27" si="13">N11+AA11+AH11+AQ11</f>
        <v>111107</v>
      </c>
      <c r="AU11" s="840">
        <f t="shared" si="13"/>
        <v>76</v>
      </c>
      <c r="AV11" s="840">
        <f t="shared" si="13"/>
        <v>111183</v>
      </c>
    </row>
    <row r="12" spans="1:48" ht="48.75" customHeight="1" x14ac:dyDescent="0.6">
      <c r="A12" s="841" t="s">
        <v>1024</v>
      </c>
      <c r="B12" s="840">
        <f>'[4]int.bevételek RM II'!D12</f>
        <v>1373</v>
      </c>
      <c r="C12" s="840">
        <v>255</v>
      </c>
      <c r="D12" s="840">
        <f t="shared" si="0"/>
        <v>1628</v>
      </c>
      <c r="E12" s="840">
        <f>'[4]int.bevételek RM II'!G12</f>
        <v>0</v>
      </c>
      <c r="F12" s="840">
        <v>44</v>
      </c>
      <c r="G12" s="840">
        <f t="shared" si="1"/>
        <v>44</v>
      </c>
      <c r="H12" s="840">
        <f>'[4]int.bevételek RM II'!J12</f>
        <v>0</v>
      </c>
      <c r="I12" s="840"/>
      <c r="J12" s="840">
        <f t="shared" si="2"/>
        <v>0</v>
      </c>
      <c r="K12" s="840">
        <f>'[4]int.bevételek RM II'!M12</f>
        <v>0</v>
      </c>
      <c r="L12" s="840"/>
      <c r="M12" s="840">
        <f t="shared" si="3"/>
        <v>0</v>
      </c>
      <c r="N12" s="840">
        <f t="shared" si="4"/>
        <v>1373</v>
      </c>
      <c r="O12" s="840">
        <f t="shared" si="4"/>
        <v>299</v>
      </c>
      <c r="P12" s="840">
        <f t="shared" si="4"/>
        <v>1672</v>
      </c>
      <c r="Q12" s="841" t="s">
        <v>1024</v>
      </c>
      <c r="R12" s="840">
        <f>'[4]int.bevételek RM II'!T12</f>
        <v>0</v>
      </c>
      <c r="S12" s="840"/>
      <c r="T12" s="840">
        <f t="shared" si="5"/>
        <v>0</v>
      </c>
      <c r="U12" s="840">
        <f>'[4]int.bevételek RM II'!W12</f>
        <v>0</v>
      </c>
      <c r="V12" s="840"/>
      <c r="W12" s="840">
        <f t="shared" ref="W12:W23" si="14">SUM(U12:V12)</f>
        <v>0</v>
      </c>
      <c r="X12" s="840">
        <f>'[4]int.bevételek RM II'!Z12</f>
        <v>0</v>
      </c>
      <c r="Y12" s="840"/>
      <c r="Z12" s="840">
        <f t="shared" si="6"/>
        <v>0</v>
      </c>
      <c r="AA12" s="840">
        <f t="shared" si="7"/>
        <v>0</v>
      </c>
      <c r="AB12" s="840">
        <f t="shared" si="7"/>
        <v>0</v>
      </c>
      <c r="AC12" s="840">
        <f t="shared" si="7"/>
        <v>0</v>
      </c>
      <c r="AD12" s="840">
        <f t="shared" si="12"/>
        <v>1373</v>
      </c>
      <c r="AE12" s="840">
        <f t="shared" si="12"/>
        <v>299</v>
      </c>
      <c r="AF12" s="840">
        <f t="shared" si="12"/>
        <v>1672</v>
      </c>
      <c r="AG12" s="841" t="s">
        <v>1024</v>
      </c>
      <c r="AH12" s="840">
        <f>'[4]int.bevételek RM II'!AJ12</f>
        <v>422</v>
      </c>
      <c r="AI12" s="840"/>
      <c r="AJ12" s="840">
        <f t="shared" si="8"/>
        <v>422</v>
      </c>
      <c r="AK12" s="840">
        <f>'[4]int.bevételek RM II'!AM12</f>
        <v>99032</v>
      </c>
      <c r="AL12" s="840">
        <f>-504+27</f>
        <v>-477</v>
      </c>
      <c r="AM12" s="840">
        <f t="shared" si="9"/>
        <v>98555</v>
      </c>
      <c r="AN12" s="840">
        <f>'[4]int.bevételek RM II'!AP12</f>
        <v>3280</v>
      </c>
      <c r="AO12" s="840">
        <f>100-27</f>
        <v>73</v>
      </c>
      <c r="AP12" s="840">
        <f t="shared" si="10"/>
        <v>3353</v>
      </c>
      <c r="AQ12" s="840">
        <f t="shared" si="11"/>
        <v>102312</v>
      </c>
      <c r="AR12" s="840">
        <f t="shared" si="11"/>
        <v>-404</v>
      </c>
      <c r="AS12" s="840">
        <f t="shared" si="11"/>
        <v>101908</v>
      </c>
      <c r="AT12" s="840">
        <f t="shared" si="13"/>
        <v>104107</v>
      </c>
      <c r="AU12" s="840">
        <f t="shared" si="13"/>
        <v>-105</v>
      </c>
      <c r="AV12" s="840">
        <f t="shared" si="13"/>
        <v>104002</v>
      </c>
    </row>
    <row r="13" spans="1:48" ht="48.75" customHeight="1" x14ac:dyDescent="0.6">
      <c r="A13" s="841" t="s">
        <v>1025</v>
      </c>
      <c r="B13" s="840">
        <f>'[4]int.bevételek RM II'!D13</f>
        <v>958</v>
      </c>
      <c r="C13" s="840">
        <v>93</v>
      </c>
      <c r="D13" s="840">
        <f t="shared" si="0"/>
        <v>1051</v>
      </c>
      <c r="E13" s="840">
        <f>'[4]int.bevételek RM II'!G13</f>
        <v>0</v>
      </c>
      <c r="F13" s="843"/>
      <c r="G13" s="840">
        <f t="shared" si="1"/>
        <v>0</v>
      </c>
      <c r="H13" s="840">
        <f>'[4]int.bevételek RM II'!J13</f>
        <v>0</v>
      </c>
      <c r="I13" s="840"/>
      <c r="J13" s="840">
        <f t="shared" si="2"/>
        <v>0</v>
      </c>
      <c r="K13" s="840">
        <f>'[4]int.bevételek RM II'!M13</f>
        <v>0</v>
      </c>
      <c r="L13" s="840"/>
      <c r="M13" s="840">
        <f t="shared" si="3"/>
        <v>0</v>
      </c>
      <c r="N13" s="840">
        <f t="shared" si="4"/>
        <v>958</v>
      </c>
      <c r="O13" s="840">
        <f t="shared" si="4"/>
        <v>93</v>
      </c>
      <c r="P13" s="840">
        <f t="shared" si="4"/>
        <v>1051</v>
      </c>
      <c r="Q13" s="841" t="s">
        <v>1025</v>
      </c>
      <c r="R13" s="840">
        <f>'[4]int.bevételek RM II'!T13</f>
        <v>0</v>
      </c>
      <c r="S13" s="840"/>
      <c r="T13" s="840">
        <f t="shared" si="5"/>
        <v>0</v>
      </c>
      <c r="U13" s="840">
        <f>'[4]int.bevételek RM II'!W13</f>
        <v>0</v>
      </c>
      <c r="V13" s="840"/>
      <c r="W13" s="840">
        <f t="shared" si="14"/>
        <v>0</v>
      </c>
      <c r="X13" s="840">
        <f>'[4]int.bevételek RM II'!Z13</f>
        <v>0</v>
      </c>
      <c r="Y13" s="840"/>
      <c r="Z13" s="840">
        <f t="shared" si="6"/>
        <v>0</v>
      </c>
      <c r="AA13" s="840">
        <f t="shared" si="7"/>
        <v>0</v>
      </c>
      <c r="AB13" s="840">
        <f t="shared" si="7"/>
        <v>0</v>
      </c>
      <c r="AC13" s="840">
        <f t="shared" si="7"/>
        <v>0</v>
      </c>
      <c r="AD13" s="840">
        <f t="shared" si="12"/>
        <v>958</v>
      </c>
      <c r="AE13" s="840">
        <f t="shared" si="12"/>
        <v>93</v>
      </c>
      <c r="AF13" s="840">
        <f t="shared" si="12"/>
        <v>1051</v>
      </c>
      <c r="AG13" s="841" t="s">
        <v>1025</v>
      </c>
      <c r="AH13" s="840">
        <f>'[4]int.bevételek RM II'!AJ13</f>
        <v>623</v>
      </c>
      <c r="AI13" s="840"/>
      <c r="AJ13" s="840">
        <f t="shared" si="8"/>
        <v>623</v>
      </c>
      <c r="AK13" s="840">
        <f>'[4]int.bevételek RM II'!AM13</f>
        <v>141442</v>
      </c>
      <c r="AL13" s="840">
        <f>-571-1045</f>
        <v>-1616</v>
      </c>
      <c r="AM13" s="840">
        <f t="shared" si="9"/>
        <v>139826</v>
      </c>
      <c r="AN13" s="840">
        <f>'[4]int.bevételek RM II'!AP13</f>
        <v>2979</v>
      </c>
      <c r="AO13" s="840">
        <f>100+1045</f>
        <v>1145</v>
      </c>
      <c r="AP13" s="840">
        <f t="shared" si="10"/>
        <v>4124</v>
      </c>
      <c r="AQ13" s="840">
        <f t="shared" si="11"/>
        <v>144421</v>
      </c>
      <c r="AR13" s="840">
        <f t="shared" si="11"/>
        <v>-471</v>
      </c>
      <c r="AS13" s="840">
        <f t="shared" si="11"/>
        <v>143950</v>
      </c>
      <c r="AT13" s="840">
        <f t="shared" si="13"/>
        <v>146002</v>
      </c>
      <c r="AU13" s="840">
        <f t="shared" si="13"/>
        <v>-378</v>
      </c>
      <c r="AV13" s="840">
        <f t="shared" si="13"/>
        <v>145624</v>
      </c>
    </row>
    <row r="14" spans="1:48" ht="48.75" customHeight="1" x14ac:dyDescent="0.6">
      <c r="A14" s="841" t="s">
        <v>1026</v>
      </c>
      <c r="B14" s="840">
        <f>'[4]int.bevételek RM II'!D14</f>
        <v>1338</v>
      </c>
      <c r="C14" s="840"/>
      <c r="D14" s="840">
        <f t="shared" si="0"/>
        <v>1338</v>
      </c>
      <c r="E14" s="840">
        <f>'[4]int.bevételek RM II'!G14</f>
        <v>0</v>
      </c>
      <c r="F14" s="840">
        <v>135</v>
      </c>
      <c r="G14" s="840">
        <f t="shared" si="1"/>
        <v>135</v>
      </c>
      <c r="H14" s="840">
        <f>'[4]int.bevételek RM II'!J14</f>
        <v>269</v>
      </c>
      <c r="I14" s="840">
        <v>642</v>
      </c>
      <c r="J14" s="840">
        <f t="shared" si="2"/>
        <v>911</v>
      </c>
      <c r="K14" s="840">
        <f>'[4]int.bevételek RM II'!M14</f>
        <v>0</v>
      </c>
      <c r="L14" s="840"/>
      <c r="M14" s="840">
        <f t="shared" si="3"/>
        <v>0</v>
      </c>
      <c r="N14" s="840">
        <f t="shared" si="4"/>
        <v>1607</v>
      </c>
      <c r="O14" s="840">
        <f t="shared" si="4"/>
        <v>777</v>
      </c>
      <c r="P14" s="840">
        <f t="shared" si="4"/>
        <v>2384</v>
      </c>
      <c r="Q14" s="841" t="s">
        <v>1026</v>
      </c>
      <c r="R14" s="840">
        <f>'[4]int.bevételek RM II'!T14</f>
        <v>0</v>
      </c>
      <c r="S14" s="840"/>
      <c r="T14" s="840">
        <f t="shared" si="5"/>
        <v>0</v>
      </c>
      <c r="U14" s="840">
        <f>'[4]int.bevételek RM II'!W14</f>
        <v>0</v>
      </c>
      <c r="V14" s="840"/>
      <c r="W14" s="840">
        <f t="shared" si="14"/>
        <v>0</v>
      </c>
      <c r="X14" s="840">
        <f>'[4]int.bevételek RM II'!Z14</f>
        <v>0</v>
      </c>
      <c r="Y14" s="840"/>
      <c r="Z14" s="840">
        <f t="shared" si="6"/>
        <v>0</v>
      </c>
      <c r="AA14" s="840">
        <f t="shared" si="7"/>
        <v>0</v>
      </c>
      <c r="AB14" s="840">
        <f t="shared" si="7"/>
        <v>0</v>
      </c>
      <c r="AC14" s="840">
        <f t="shared" si="7"/>
        <v>0</v>
      </c>
      <c r="AD14" s="840">
        <f t="shared" si="12"/>
        <v>1607</v>
      </c>
      <c r="AE14" s="840">
        <f t="shared" si="12"/>
        <v>777</v>
      </c>
      <c r="AF14" s="840">
        <f t="shared" si="12"/>
        <v>2384</v>
      </c>
      <c r="AG14" s="841" t="s">
        <v>1026</v>
      </c>
      <c r="AH14" s="840">
        <f>'[4]int.bevételek RM II'!AJ14</f>
        <v>382</v>
      </c>
      <c r="AI14" s="840"/>
      <c r="AJ14" s="840">
        <f t="shared" si="8"/>
        <v>382</v>
      </c>
      <c r="AK14" s="840">
        <f>'[4]int.bevételek RM II'!AM14</f>
        <v>118147</v>
      </c>
      <c r="AL14" s="840">
        <f>-485-2367</f>
        <v>-2852</v>
      </c>
      <c r="AM14" s="840">
        <f t="shared" si="9"/>
        <v>115295</v>
      </c>
      <c r="AN14" s="840">
        <f>'[4]int.bevételek RM II'!AP14</f>
        <v>2057</v>
      </c>
      <c r="AO14" s="840">
        <f>827+2367</f>
        <v>3194</v>
      </c>
      <c r="AP14" s="840">
        <f t="shared" si="10"/>
        <v>5251</v>
      </c>
      <c r="AQ14" s="840">
        <f t="shared" si="11"/>
        <v>120204</v>
      </c>
      <c r="AR14" s="840">
        <f t="shared" si="11"/>
        <v>342</v>
      </c>
      <c r="AS14" s="840">
        <f t="shared" si="11"/>
        <v>120546</v>
      </c>
      <c r="AT14" s="840">
        <f t="shared" si="13"/>
        <v>122193</v>
      </c>
      <c r="AU14" s="840">
        <f t="shared" si="13"/>
        <v>1119</v>
      </c>
      <c r="AV14" s="840">
        <f t="shared" si="13"/>
        <v>123312</v>
      </c>
    </row>
    <row r="15" spans="1:48" ht="48.75" customHeight="1" x14ac:dyDescent="0.6">
      <c r="A15" s="841" t="s">
        <v>1027</v>
      </c>
      <c r="B15" s="840">
        <f>'[4]int.bevételek RM II'!D15</f>
        <v>1269</v>
      </c>
      <c r="C15" s="840">
        <v>502</v>
      </c>
      <c r="D15" s="840">
        <f t="shared" si="0"/>
        <v>1771</v>
      </c>
      <c r="E15" s="840">
        <f>'[4]int.bevételek RM II'!G15</f>
        <v>0</v>
      </c>
      <c r="F15" s="840"/>
      <c r="G15" s="840">
        <f t="shared" si="1"/>
        <v>0</v>
      </c>
      <c r="H15" s="840">
        <f>'[4]int.bevételek RM II'!J15</f>
        <v>0</v>
      </c>
      <c r="I15" s="840">
        <v>900</v>
      </c>
      <c r="J15" s="840">
        <f t="shared" si="2"/>
        <v>900</v>
      </c>
      <c r="K15" s="840">
        <f>'[4]int.bevételek RM II'!M15</f>
        <v>0</v>
      </c>
      <c r="L15" s="840"/>
      <c r="M15" s="840">
        <f t="shared" si="3"/>
        <v>0</v>
      </c>
      <c r="N15" s="840">
        <f t="shared" si="4"/>
        <v>1269</v>
      </c>
      <c r="O15" s="840">
        <f t="shared" si="4"/>
        <v>1402</v>
      </c>
      <c r="P15" s="840">
        <f t="shared" si="4"/>
        <v>2671</v>
      </c>
      <c r="Q15" s="841" t="s">
        <v>1027</v>
      </c>
      <c r="R15" s="840">
        <f>'[4]int.bevételek RM II'!T15</f>
        <v>0</v>
      </c>
      <c r="S15" s="840"/>
      <c r="T15" s="840">
        <f t="shared" si="5"/>
        <v>0</v>
      </c>
      <c r="U15" s="840">
        <f>'[4]int.bevételek RM II'!W15</f>
        <v>0</v>
      </c>
      <c r="V15" s="840"/>
      <c r="W15" s="840">
        <f t="shared" si="14"/>
        <v>0</v>
      </c>
      <c r="X15" s="840">
        <f>'[4]int.bevételek RM II'!Z15</f>
        <v>0</v>
      </c>
      <c r="Y15" s="840"/>
      <c r="Z15" s="840">
        <f t="shared" si="6"/>
        <v>0</v>
      </c>
      <c r="AA15" s="840">
        <f t="shared" si="7"/>
        <v>0</v>
      </c>
      <c r="AB15" s="840">
        <f t="shared" si="7"/>
        <v>0</v>
      </c>
      <c r="AC15" s="840">
        <f t="shared" si="7"/>
        <v>0</v>
      </c>
      <c r="AD15" s="840">
        <f t="shared" si="12"/>
        <v>1269</v>
      </c>
      <c r="AE15" s="840">
        <f t="shared" si="12"/>
        <v>1402</v>
      </c>
      <c r="AF15" s="840">
        <f t="shared" si="12"/>
        <v>2671</v>
      </c>
      <c r="AG15" s="841" t="s">
        <v>1027</v>
      </c>
      <c r="AH15" s="840">
        <f>'[4]int.bevételek RM II'!AJ15</f>
        <v>1654</v>
      </c>
      <c r="AI15" s="840"/>
      <c r="AJ15" s="840">
        <f t="shared" si="8"/>
        <v>1654</v>
      </c>
      <c r="AK15" s="840">
        <f>'[4]int.bevételek RM II'!AM15</f>
        <v>97533</v>
      </c>
      <c r="AL15" s="840">
        <f>-431-80</f>
        <v>-511</v>
      </c>
      <c r="AM15" s="840">
        <f t="shared" si="9"/>
        <v>97022</v>
      </c>
      <c r="AN15" s="840">
        <f>'[4]int.bevételek RM II'!AP15</f>
        <v>2203</v>
      </c>
      <c r="AO15" s="840">
        <f>7159+80</f>
        <v>7239</v>
      </c>
      <c r="AP15" s="840">
        <f t="shared" si="10"/>
        <v>9442</v>
      </c>
      <c r="AQ15" s="840">
        <f t="shared" si="11"/>
        <v>99736</v>
      </c>
      <c r="AR15" s="840">
        <f t="shared" si="11"/>
        <v>6728</v>
      </c>
      <c r="AS15" s="840">
        <f t="shared" si="11"/>
        <v>106464</v>
      </c>
      <c r="AT15" s="840">
        <f t="shared" si="13"/>
        <v>102659</v>
      </c>
      <c r="AU15" s="840">
        <f t="shared" si="13"/>
        <v>8130</v>
      </c>
      <c r="AV15" s="840">
        <f t="shared" si="13"/>
        <v>110789</v>
      </c>
    </row>
    <row r="16" spans="1:48" ht="48.75" customHeight="1" x14ac:dyDescent="0.6">
      <c r="A16" s="841" t="s">
        <v>1028</v>
      </c>
      <c r="B16" s="840">
        <f>'[4]int.bevételek RM II'!D16</f>
        <v>790</v>
      </c>
      <c r="C16" s="840">
        <v>291</v>
      </c>
      <c r="D16" s="840">
        <f t="shared" si="0"/>
        <v>1081</v>
      </c>
      <c r="E16" s="840">
        <f>'[4]int.bevételek RM II'!G16</f>
        <v>0</v>
      </c>
      <c r="F16" s="840">
        <v>22</v>
      </c>
      <c r="G16" s="840">
        <f t="shared" si="1"/>
        <v>22</v>
      </c>
      <c r="H16" s="840">
        <f>'[4]int.bevételek RM II'!J16</f>
        <v>0</v>
      </c>
      <c r="I16" s="840">
        <v>22</v>
      </c>
      <c r="J16" s="840">
        <f t="shared" si="2"/>
        <v>22</v>
      </c>
      <c r="K16" s="840">
        <f>'[4]int.bevételek RM II'!M16</f>
        <v>0</v>
      </c>
      <c r="L16" s="840"/>
      <c r="M16" s="840">
        <f t="shared" si="3"/>
        <v>0</v>
      </c>
      <c r="N16" s="840">
        <f t="shared" si="4"/>
        <v>790</v>
      </c>
      <c r="O16" s="840">
        <f t="shared" si="4"/>
        <v>335</v>
      </c>
      <c r="P16" s="840">
        <f t="shared" si="4"/>
        <v>1125</v>
      </c>
      <c r="Q16" s="841" t="s">
        <v>1029</v>
      </c>
      <c r="R16" s="840">
        <f>'[4]int.bevételek RM II'!T16</f>
        <v>0</v>
      </c>
      <c r="S16" s="840"/>
      <c r="T16" s="840">
        <f t="shared" si="5"/>
        <v>0</v>
      </c>
      <c r="U16" s="840">
        <f>'[4]int.bevételek RM II'!W16</f>
        <v>0</v>
      </c>
      <c r="V16" s="840"/>
      <c r="W16" s="840">
        <f t="shared" si="14"/>
        <v>0</v>
      </c>
      <c r="X16" s="840">
        <f>'[4]int.bevételek RM II'!Z16</f>
        <v>0</v>
      </c>
      <c r="Y16" s="840"/>
      <c r="Z16" s="840">
        <f t="shared" si="6"/>
        <v>0</v>
      </c>
      <c r="AA16" s="840">
        <f t="shared" si="7"/>
        <v>0</v>
      </c>
      <c r="AB16" s="840">
        <f t="shared" si="7"/>
        <v>0</v>
      </c>
      <c r="AC16" s="840">
        <f t="shared" si="7"/>
        <v>0</v>
      </c>
      <c r="AD16" s="840">
        <f t="shared" si="12"/>
        <v>790</v>
      </c>
      <c r="AE16" s="840">
        <f t="shared" si="12"/>
        <v>335</v>
      </c>
      <c r="AF16" s="840">
        <f t="shared" si="12"/>
        <v>1125</v>
      </c>
      <c r="AG16" s="841" t="s">
        <v>1029</v>
      </c>
      <c r="AH16" s="840">
        <f>'[4]int.bevételek RM II'!AJ16</f>
        <v>452</v>
      </c>
      <c r="AI16" s="840"/>
      <c r="AJ16" s="840">
        <f t="shared" si="8"/>
        <v>452</v>
      </c>
      <c r="AK16" s="840">
        <f>'[4]int.bevételek RM II'!AM16</f>
        <v>79976</v>
      </c>
      <c r="AL16" s="840">
        <v>-264</v>
      </c>
      <c r="AM16" s="840">
        <f t="shared" si="9"/>
        <v>79712</v>
      </c>
      <c r="AN16" s="840">
        <f>'[4]int.bevételek RM II'!AP16</f>
        <v>121</v>
      </c>
      <c r="AO16" s="840">
        <v>3422</v>
      </c>
      <c r="AP16" s="840">
        <f t="shared" si="10"/>
        <v>3543</v>
      </c>
      <c r="AQ16" s="840">
        <f t="shared" si="11"/>
        <v>80097</v>
      </c>
      <c r="AR16" s="840">
        <f t="shared" si="11"/>
        <v>3158</v>
      </c>
      <c r="AS16" s="840">
        <f t="shared" si="11"/>
        <v>83255</v>
      </c>
      <c r="AT16" s="840">
        <f t="shared" si="13"/>
        <v>81339</v>
      </c>
      <c r="AU16" s="840">
        <f t="shared" si="13"/>
        <v>3493</v>
      </c>
      <c r="AV16" s="840">
        <f t="shared" si="13"/>
        <v>84832</v>
      </c>
    </row>
    <row r="17" spans="1:48" ht="48.75" customHeight="1" x14ac:dyDescent="0.6">
      <c r="A17" s="841" t="s">
        <v>1030</v>
      </c>
      <c r="B17" s="840">
        <f>'[4]int.bevételek RM II'!D17</f>
        <v>958</v>
      </c>
      <c r="C17" s="840">
        <v>33</v>
      </c>
      <c r="D17" s="840">
        <f t="shared" si="0"/>
        <v>991</v>
      </c>
      <c r="E17" s="840">
        <f>'[4]int.bevételek RM II'!G17</f>
        <v>0</v>
      </c>
      <c r="F17" s="840"/>
      <c r="G17" s="840">
        <f t="shared" si="1"/>
        <v>0</v>
      </c>
      <c r="H17" s="840">
        <f>'[4]int.bevételek RM II'!J17</f>
        <v>0</v>
      </c>
      <c r="I17" s="840"/>
      <c r="J17" s="840">
        <f t="shared" si="2"/>
        <v>0</v>
      </c>
      <c r="K17" s="840">
        <f>'[4]int.bevételek RM II'!M17</f>
        <v>0</v>
      </c>
      <c r="L17" s="840"/>
      <c r="M17" s="840">
        <f t="shared" si="3"/>
        <v>0</v>
      </c>
      <c r="N17" s="840">
        <f t="shared" si="4"/>
        <v>958</v>
      </c>
      <c r="O17" s="840">
        <f t="shared" si="4"/>
        <v>33</v>
      </c>
      <c r="P17" s="840">
        <f t="shared" si="4"/>
        <v>991</v>
      </c>
      <c r="Q17" s="841" t="s">
        <v>1030</v>
      </c>
      <c r="R17" s="840">
        <f>'[4]int.bevételek RM II'!T17</f>
        <v>0</v>
      </c>
      <c r="S17" s="840"/>
      <c r="T17" s="840">
        <f t="shared" si="5"/>
        <v>0</v>
      </c>
      <c r="U17" s="840">
        <f>'[4]int.bevételek RM II'!W17</f>
        <v>0</v>
      </c>
      <c r="V17" s="840"/>
      <c r="W17" s="840">
        <f t="shared" si="14"/>
        <v>0</v>
      </c>
      <c r="X17" s="840">
        <f>'[4]int.bevételek RM II'!Z17</f>
        <v>0</v>
      </c>
      <c r="Y17" s="840"/>
      <c r="Z17" s="840">
        <f t="shared" si="6"/>
        <v>0</v>
      </c>
      <c r="AA17" s="840">
        <f t="shared" si="7"/>
        <v>0</v>
      </c>
      <c r="AB17" s="840">
        <f t="shared" si="7"/>
        <v>0</v>
      </c>
      <c r="AC17" s="840">
        <f t="shared" si="7"/>
        <v>0</v>
      </c>
      <c r="AD17" s="840">
        <f t="shared" si="12"/>
        <v>958</v>
      </c>
      <c r="AE17" s="840">
        <f t="shared" si="12"/>
        <v>33</v>
      </c>
      <c r="AF17" s="840">
        <f t="shared" si="12"/>
        <v>991</v>
      </c>
      <c r="AG17" s="841" t="s">
        <v>1030</v>
      </c>
      <c r="AH17" s="840">
        <f>'[4]int.bevételek RM II'!AJ17</f>
        <v>58</v>
      </c>
      <c r="AI17" s="840"/>
      <c r="AJ17" s="840">
        <f t="shared" si="8"/>
        <v>58</v>
      </c>
      <c r="AK17" s="840">
        <f>'[4]int.bevételek RM II'!AM17</f>
        <v>87145</v>
      </c>
      <c r="AL17" s="840">
        <f>-192-2</f>
        <v>-194</v>
      </c>
      <c r="AM17" s="840">
        <f t="shared" si="9"/>
        <v>86951</v>
      </c>
      <c r="AN17" s="840">
        <f>'[4]int.bevételek RM II'!AP17</f>
        <v>15358</v>
      </c>
      <c r="AO17" s="840">
        <f>100+2</f>
        <v>102</v>
      </c>
      <c r="AP17" s="840">
        <f t="shared" si="10"/>
        <v>15460</v>
      </c>
      <c r="AQ17" s="840">
        <f t="shared" si="11"/>
        <v>102503</v>
      </c>
      <c r="AR17" s="840">
        <f t="shared" si="11"/>
        <v>-92</v>
      </c>
      <c r="AS17" s="840">
        <f t="shared" si="11"/>
        <v>102411</v>
      </c>
      <c r="AT17" s="840">
        <f t="shared" si="13"/>
        <v>103519</v>
      </c>
      <c r="AU17" s="840">
        <f t="shared" si="13"/>
        <v>-59</v>
      </c>
      <c r="AV17" s="840">
        <f t="shared" si="13"/>
        <v>103460</v>
      </c>
    </row>
    <row r="18" spans="1:48" ht="48.75" customHeight="1" x14ac:dyDescent="0.6">
      <c r="A18" s="841" t="s">
        <v>1032</v>
      </c>
      <c r="B18" s="840">
        <f>'[4]int.bevételek RM II'!D18</f>
        <v>805</v>
      </c>
      <c r="C18" s="840"/>
      <c r="D18" s="840">
        <f t="shared" si="0"/>
        <v>805</v>
      </c>
      <c r="E18" s="840">
        <f>'[4]int.bevételek RM II'!G18</f>
        <v>0</v>
      </c>
      <c r="F18" s="840">
        <v>15</v>
      </c>
      <c r="G18" s="840">
        <f t="shared" si="1"/>
        <v>15</v>
      </c>
      <c r="H18" s="840">
        <f>'[4]int.bevételek RM II'!J18</f>
        <v>0</v>
      </c>
      <c r="I18" s="840"/>
      <c r="J18" s="840">
        <f t="shared" si="2"/>
        <v>0</v>
      </c>
      <c r="K18" s="840">
        <f>'[4]int.bevételek RM II'!M18</f>
        <v>0</v>
      </c>
      <c r="L18" s="840"/>
      <c r="M18" s="840">
        <f t="shared" si="3"/>
        <v>0</v>
      </c>
      <c r="N18" s="840">
        <f t="shared" si="4"/>
        <v>805</v>
      </c>
      <c r="O18" s="840">
        <f t="shared" si="4"/>
        <v>15</v>
      </c>
      <c r="P18" s="840">
        <f t="shared" si="4"/>
        <v>820</v>
      </c>
      <c r="Q18" s="841" t="s">
        <v>1032</v>
      </c>
      <c r="R18" s="840">
        <f>'[4]int.bevételek RM II'!T18</f>
        <v>0</v>
      </c>
      <c r="S18" s="840"/>
      <c r="T18" s="840">
        <f t="shared" si="5"/>
        <v>0</v>
      </c>
      <c r="U18" s="840">
        <f>'[4]int.bevételek RM II'!W18</f>
        <v>0</v>
      </c>
      <c r="V18" s="840"/>
      <c r="W18" s="840">
        <f t="shared" si="14"/>
        <v>0</v>
      </c>
      <c r="X18" s="840">
        <f>'[4]int.bevételek RM II'!Z18</f>
        <v>0</v>
      </c>
      <c r="Y18" s="840"/>
      <c r="Z18" s="840">
        <f t="shared" si="6"/>
        <v>0</v>
      </c>
      <c r="AA18" s="840">
        <f t="shared" si="7"/>
        <v>0</v>
      </c>
      <c r="AB18" s="840">
        <f t="shared" si="7"/>
        <v>0</v>
      </c>
      <c r="AC18" s="840">
        <f t="shared" si="7"/>
        <v>0</v>
      </c>
      <c r="AD18" s="840">
        <f t="shared" si="12"/>
        <v>805</v>
      </c>
      <c r="AE18" s="840">
        <f t="shared" si="12"/>
        <v>15</v>
      </c>
      <c r="AF18" s="840">
        <f t="shared" si="12"/>
        <v>820</v>
      </c>
      <c r="AG18" s="841" t="s">
        <v>1032</v>
      </c>
      <c r="AH18" s="840">
        <f>'[4]int.bevételek RM II'!AJ18</f>
        <v>245</v>
      </c>
      <c r="AI18" s="840"/>
      <c r="AJ18" s="840">
        <f t="shared" si="8"/>
        <v>245</v>
      </c>
      <c r="AK18" s="840">
        <f>'[4]int.bevételek RM II'!AM18</f>
        <v>124753</v>
      </c>
      <c r="AL18" s="840">
        <f>845+292</f>
        <v>1137</v>
      </c>
      <c r="AM18" s="840">
        <f t="shared" si="9"/>
        <v>125890</v>
      </c>
      <c r="AN18" s="840">
        <f>'[4]int.bevételek RM II'!AP18</f>
        <v>0</v>
      </c>
      <c r="AO18" s="840">
        <f>4108-292</f>
        <v>3816</v>
      </c>
      <c r="AP18" s="840">
        <f t="shared" si="10"/>
        <v>3816</v>
      </c>
      <c r="AQ18" s="840">
        <f t="shared" si="11"/>
        <v>124753</v>
      </c>
      <c r="AR18" s="840">
        <f t="shared" si="11"/>
        <v>4953</v>
      </c>
      <c r="AS18" s="840">
        <f t="shared" si="11"/>
        <v>129706</v>
      </c>
      <c r="AT18" s="840">
        <f t="shared" si="13"/>
        <v>125803</v>
      </c>
      <c r="AU18" s="840">
        <f t="shared" si="13"/>
        <v>4968</v>
      </c>
      <c r="AV18" s="840">
        <f t="shared" si="13"/>
        <v>130771</v>
      </c>
    </row>
    <row r="19" spans="1:48" ht="48.75" customHeight="1" x14ac:dyDescent="0.6">
      <c r="A19" s="841" t="s">
        <v>1033</v>
      </c>
      <c r="B19" s="840">
        <f>'[4]int.bevételek RM II'!D19</f>
        <v>1220</v>
      </c>
      <c r="C19" s="840">
        <v>482</v>
      </c>
      <c r="D19" s="840">
        <f t="shared" si="0"/>
        <v>1702</v>
      </c>
      <c r="E19" s="840">
        <f>'[4]int.bevételek RM II'!G19</f>
        <v>0</v>
      </c>
      <c r="F19" s="840"/>
      <c r="G19" s="840">
        <f t="shared" si="1"/>
        <v>0</v>
      </c>
      <c r="H19" s="840">
        <f>'[4]int.bevételek RM II'!J19</f>
        <v>0</v>
      </c>
      <c r="I19" s="840"/>
      <c r="J19" s="840">
        <f t="shared" si="2"/>
        <v>0</v>
      </c>
      <c r="K19" s="840">
        <f>'[4]int.bevételek RM II'!M19</f>
        <v>0</v>
      </c>
      <c r="L19" s="840"/>
      <c r="M19" s="840">
        <f t="shared" si="3"/>
        <v>0</v>
      </c>
      <c r="N19" s="840">
        <f t="shared" si="4"/>
        <v>1220</v>
      </c>
      <c r="O19" s="840">
        <f t="shared" si="4"/>
        <v>482</v>
      </c>
      <c r="P19" s="840">
        <f t="shared" si="4"/>
        <v>1702</v>
      </c>
      <c r="Q19" s="841" t="s">
        <v>1033</v>
      </c>
      <c r="R19" s="840">
        <f>'[4]int.bevételek RM II'!T19</f>
        <v>0</v>
      </c>
      <c r="S19" s="840"/>
      <c r="T19" s="840">
        <f t="shared" si="5"/>
        <v>0</v>
      </c>
      <c r="U19" s="840">
        <f>'[4]int.bevételek RM II'!W19</f>
        <v>0</v>
      </c>
      <c r="V19" s="840"/>
      <c r="W19" s="840">
        <f t="shared" si="14"/>
        <v>0</v>
      </c>
      <c r="X19" s="840">
        <f>'[4]int.bevételek RM II'!Z19</f>
        <v>0</v>
      </c>
      <c r="Y19" s="840"/>
      <c r="Z19" s="840">
        <f t="shared" si="6"/>
        <v>0</v>
      </c>
      <c r="AA19" s="840">
        <f t="shared" si="7"/>
        <v>0</v>
      </c>
      <c r="AB19" s="840">
        <f t="shared" si="7"/>
        <v>0</v>
      </c>
      <c r="AC19" s="840">
        <f t="shared" si="7"/>
        <v>0</v>
      </c>
      <c r="AD19" s="840">
        <f t="shared" si="12"/>
        <v>1220</v>
      </c>
      <c r="AE19" s="840">
        <f t="shared" si="12"/>
        <v>482</v>
      </c>
      <c r="AF19" s="840">
        <f t="shared" si="12"/>
        <v>1702</v>
      </c>
      <c r="AG19" s="841" t="s">
        <v>1033</v>
      </c>
      <c r="AH19" s="840">
        <f>'[4]int.bevételek RM II'!AJ19</f>
        <v>708</v>
      </c>
      <c r="AI19" s="840"/>
      <c r="AJ19" s="840">
        <f t="shared" si="8"/>
        <v>708</v>
      </c>
      <c r="AK19" s="840">
        <f>'[4]int.bevételek RM II'!AM19</f>
        <v>135617</v>
      </c>
      <c r="AL19" s="840">
        <f>-556-44</f>
        <v>-600</v>
      </c>
      <c r="AM19" s="840">
        <f t="shared" si="9"/>
        <v>135017</v>
      </c>
      <c r="AN19" s="840">
        <f>'[4]int.bevételek RM II'!AP19</f>
        <v>22226</v>
      </c>
      <c r="AO19" s="840">
        <f>100+44</f>
        <v>144</v>
      </c>
      <c r="AP19" s="840">
        <f t="shared" si="10"/>
        <v>22370</v>
      </c>
      <c r="AQ19" s="840">
        <f t="shared" si="11"/>
        <v>157843</v>
      </c>
      <c r="AR19" s="840">
        <f t="shared" si="11"/>
        <v>-456</v>
      </c>
      <c r="AS19" s="840">
        <f t="shared" si="11"/>
        <v>157387</v>
      </c>
      <c r="AT19" s="840">
        <f t="shared" si="13"/>
        <v>159771</v>
      </c>
      <c r="AU19" s="840">
        <f t="shared" si="13"/>
        <v>26</v>
      </c>
      <c r="AV19" s="840">
        <f t="shared" si="13"/>
        <v>159797</v>
      </c>
    </row>
    <row r="20" spans="1:48" ht="48.75" customHeight="1" x14ac:dyDescent="0.6">
      <c r="A20" s="841" t="s">
        <v>1034</v>
      </c>
      <c r="B20" s="840">
        <f>'[4]int.bevételek RM II'!D20</f>
        <v>532</v>
      </c>
      <c r="C20" s="840">
        <v>66</v>
      </c>
      <c r="D20" s="840">
        <f t="shared" si="0"/>
        <v>598</v>
      </c>
      <c r="E20" s="840">
        <f>'[4]int.bevételek RM II'!G20</f>
        <v>0</v>
      </c>
      <c r="F20" s="840"/>
      <c r="G20" s="840">
        <f t="shared" si="1"/>
        <v>0</v>
      </c>
      <c r="H20" s="840">
        <f>'[4]int.bevételek RM II'!J20</f>
        <v>0</v>
      </c>
      <c r="I20" s="840">
        <v>180</v>
      </c>
      <c r="J20" s="840">
        <f t="shared" si="2"/>
        <v>180</v>
      </c>
      <c r="K20" s="840">
        <f>'[4]int.bevételek RM II'!M20</f>
        <v>0</v>
      </c>
      <c r="L20" s="840"/>
      <c r="M20" s="840">
        <f t="shared" si="3"/>
        <v>0</v>
      </c>
      <c r="N20" s="840">
        <f t="shared" si="4"/>
        <v>532</v>
      </c>
      <c r="O20" s="840">
        <f t="shared" si="4"/>
        <v>246</v>
      </c>
      <c r="P20" s="840">
        <f t="shared" si="4"/>
        <v>778</v>
      </c>
      <c r="Q20" s="841" t="s">
        <v>1034</v>
      </c>
      <c r="R20" s="840">
        <f>'[4]int.bevételek RM II'!T20</f>
        <v>0</v>
      </c>
      <c r="S20" s="840"/>
      <c r="T20" s="840">
        <f t="shared" si="5"/>
        <v>0</v>
      </c>
      <c r="U20" s="840">
        <f>'[4]int.bevételek RM II'!W20</f>
        <v>0</v>
      </c>
      <c r="V20" s="840"/>
      <c r="W20" s="840">
        <f t="shared" si="14"/>
        <v>0</v>
      </c>
      <c r="X20" s="840">
        <f>'[4]int.bevételek RM II'!Z20</f>
        <v>0</v>
      </c>
      <c r="Y20" s="840"/>
      <c r="Z20" s="840">
        <f t="shared" si="6"/>
        <v>0</v>
      </c>
      <c r="AA20" s="840">
        <f t="shared" si="7"/>
        <v>0</v>
      </c>
      <c r="AB20" s="840">
        <f t="shared" si="7"/>
        <v>0</v>
      </c>
      <c r="AC20" s="840">
        <f t="shared" si="7"/>
        <v>0</v>
      </c>
      <c r="AD20" s="840">
        <f t="shared" si="12"/>
        <v>532</v>
      </c>
      <c r="AE20" s="840">
        <f t="shared" si="12"/>
        <v>246</v>
      </c>
      <c r="AF20" s="840">
        <f t="shared" si="12"/>
        <v>778</v>
      </c>
      <c r="AG20" s="841" t="s">
        <v>1034</v>
      </c>
      <c r="AH20" s="840">
        <f>'[4]int.bevételek RM II'!AJ20</f>
        <v>63</v>
      </c>
      <c r="AI20" s="840"/>
      <c r="AJ20" s="840">
        <f t="shared" si="8"/>
        <v>63</v>
      </c>
      <c r="AK20" s="840">
        <f>'[4]int.bevételek RM II'!AM20</f>
        <v>72705</v>
      </c>
      <c r="AL20" s="840">
        <f>-454-9</f>
        <v>-463</v>
      </c>
      <c r="AM20" s="840">
        <f t="shared" si="9"/>
        <v>72242</v>
      </c>
      <c r="AN20" s="840">
        <f>'[4]int.bevételek RM II'!AP20</f>
        <v>10</v>
      </c>
      <c r="AO20" s="840">
        <f>975+9</f>
        <v>984</v>
      </c>
      <c r="AP20" s="840">
        <f t="shared" si="10"/>
        <v>994</v>
      </c>
      <c r="AQ20" s="840">
        <f t="shared" si="11"/>
        <v>72715</v>
      </c>
      <c r="AR20" s="840">
        <f t="shared" si="11"/>
        <v>521</v>
      </c>
      <c r="AS20" s="840">
        <f t="shared" si="11"/>
        <v>73236</v>
      </c>
      <c r="AT20" s="840">
        <f t="shared" si="13"/>
        <v>73310</v>
      </c>
      <c r="AU20" s="840">
        <f t="shared" si="13"/>
        <v>767</v>
      </c>
      <c r="AV20" s="840">
        <f t="shared" si="13"/>
        <v>74077</v>
      </c>
    </row>
    <row r="21" spans="1:48" ht="48.75" customHeight="1" x14ac:dyDescent="0.6">
      <c r="A21" s="841" t="s">
        <v>1035</v>
      </c>
      <c r="B21" s="840">
        <f>'[4]int.bevételek RM II'!D21</f>
        <v>782</v>
      </c>
      <c r="C21" s="840">
        <v>385</v>
      </c>
      <c r="D21" s="840">
        <f t="shared" si="0"/>
        <v>1167</v>
      </c>
      <c r="E21" s="840">
        <f>'[4]int.bevételek RM II'!G21</f>
        <v>0</v>
      </c>
      <c r="F21" s="840"/>
      <c r="G21" s="840">
        <f t="shared" si="1"/>
        <v>0</v>
      </c>
      <c r="H21" s="840">
        <f>'[4]int.bevételek RM II'!J21</f>
        <v>0</v>
      </c>
      <c r="I21" s="840"/>
      <c r="J21" s="840">
        <f t="shared" si="2"/>
        <v>0</v>
      </c>
      <c r="K21" s="840">
        <f>'[4]int.bevételek RM II'!M21</f>
        <v>0</v>
      </c>
      <c r="L21" s="840"/>
      <c r="M21" s="840">
        <f t="shared" si="3"/>
        <v>0</v>
      </c>
      <c r="N21" s="840">
        <f t="shared" si="4"/>
        <v>782</v>
      </c>
      <c r="O21" s="840">
        <f t="shared" si="4"/>
        <v>385</v>
      </c>
      <c r="P21" s="840">
        <f t="shared" si="4"/>
        <v>1167</v>
      </c>
      <c r="Q21" s="841" t="s">
        <v>1035</v>
      </c>
      <c r="R21" s="840">
        <f>'[4]int.bevételek RM II'!T21</f>
        <v>0</v>
      </c>
      <c r="S21" s="840"/>
      <c r="T21" s="840">
        <f t="shared" si="5"/>
        <v>0</v>
      </c>
      <c r="U21" s="840">
        <f>'[4]int.bevételek RM II'!W21</f>
        <v>0</v>
      </c>
      <c r="V21" s="840"/>
      <c r="W21" s="840">
        <f t="shared" si="14"/>
        <v>0</v>
      </c>
      <c r="X21" s="840">
        <f>'[4]int.bevételek RM II'!Z21</f>
        <v>0</v>
      </c>
      <c r="Y21" s="840"/>
      <c r="Z21" s="840">
        <f t="shared" si="6"/>
        <v>0</v>
      </c>
      <c r="AA21" s="840">
        <f t="shared" si="7"/>
        <v>0</v>
      </c>
      <c r="AB21" s="840">
        <f t="shared" si="7"/>
        <v>0</v>
      </c>
      <c r="AC21" s="840">
        <f t="shared" si="7"/>
        <v>0</v>
      </c>
      <c r="AD21" s="840">
        <f t="shared" si="12"/>
        <v>782</v>
      </c>
      <c r="AE21" s="840">
        <f t="shared" si="12"/>
        <v>385</v>
      </c>
      <c r="AF21" s="840">
        <f t="shared" si="12"/>
        <v>1167</v>
      </c>
      <c r="AG21" s="841" t="s">
        <v>1035</v>
      </c>
      <c r="AH21" s="840">
        <f>'[4]int.bevételek RM II'!AJ21</f>
        <v>144</v>
      </c>
      <c r="AI21" s="840"/>
      <c r="AJ21" s="840">
        <f t="shared" si="8"/>
        <v>144</v>
      </c>
      <c r="AK21" s="840">
        <f>'[4]int.bevételek RM II'!AM21</f>
        <v>53557</v>
      </c>
      <c r="AL21" s="840">
        <f>3366+559</f>
        <v>3925</v>
      </c>
      <c r="AM21" s="840">
        <f t="shared" si="9"/>
        <v>57482</v>
      </c>
      <c r="AN21" s="840">
        <f>'[4]int.bevételek RM II'!AP21</f>
        <v>9807</v>
      </c>
      <c r="AO21" s="840">
        <f>3753-559</f>
        <v>3194</v>
      </c>
      <c r="AP21" s="840">
        <f t="shared" si="10"/>
        <v>13001</v>
      </c>
      <c r="AQ21" s="840">
        <f t="shared" si="11"/>
        <v>63364</v>
      </c>
      <c r="AR21" s="840">
        <f t="shared" si="11"/>
        <v>7119</v>
      </c>
      <c r="AS21" s="840">
        <f t="shared" si="11"/>
        <v>70483</v>
      </c>
      <c r="AT21" s="840">
        <f t="shared" si="13"/>
        <v>64290</v>
      </c>
      <c r="AU21" s="840">
        <f t="shared" si="13"/>
        <v>7504</v>
      </c>
      <c r="AV21" s="840">
        <f t="shared" si="13"/>
        <v>71794</v>
      </c>
    </row>
    <row r="22" spans="1:48" ht="48.75" customHeight="1" x14ac:dyDescent="0.6">
      <c r="A22" s="841" t="s">
        <v>1036</v>
      </c>
      <c r="B22" s="840">
        <f>'[4]int.bevételek RM II'!D22</f>
        <v>460</v>
      </c>
      <c r="C22" s="840">
        <v>4</v>
      </c>
      <c r="D22" s="840">
        <f t="shared" si="0"/>
        <v>464</v>
      </c>
      <c r="E22" s="840">
        <f>'[4]int.bevételek RM II'!G22</f>
        <v>0</v>
      </c>
      <c r="F22" s="840"/>
      <c r="G22" s="840">
        <f t="shared" si="1"/>
        <v>0</v>
      </c>
      <c r="H22" s="840">
        <f>'[4]int.bevételek RM II'!J22</f>
        <v>0</v>
      </c>
      <c r="I22" s="840"/>
      <c r="J22" s="840">
        <f t="shared" si="2"/>
        <v>0</v>
      </c>
      <c r="K22" s="840">
        <f>'[4]int.bevételek RM II'!M22</f>
        <v>0</v>
      </c>
      <c r="L22" s="840"/>
      <c r="M22" s="840">
        <f t="shared" si="3"/>
        <v>0</v>
      </c>
      <c r="N22" s="840">
        <f t="shared" si="4"/>
        <v>460</v>
      </c>
      <c r="O22" s="840">
        <f t="shared" si="4"/>
        <v>4</v>
      </c>
      <c r="P22" s="840">
        <f t="shared" si="4"/>
        <v>464</v>
      </c>
      <c r="Q22" s="841" t="s">
        <v>1036</v>
      </c>
      <c r="R22" s="840">
        <f>'[4]int.bevételek RM II'!T22</f>
        <v>0</v>
      </c>
      <c r="S22" s="840"/>
      <c r="T22" s="840">
        <f t="shared" si="5"/>
        <v>0</v>
      </c>
      <c r="U22" s="840">
        <f>'[4]int.bevételek RM II'!W22</f>
        <v>0</v>
      </c>
      <c r="V22" s="840"/>
      <c r="W22" s="840">
        <f t="shared" si="14"/>
        <v>0</v>
      </c>
      <c r="X22" s="840">
        <f>'[4]int.bevételek RM II'!Z22</f>
        <v>0</v>
      </c>
      <c r="Y22" s="840"/>
      <c r="Z22" s="840">
        <f t="shared" si="6"/>
        <v>0</v>
      </c>
      <c r="AA22" s="840">
        <f t="shared" si="7"/>
        <v>0</v>
      </c>
      <c r="AB22" s="840">
        <f t="shared" si="7"/>
        <v>0</v>
      </c>
      <c r="AC22" s="840">
        <f t="shared" si="7"/>
        <v>0</v>
      </c>
      <c r="AD22" s="840">
        <f t="shared" si="12"/>
        <v>460</v>
      </c>
      <c r="AE22" s="840">
        <f t="shared" si="12"/>
        <v>4</v>
      </c>
      <c r="AF22" s="840">
        <f t="shared" si="12"/>
        <v>464</v>
      </c>
      <c r="AG22" s="841" t="s">
        <v>1036</v>
      </c>
      <c r="AH22" s="840">
        <f>'[4]int.bevételek RM II'!AJ22</f>
        <v>112</v>
      </c>
      <c r="AI22" s="840"/>
      <c r="AJ22" s="840">
        <f t="shared" si="8"/>
        <v>112</v>
      </c>
      <c r="AK22" s="840">
        <f>'[4]int.bevételek RM II'!AM22</f>
        <v>77434</v>
      </c>
      <c r="AL22" s="840">
        <v>-243</v>
      </c>
      <c r="AM22" s="840">
        <f t="shared" si="9"/>
        <v>77191</v>
      </c>
      <c r="AN22" s="840">
        <f>'[4]int.bevételek RM II'!AP22</f>
        <v>17223</v>
      </c>
      <c r="AO22" s="840">
        <v>3269</v>
      </c>
      <c r="AP22" s="840">
        <f t="shared" si="10"/>
        <v>20492</v>
      </c>
      <c r="AQ22" s="840">
        <f t="shared" si="11"/>
        <v>94657</v>
      </c>
      <c r="AR22" s="840">
        <f t="shared" si="11"/>
        <v>3026</v>
      </c>
      <c r="AS22" s="840">
        <f t="shared" si="11"/>
        <v>97683</v>
      </c>
      <c r="AT22" s="840">
        <f t="shared" si="13"/>
        <v>95229</v>
      </c>
      <c r="AU22" s="840">
        <f t="shared" si="13"/>
        <v>3030</v>
      </c>
      <c r="AV22" s="840">
        <f t="shared" si="13"/>
        <v>98259</v>
      </c>
    </row>
    <row r="23" spans="1:48" ht="48.75" customHeight="1" x14ac:dyDescent="0.6">
      <c r="A23" s="841" t="s">
        <v>1037</v>
      </c>
      <c r="B23" s="840">
        <f>'[4]int.bevételek RM II'!D23</f>
        <v>720</v>
      </c>
      <c r="C23" s="840">
        <v>770</v>
      </c>
      <c r="D23" s="840">
        <f t="shared" si="0"/>
        <v>1490</v>
      </c>
      <c r="E23" s="840">
        <f>'[4]int.bevételek RM II'!G23</f>
        <v>0</v>
      </c>
      <c r="F23" s="840"/>
      <c r="G23" s="840">
        <f t="shared" si="1"/>
        <v>0</v>
      </c>
      <c r="H23" s="840">
        <f>'[4]int.bevételek RM II'!J23</f>
        <v>0</v>
      </c>
      <c r="I23" s="840"/>
      <c r="J23" s="840">
        <f t="shared" si="2"/>
        <v>0</v>
      </c>
      <c r="K23" s="840">
        <f>'[4]int.bevételek RM II'!M23</f>
        <v>0</v>
      </c>
      <c r="L23" s="840"/>
      <c r="M23" s="840">
        <f t="shared" si="3"/>
        <v>0</v>
      </c>
      <c r="N23" s="840">
        <f t="shared" si="4"/>
        <v>720</v>
      </c>
      <c r="O23" s="840">
        <f t="shared" si="4"/>
        <v>770</v>
      </c>
      <c r="P23" s="840">
        <f t="shared" si="4"/>
        <v>1490</v>
      </c>
      <c r="Q23" s="841" t="s">
        <v>1037</v>
      </c>
      <c r="R23" s="840">
        <f>'[4]int.bevételek RM II'!T23</f>
        <v>0</v>
      </c>
      <c r="S23" s="840"/>
      <c r="T23" s="840">
        <f t="shared" si="5"/>
        <v>0</v>
      </c>
      <c r="U23" s="840">
        <f>'[4]int.bevételek RM II'!W23</f>
        <v>0</v>
      </c>
      <c r="V23" s="840"/>
      <c r="W23" s="840">
        <f t="shared" si="14"/>
        <v>0</v>
      </c>
      <c r="X23" s="840">
        <f>'[4]int.bevételek RM II'!Z23</f>
        <v>0</v>
      </c>
      <c r="Y23" s="840"/>
      <c r="Z23" s="840">
        <f t="shared" si="6"/>
        <v>0</v>
      </c>
      <c r="AA23" s="840">
        <f t="shared" si="7"/>
        <v>0</v>
      </c>
      <c r="AB23" s="840">
        <f t="shared" si="7"/>
        <v>0</v>
      </c>
      <c r="AC23" s="840">
        <f t="shared" si="7"/>
        <v>0</v>
      </c>
      <c r="AD23" s="840">
        <f t="shared" si="12"/>
        <v>720</v>
      </c>
      <c r="AE23" s="840">
        <f t="shared" si="12"/>
        <v>770</v>
      </c>
      <c r="AF23" s="840">
        <f t="shared" si="12"/>
        <v>1490</v>
      </c>
      <c r="AG23" s="841" t="s">
        <v>1037</v>
      </c>
      <c r="AH23" s="840">
        <f>'[4]int.bevételek RM II'!AJ23</f>
        <v>203</v>
      </c>
      <c r="AI23" s="840"/>
      <c r="AJ23" s="840">
        <f t="shared" si="8"/>
        <v>203</v>
      </c>
      <c r="AK23" s="840">
        <f>'[4]int.bevételek RM II'!AM23</f>
        <v>98221</v>
      </c>
      <c r="AL23" s="840">
        <f>328-123</f>
        <v>205</v>
      </c>
      <c r="AM23" s="840">
        <f t="shared" si="9"/>
        <v>98426</v>
      </c>
      <c r="AN23" s="840">
        <f>'[4]int.bevételek RM II'!AP23</f>
        <v>17</v>
      </c>
      <c r="AO23" s="840">
        <f>100+123</f>
        <v>223</v>
      </c>
      <c r="AP23" s="840">
        <f t="shared" si="10"/>
        <v>240</v>
      </c>
      <c r="AQ23" s="840">
        <f t="shared" si="11"/>
        <v>98238</v>
      </c>
      <c r="AR23" s="840">
        <f t="shared" si="11"/>
        <v>428</v>
      </c>
      <c r="AS23" s="840">
        <f t="shared" si="11"/>
        <v>98666</v>
      </c>
      <c r="AT23" s="840">
        <f t="shared" si="13"/>
        <v>99161</v>
      </c>
      <c r="AU23" s="840">
        <f t="shared" si="13"/>
        <v>1198</v>
      </c>
      <c r="AV23" s="840">
        <f t="shared" si="13"/>
        <v>100359</v>
      </c>
    </row>
    <row r="24" spans="1:48" ht="48.75" customHeight="1" x14ac:dyDescent="0.6">
      <c r="A24" s="841" t="s">
        <v>1038</v>
      </c>
      <c r="B24" s="840">
        <f>'[4]int.bevételek RM II'!D24</f>
        <v>1360</v>
      </c>
      <c r="C24" s="840">
        <v>208</v>
      </c>
      <c r="D24" s="840">
        <f t="shared" si="0"/>
        <v>1568</v>
      </c>
      <c r="E24" s="840">
        <f>'[4]int.bevételek RM II'!G24</f>
        <v>0</v>
      </c>
      <c r="F24" s="840"/>
      <c r="G24" s="840">
        <f t="shared" si="1"/>
        <v>0</v>
      </c>
      <c r="H24" s="840">
        <f>'[4]int.bevételek RM II'!J24</f>
        <v>0</v>
      </c>
      <c r="I24" s="840">
        <v>60</v>
      </c>
      <c r="J24" s="840">
        <f t="shared" si="2"/>
        <v>60</v>
      </c>
      <c r="K24" s="840">
        <f>'[4]int.bevételek RM II'!M24</f>
        <v>0</v>
      </c>
      <c r="L24" s="840"/>
      <c r="M24" s="840">
        <f t="shared" si="3"/>
        <v>0</v>
      </c>
      <c r="N24" s="840">
        <f t="shared" si="4"/>
        <v>1360</v>
      </c>
      <c r="O24" s="840">
        <f t="shared" si="4"/>
        <v>268</v>
      </c>
      <c r="P24" s="840">
        <f t="shared" si="4"/>
        <v>1628</v>
      </c>
      <c r="Q24" s="841" t="s">
        <v>1038</v>
      </c>
      <c r="R24" s="840">
        <f>'[4]int.bevételek RM II'!T24</f>
        <v>0</v>
      </c>
      <c r="S24" s="840"/>
      <c r="T24" s="840">
        <f t="shared" si="5"/>
        <v>0</v>
      </c>
      <c r="U24" s="840">
        <f>'[4]int.bevételek RM II'!W24</f>
        <v>0</v>
      </c>
      <c r="V24" s="840"/>
      <c r="W24" s="840">
        <f>SUM(U24:V24)</f>
        <v>0</v>
      </c>
      <c r="X24" s="840">
        <f>'[4]int.bevételek RM II'!Z24</f>
        <v>0</v>
      </c>
      <c r="Y24" s="840"/>
      <c r="Z24" s="840">
        <f t="shared" si="6"/>
        <v>0</v>
      </c>
      <c r="AA24" s="840">
        <f t="shared" si="7"/>
        <v>0</v>
      </c>
      <c r="AB24" s="840">
        <f t="shared" si="7"/>
        <v>0</v>
      </c>
      <c r="AC24" s="840">
        <f t="shared" si="7"/>
        <v>0</v>
      </c>
      <c r="AD24" s="840">
        <f t="shared" si="12"/>
        <v>1360</v>
      </c>
      <c r="AE24" s="840">
        <f t="shared" si="12"/>
        <v>268</v>
      </c>
      <c r="AF24" s="840">
        <f t="shared" si="12"/>
        <v>1628</v>
      </c>
      <c r="AG24" s="841" t="s">
        <v>1038</v>
      </c>
      <c r="AH24" s="840">
        <f>'[4]int.bevételek RM II'!AJ24</f>
        <v>417</v>
      </c>
      <c r="AI24" s="840"/>
      <c r="AJ24" s="840">
        <f t="shared" si="8"/>
        <v>417</v>
      </c>
      <c r="AK24" s="840">
        <f>'[4]int.bevételek RM II'!AM24</f>
        <v>122342</v>
      </c>
      <c r="AL24" s="840">
        <f>-391-25</f>
        <v>-416</v>
      </c>
      <c r="AM24" s="840">
        <f t="shared" si="9"/>
        <v>121926</v>
      </c>
      <c r="AN24" s="840">
        <f>'[4]int.bevételek RM II'!AP24</f>
        <v>530</v>
      </c>
      <c r="AO24" s="840">
        <f>910+25</f>
        <v>935</v>
      </c>
      <c r="AP24" s="840">
        <f t="shared" si="10"/>
        <v>1465</v>
      </c>
      <c r="AQ24" s="840">
        <f t="shared" si="11"/>
        <v>122872</v>
      </c>
      <c r="AR24" s="840">
        <f t="shared" si="11"/>
        <v>519</v>
      </c>
      <c r="AS24" s="840">
        <f t="shared" si="11"/>
        <v>123391</v>
      </c>
      <c r="AT24" s="840">
        <f t="shared" si="13"/>
        <v>124649</v>
      </c>
      <c r="AU24" s="840">
        <f t="shared" si="13"/>
        <v>787</v>
      </c>
      <c r="AV24" s="840">
        <f t="shared" si="13"/>
        <v>125436</v>
      </c>
    </row>
    <row r="25" spans="1:48" ht="48.75" customHeight="1" x14ac:dyDescent="0.6">
      <c r="A25" s="841" t="s">
        <v>1039</v>
      </c>
      <c r="B25" s="840">
        <f>'[4]int.bevételek RM II'!D25</f>
        <v>1007</v>
      </c>
      <c r="C25" s="840">
        <v>34</v>
      </c>
      <c r="D25" s="840">
        <f t="shared" si="0"/>
        <v>1041</v>
      </c>
      <c r="E25" s="840">
        <f>'[4]int.bevételek RM II'!G25</f>
        <v>0</v>
      </c>
      <c r="F25" s="840"/>
      <c r="G25" s="840">
        <f t="shared" si="1"/>
        <v>0</v>
      </c>
      <c r="H25" s="840">
        <f>'[4]int.bevételek RM II'!J25</f>
        <v>0</v>
      </c>
      <c r="I25" s="840"/>
      <c r="J25" s="840">
        <f t="shared" si="2"/>
        <v>0</v>
      </c>
      <c r="K25" s="840">
        <f>'[4]int.bevételek RM II'!M25</f>
        <v>0</v>
      </c>
      <c r="L25" s="840"/>
      <c r="M25" s="840">
        <f t="shared" si="3"/>
        <v>0</v>
      </c>
      <c r="N25" s="840">
        <f t="shared" si="4"/>
        <v>1007</v>
      </c>
      <c r="O25" s="840">
        <f t="shared" si="4"/>
        <v>34</v>
      </c>
      <c r="P25" s="840">
        <f t="shared" si="4"/>
        <v>1041</v>
      </c>
      <c r="Q25" s="841" t="s">
        <v>1039</v>
      </c>
      <c r="R25" s="840">
        <f>'[4]int.bevételek RM II'!T25</f>
        <v>0</v>
      </c>
      <c r="S25" s="840"/>
      <c r="T25" s="840">
        <f t="shared" si="5"/>
        <v>0</v>
      </c>
      <c r="U25" s="840">
        <f>'[4]int.bevételek RM II'!W25</f>
        <v>0</v>
      </c>
      <c r="V25" s="840"/>
      <c r="W25" s="840">
        <f>SUM(U25:V25)</f>
        <v>0</v>
      </c>
      <c r="X25" s="840">
        <f>'[4]int.bevételek RM II'!Z25</f>
        <v>0</v>
      </c>
      <c r="Y25" s="840"/>
      <c r="Z25" s="840">
        <f t="shared" si="6"/>
        <v>0</v>
      </c>
      <c r="AA25" s="840">
        <f t="shared" si="7"/>
        <v>0</v>
      </c>
      <c r="AB25" s="840">
        <f t="shared" si="7"/>
        <v>0</v>
      </c>
      <c r="AC25" s="840">
        <f t="shared" si="7"/>
        <v>0</v>
      </c>
      <c r="AD25" s="840">
        <f t="shared" si="12"/>
        <v>1007</v>
      </c>
      <c r="AE25" s="840">
        <f t="shared" si="12"/>
        <v>34</v>
      </c>
      <c r="AF25" s="840">
        <f t="shared" si="12"/>
        <v>1041</v>
      </c>
      <c r="AG25" s="841" t="s">
        <v>1039</v>
      </c>
      <c r="AH25" s="840">
        <f>'[4]int.bevételek RM II'!AJ25</f>
        <v>289</v>
      </c>
      <c r="AI25" s="840"/>
      <c r="AJ25" s="840">
        <f t="shared" si="8"/>
        <v>289</v>
      </c>
      <c r="AK25" s="840">
        <f>'[4]int.bevételek RM II'!AM25</f>
        <v>116762</v>
      </c>
      <c r="AL25" s="840">
        <f>1726-258</f>
        <v>1468</v>
      </c>
      <c r="AM25" s="840">
        <f t="shared" si="9"/>
        <v>118230</v>
      </c>
      <c r="AN25" s="840">
        <f>'[4]int.bevételek RM II'!AP25</f>
        <v>220</v>
      </c>
      <c r="AO25" s="840">
        <f>4174+258</f>
        <v>4432</v>
      </c>
      <c r="AP25" s="840">
        <f t="shared" si="10"/>
        <v>4652</v>
      </c>
      <c r="AQ25" s="840">
        <f t="shared" si="11"/>
        <v>116982</v>
      </c>
      <c r="AR25" s="840">
        <f t="shared" si="11"/>
        <v>5900</v>
      </c>
      <c r="AS25" s="840">
        <f t="shared" si="11"/>
        <v>122882</v>
      </c>
      <c r="AT25" s="840">
        <f t="shared" si="13"/>
        <v>118278</v>
      </c>
      <c r="AU25" s="840">
        <f t="shared" si="13"/>
        <v>5934</v>
      </c>
      <c r="AV25" s="840">
        <f t="shared" si="13"/>
        <v>124212</v>
      </c>
    </row>
    <row r="26" spans="1:48" ht="48.75" customHeight="1" x14ac:dyDescent="0.6">
      <c r="A26" s="839" t="s">
        <v>1040</v>
      </c>
      <c r="B26" s="840">
        <f>'[4]int.bevételek RM II'!D26</f>
        <v>647</v>
      </c>
      <c r="C26" s="840">
        <v>121</v>
      </c>
      <c r="D26" s="840">
        <f t="shared" si="0"/>
        <v>768</v>
      </c>
      <c r="E26" s="840">
        <f>'[4]int.bevételek RM II'!G26</f>
        <v>0</v>
      </c>
      <c r="F26" s="840">
        <v>707</v>
      </c>
      <c r="G26" s="840">
        <f t="shared" si="1"/>
        <v>707</v>
      </c>
      <c r="H26" s="840">
        <f>'[4]int.bevételek RM II'!J26</f>
        <v>0</v>
      </c>
      <c r="I26" s="840"/>
      <c r="J26" s="840">
        <f t="shared" si="2"/>
        <v>0</v>
      </c>
      <c r="K26" s="840">
        <f>'[4]int.bevételek RM II'!M26</f>
        <v>0</v>
      </c>
      <c r="L26" s="840"/>
      <c r="M26" s="840">
        <f t="shared" si="3"/>
        <v>0</v>
      </c>
      <c r="N26" s="840">
        <f t="shared" si="4"/>
        <v>647</v>
      </c>
      <c r="O26" s="840">
        <f t="shared" si="4"/>
        <v>828</v>
      </c>
      <c r="P26" s="840">
        <f t="shared" si="4"/>
        <v>1475</v>
      </c>
      <c r="Q26" s="839" t="s">
        <v>1040</v>
      </c>
      <c r="R26" s="840">
        <f>'[4]int.bevételek RM II'!T26</f>
        <v>0</v>
      </c>
      <c r="S26" s="840"/>
      <c r="T26" s="840">
        <f t="shared" si="5"/>
        <v>0</v>
      </c>
      <c r="U26" s="840">
        <f>'[4]int.bevételek RM II'!W26</f>
        <v>0</v>
      </c>
      <c r="V26" s="840">
        <v>628</v>
      </c>
      <c r="W26" s="840">
        <f>SUM(U26:V26)</f>
        <v>628</v>
      </c>
      <c r="X26" s="840">
        <f>'[4]int.bevételek RM II'!Z26</f>
        <v>0</v>
      </c>
      <c r="Y26" s="840"/>
      <c r="Z26" s="840">
        <f t="shared" si="6"/>
        <v>0</v>
      </c>
      <c r="AA26" s="840">
        <f t="shared" si="7"/>
        <v>0</v>
      </c>
      <c r="AB26" s="840">
        <f t="shared" si="7"/>
        <v>628</v>
      </c>
      <c r="AC26" s="840">
        <f t="shared" si="7"/>
        <v>628</v>
      </c>
      <c r="AD26" s="840">
        <f t="shared" si="12"/>
        <v>647</v>
      </c>
      <c r="AE26" s="840">
        <f t="shared" si="12"/>
        <v>1456</v>
      </c>
      <c r="AF26" s="840">
        <f t="shared" si="12"/>
        <v>2103</v>
      </c>
      <c r="AG26" s="839" t="s">
        <v>1040</v>
      </c>
      <c r="AH26" s="840">
        <f>'[4]int.bevételek RM II'!AJ26</f>
        <v>155</v>
      </c>
      <c r="AI26" s="840"/>
      <c r="AJ26" s="840">
        <f t="shared" si="8"/>
        <v>155</v>
      </c>
      <c r="AK26" s="840">
        <f>'[4]int.bevételek RM II'!AM26</f>
        <v>78243</v>
      </c>
      <c r="AL26" s="840">
        <f>-207-136</f>
        <v>-343</v>
      </c>
      <c r="AM26" s="840">
        <f t="shared" si="9"/>
        <v>77900</v>
      </c>
      <c r="AN26" s="840">
        <f>'[4]int.bevételek RM II'!AP26</f>
        <v>16237</v>
      </c>
      <c r="AO26" s="840">
        <f>100+136</f>
        <v>236</v>
      </c>
      <c r="AP26" s="840">
        <f t="shared" si="10"/>
        <v>16473</v>
      </c>
      <c r="AQ26" s="840">
        <f t="shared" si="11"/>
        <v>94480</v>
      </c>
      <c r="AR26" s="840">
        <f t="shared" si="11"/>
        <v>-107</v>
      </c>
      <c r="AS26" s="840">
        <f t="shared" si="11"/>
        <v>94373</v>
      </c>
      <c r="AT26" s="840">
        <f t="shared" si="13"/>
        <v>95282</v>
      </c>
      <c r="AU26" s="840">
        <f t="shared" si="13"/>
        <v>1349</v>
      </c>
      <c r="AV26" s="840">
        <f t="shared" si="13"/>
        <v>96631</v>
      </c>
    </row>
    <row r="27" spans="1:48" ht="48.75" customHeight="1" thickBot="1" x14ac:dyDescent="0.65">
      <c r="A27" s="844" t="s">
        <v>1041</v>
      </c>
      <c r="B27" s="840">
        <f>'[4]int.bevételek RM II'!D27</f>
        <v>689</v>
      </c>
      <c r="C27" s="845">
        <v>146</v>
      </c>
      <c r="D27" s="845">
        <f t="shared" si="0"/>
        <v>835</v>
      </c>
      <c r="E27" s="840">
        <f>'[4]int.bevételek RM II'!G27</f>
        <v>0</v>
      </c>
      <c r="F27" s="845">
        <v>17</v>
      </c>
      <c r="G27" s="845">
        <f t="shared" si="1"/>
        <v>17</v>
      </c>
      <c r="H27" s="845">
        <f>'[4]int.bevételek RM II'!J27</f>
        <v>0</v>
      </c>
      <c r="I27" s="845"/>
      <c r="J27" s="845">
        <f t="shared" si="2"/>
        <v>0</v>
      </c>
      <c r="K27" s="845">
        <f>'[4]int.bevételek RM II'!M27</f>
        <v>0</v>
      </c>
      <c r="L27" s="845"/>
      <c r="M27" s="840">
        <f t="shared" si="3"/>
        <v>0</v>
      </c>
      <c r="N27" s="840">
        <f t="shared" si="4"/>
        <v>689</v>
      </c>
      <c r="O27" s="840">
        <f t="shared" si="4"/>
        <v>163</v>
      </c>
      <c r="P27" s="840">
        <f t="shared" si="4"/>
        <v>852</v>
      </c>
      <c r="Q27" s="844" t="s">
        <v>1041</v>
      </c>
      <c r="R27" s="845">
        <f>'[4]int.bevételek RM II'!T27</f>
        <v>0</v>
      </c>
      <c r="S27" s="845"/>
      <c r="T27" s="845">
        <f t="shared" si="5"/>
        <v>0</v>
      </c>
      <c r="U27" s="845">
        <f>'[4]int.bevételek RM II'!W27</f>
        <v>0</v>
      </c>
      <c r="V27" s="845"/>
      <c r="W27" s="840">
        <f>SUM(U27:V27)</f>
        <v>0</v>
      </c>
      <c r="X27" s="845">
        <f>'[4]int.bevételek RM II'!Z27</f>
        <v>0</v>
      </c>
      <c r="Y27" s="845"/>
      <c r="Z27" s="845">
        <f t="shared" si="6"/>
        <v>0</v>
      </c>
      <c r="AA27" s="840">
        <f t="shared" si="7"/>
        <v>0</v>
      </c>
      <c r="AB27" s="840">
        <f t="shared" si="7"/>
        <v>0</v>
      </c>
      <c r="AC27" s="840">
        <f t="shared" si="7"/>
        <v>0</v>
      </c>
      <c r="AD27" s="846">
        <f t="shared" si="12"/>
        <v>689</v>
      </c>
      <c r="AE27" s="846">
        <f t="shared" si="12"/>
        <v>163</v>
      </c>
      <c r="AF27" s="846">
        <f t="shared" si="12"/>
        <v>852</v>
      </c>
      <c r="AG27" s="844" t="s">
        <v>1041</v>
      </c>
      <c r="AH27" s="845">
        <f>'[4]int.bevételek RM II'!AJ27</f>
        <v>97</v>
      </c>
      <c r="AI27" s="845"/>
      <c r="AJ27" s="845">
        <f t="shared" si="8"/>
        <v>97</v>
      </c>
      <c r="AK27" s="840">
        <f>'[4]int.bevételek RM II'!AM27</f>
        <v>55893</v>
      </c>
      <c r="AL27" s="845">
        <f>903-92</f>
        <v>811</v>
      </c>
      <c r="AM27" s="845">
        <f t="shared" si="9"/>
        <v>56704</v>
      </c>
      <c r="AN27" s="840">
        <f>'[4]int.bevételek RM II'!AP27</f>
        <v>214</v>
      </c>
      <c r="AO27" s="845">
        <f>1636+92</f>
        <v>1728</v>
      </c>
      <c r="AP27" s="845">
        <f t="shared" si="10"/>
        <v>1942</v>
      </c>
      <c r="AQ27" s="840">
        <f t="shared" si="11"/>
        <v>56107</v>
      </c>
      <c r="AR27" s="840">
        <f t="shared" si="11"/>
        <v>2539</v>
      </c>
      <c r="AS27" s="840">
        <f t="shared" si="11"/>
        <v>58646</v>
      </c>
      <c r="AT27" s="840">
        <f t="shared" si="13"/>
        <v>56893</v>
      </c>
      <c r="AU27" s="840">
        <f t="shared" si="13"/>
        <v>2702</v>
      </c>
      <c r="AV27" s="840">
        <f t="shared" si="13"/>
        <v>59595</v>
      </c>
    </row>
    <row r="28" spans="1:48" ht="57.75" customHeight="1" thickBot="1" x14ac:dyDescent="0.65">
      <c r="A28" s="847" t="s">
        <v>1076</v>
      </c>
      <c r="B28" s="848">
        <f t="shared" ref="B28:P28" si="15">SUM(B10:B27)</f>
        <v>16918</v>
      </c>
      <c r="C28" s="848">
        <f t="shared" si="15"/>
        <v>4341</v>
      </c>
      <c r="D28" s="848">
        <f t="shared" si="15"/>
        <v>21259</v>
      </c>
      <c r="E28" s="848">
        <f t="shared" si="15"/>
        <v>0</v>
      </c>
      <c r="F28" s="848">
        <f t="shared" si="15"/>
        <v>940</v>
      </c>
      <c r="G28" s="848">
        <f t="shared" si="15"/>
        <v>940</v>
      </c>
      <c r="H28" s="848">
        <f t="shared" si="15"/>
        <v>269</v>
      </c>
      <c r="I28" s="848">
        <f t="shared" si="15"/>
        <v>1804</v>
      </c>
      <c r="J28" s="848">
        <f t="shared" si="15"/>
        <v>2073</v>
      </c>
      <c r="K28" s="848">
        <f t="shared" si="15"/>
        <v>0</v>
      </c>
      <c r="L28" s="848">
        <f t="shared" si="15"/>
        <v>0</v>
      </c>
      <c r="M28" s="848">
        <f t="shared" si="15"/>
        <v>0</v>
      </c>
      <c r="N28" s="848">
        <f t="shared" si="15"/>
        <v>17187</v>
      </c>
      <c r="O28" s="848">
        <f t="shared" si="15"/>
        <v>7085</v>
      </c>
      <c r="P28" s="848">
        <f t="shared" si="15"/>
        <v>24272</v>
      </c>
      <c r="Q28" s="847" t="s">
        <v>1076</v>
      </c>
      <c r="R28" s="848">
        <f t="shared" ref="R28:AC28" si="16">SUM(R10:R27)</f>
        <v>0</v>
      </c>
      <c r="S28" s="848">
        <f t="shared" si="16"/>
        <v>0</v>
      </c>
      <c r="T28" s="848">
        <f t="shared" si="16"/>
        <v>0</v>
      </c>
      <c r="U28" s="848">
        <f t="shared" si="16"/>
        <v>0</v>
      </c>
      <c r="V28" s="848">
        <f t="shared" si="16"/>
        <v>628</v>
      </c>
      <c r="W28" s="848">
        <f t="shared" si="16"/>
        <v>628</v>
      </c>
      <c r="X28" s="848">
        <f t="shared" si="16"/>
        <v>0</v>
      </c>
      <c r="Y28" s="848">
        <f t="shared" si="16"/>
        <v>0</v>
      </c>
      <c r="Z28" s="848">
        <f t="shared" si="16"/>
        <v>0</v>
      </c>
      <c r="AA28" s="848">
        <f t="shared" si="16"/>
        <v>0</v>
      </c>
      <c r="AB28" s="848">
        <f t="shared" si="16"/>
        <v>628</v>
      </c>
      <c r="AC28" s="848">
        <f t="shared" si="16"/>
        <v>628</v>
      </c>
      <c r="AD28" s="849">
        <f t="shared" si="12"/>
        <v>17187</v>
      </c>
      <c r="AE28" s="849">
        <f t="shared" si="12"/>
        <v>7713</v>
      </c>
      <c r="AF28" s="848">
        <f t="shared" si="12"/>
        <v>24900</v>
      </c>
      <c r="AG28" s="847" t="s">
        <v>1076</v>
      </c>
      <c r="AH28" s="848">
        <f>SUM(AH10:AH27)</f>
        <v>7003</v>
      </c>
      <c r="AI28" s="848">
        <f>SUM(AI10:AI27)</f>
        <v>0</v>
      </c>
      <c r="AJ28" s="848">
        <f>SUM(AJ10:AJ27)</f>
        <v>7003</v>
      </c>
      <c r="AK28" s="848">
        <f t="shared" ref="AK28:AV28" si="17">SUM(AK10:AK27)</f>
        <v>1819569</v>
      </c>
      <c r="AL28" s="848">
        <f t="shared" si="17"/>
        <v>-2158</v>
      </c>
      <c r="AM28" s="848">
        <f t="shared" si="17"/>
        <v>1817411</v>
      </c>
      <c r="AN28" s="848">
        <f t="shared" si="17"/>
        <v>107711</v>
      </c>
      <c r="AO28" s="848">
        <f t="shared" si="17"/>
        <v>34868</v>
      </c>
      <c r="AP28" s="848">
        <f t="shared" si="17"/>
        <v>142579</v>
      </c>
      <c r="AQ28" s="848">
        <f t="shared" si="17"/>
        <v>1927280</v>
      </c>
      <c r="AR28" s="848">
        <f t="shared" si="17"/>
        <v>32710</v>
      </c>
      <c r="AS28" s="848">
        <f t="shared" si="17"/>
        <v>1959990</v>
      </c>
      <c r="AT28" s="848">
        <f t="shared" si="17"/>
        <v>1951470</v>
      </c>
      <c r="AU28" s="848">
        <f t="shared" si="17"/>
        <v>40423</v>
      </c>
      <c r="AV28" s="848">
        <f t="shared" si="17"/>
        <v>1991893</v>
      </c>
    </row>
    <row r="29" spans="1:48" ht="63.75" customHeight="1" thickBot="1" x14ac:dyDescent="0.65">
      <c r="A29" s="850" t="s">
        <v>1043</v>
      </c>
      <c r="B29" s="840">
        <f>'[4]int.bevételek RM II'!D29</f>
        <v>425332</v>
      </c>
      <c r="C29" s="848">
        <v>4085</v>
      </c>
      <c r="D29" s="848">
        <f>SUM(B29:C29)</f>
        <v>429417</v>
      </c>
      <c r="E29" s="840">
        <f>'[4]int.bevételek RM II'!G29</f>
        <v>759</v>
      </c>
      <c r="F29" s="848"/>
      <c r="G29" s="848">
        <f>SUM(E29:F29)</f>
        <v>759</v>
      </c>
      <c r="H29" s="848">
        <f>'[4]int.bevételek RM II'!J29</f>
        <v>0</v>
      </c>
      <c r="I29" s="848"/>
      <c r="J29" s="848">
        <f>SUM(H29:I29)</f>
        <v>0</v>
      </c>
      <c r="K29" s="848">
        <f>'[4]int.bevételek RM II'!M29</f>
        <v>0</v>
      </c>
      <c r="L29" s="848"/>
      <c r="M29" s="848">
        <f>SUM(K29:L29)</f>
        <v>0</v>
      </c>
      <c r="N29" s="840">
        <f>B29+E29+H29+K29</f>
        <v>426091</v>
      </c>
      <c r="O29" s="840">
        <f>C29+F29+I29+L29</f>
        <v>4085</v>
      </c>
      <c r="P29" s="840">
        <f>D29+G29+J29+M29</f>
        <v>430176</v>
      </c>
      <c r="Q29" s="850" t="s">
        <v>1043</v>
      </c>
      <c r="R29" s="848">
        <f>'[4]int.bevételek RM II'!T29</f>
        <v>0</v>
      </c>
      <c r="S29" s="848">
        <v>90</v>
      </c>
      <c r="T29" s="848">
        <f>SUM(R29:S29)</f>
        <v>90</v>
      </c>
      <c r="U29" s="848">
        <f>'[4]int.bevételek RM II'!W29</f>
        <v>0</v>
      </c>
      <c r="V29" s="848"/>
      <c r="W29" s="848">
        <f>SUM(U29:V29)</f>
        <v>0</v>
      </c>
      <c r="X29" s="848">
        <f>'[4]int.bevételek RM II'!Z29</f>
        <v>0</v>
      </c>
      <c r="Y29" s="848"/>
      <c r="Z29" s="848">
        <f>SUM(X29:Y29)</f>
        <v>0</v>
      </c>
      <c r="AA29" s="840">
        <f>R29+U29+X29</f>
        <v>0</v>
      </c>
      <c r="AB29" s="840">
        <f>S29+V29+Y29</f>
        <v>90</v>
      </c>
      <c r="AC29" s="840">
        <f>T29+W29+Z29</f>
        <v>90</v>
      </c>
      <c r="AD29" s="851">
        <f t="shared" si="12"/>
        <v>426091</v>
      </c>
      <c r="AE29" s="851">
        <f t="shared" si="12"/>
        <v>4175</v>
      </c>
      <c r="AF29" s="848">
        <f t="shared" si="12"/>
        <v>430266</v>
      </c>
      <c r="AG29" s="850" t="s">
        <v>1043</v>
      </c>
      <c r="AH29" s="848">
        <f>'[4]int.bevételek RM II'!AJ29</f>
        <v>9225</v>
      </c>
      <c r="AI29" s="848"/>
      <c r="AJ29" s="848">
        <f>SUM(AH29:AI29)</f>
        <v>9225</v>
      </c>
      <c r="AK29" s="840">
        <f>'[4]int.bevételek RM II'!AM29</f>
        <v>1189008</v>
      </c>
      <c r="AL29" s="848">
        <f>-3477-44338</f>
        <v>-47815</v>
      </c>
      <c r="AM29" s="848">
        <f>SUM(AK29:AL29)</f>
        <v>1141193</v>
      </c>
      <c r="AN29" s="840">
        <f>'[4]int.bevételek RM II'!AP29</f>
        <v>56441</v>
      </c>
      <c r="AO29" s="848">
        <f>6538+44338</f>
        <v>50876</v>
      </c>
      <c r="AP29" s="848">
        <f>SUM(AN29:AO29)</f>
        <v>107317</v>
      </c>
      <c r="AQ29" s="840">
        <f>AK29+AN29</f>
        <v>1245449</v>
      </c>
      <c r="AR29" s="840">
        <f>AL29+AO29</f>
        <v>3061</v>
      </c>
      <c r="AS29" s="840">
        <f>AM29+AP29</f>
        <v>1248510</v>
      </c>
      <c r="AT29" s="840">
        <f>N29+AA29+AH29+AQ29</f>
        <v>1680765</v>
      </c>
      <c r="AU29" s="840">
        <f>O29+AB29+AI29+AR29</f>
        <v>7236</v>
      </c>
      <c r="AV29" s="840">
        <f>P29+AC29+AJ29+AS29</f>
        <v>1688001</v>
      </c>
    </row>
    <row r="30" spans="1:48" ht="67.5" customHeight="1" thickBot="1" x14ac:dyDescent="0.65">
      <c r="A30" s="850" t="s">
        <v>1077</v>
      </c>
      <c r="B30" s="848">
        <f t="shared" ref="B30:P30" si="18">B28+B29</f>
        <v>442250</v>
      </c>
      <c r="C30" s="848">
        <f t="shared" si="18"/>
        <v>8426</v>
      </c>
      <c r="D30" s="848">
        <f t="shared" si="18"/>
        <v>450676</v>
      </c>
      <c r="E30" s="848">
        <f t="shared" si="18"/>
        <v>759</v>
      </c>
      <c r="F30" s="848">
        <f t="shared" si="18"/>
        <v>940</v>
      </c>
      <c r="G30" s="848">
        <f t="shared" si="18"/>
        <v>1699</v>
      </c>
      <c r="H30" s="848">
        <f t="shared" si="18"/>
        <v>269</v>
      </c>
      <c r="I30" s="848">
        <f t="shared" si="18"/>
        <v>1804</v>
      </c>
      <c r="J30" s="848">
        <f t="shared" si="18"/>
        <v>2073</v>
      </c>
      <c r="K30" s="848">
        <f t="shared" si="18"/>
        <v>0</v>
      </c>
      <c r="L30" s="848">
        <f t="shared" si="18"/>
        <v>0</v>
      </c>
      <c r="M30" s="848">
        <f t="shared" si="18"/>
        <v>0</v>
      </c>
      <c r="N30" s="848">
        <f t="shared" si="18"/>
        <v>443278</v>
      </c>
      <c r="O30" s="848">
        <f t="shared" si="18"/>
        <v>11170</v>
      </c>
      <c r="P30" s="848">
        <f t="shared" si="18"/>
        <v>454448</v>
      </c>
      <c r="Q30" s="850" t="s">
        <v>1077</v>
      </c>
      <c r="R30" s="848">
        <f t="shared" ref="R30:AC30" si="19">R28+R29</f>
        <v>0</v>
      </c>
      <c r="S30" s="848">
        <f t="shared" si="19"/>
        <v>90</v>
      </c>
      <c r="T30" s="848">
        <f t="shared" si="19"/>
        <v>90</v>
      </c>
      <c r="U30" s="848">
        <f t="shared" si="19"/>
        <v>0</v>
      </c>
      <c r="V30" s="848">
        <f t="shared" si="19"/>
        <v>628</v>
      </c>
      <c r="W30" s="848">
        <f t="shared" si="19"/>
        <v>628</v>
      </c>
      <c r="X30" s="848">
        <f t="shared" si="19"/>
        <v>0</v>
      </c>
      <c r="Y30" s="848">
        <f t="shared" si="19"/>
        <v>0</v>
      </c>
      <c r="Z30" s="848">
        <f t="shared" si="19"/>
        <v>0</v>
      </c>
      <c r="AA30" s="848">
        <f t="shared" si="19"/>
        <v>0</v>
      </c>
      <c r="AB30" s="848">
        <f t="shared" si="19"/>
        <v>718</v>
      </c>
      <c r="AC30" s="848">
        <f t="shared" si="19"/>
        <v>718</v>
      </c>
      <c r="AD30" s="849">
        <f t="shared" si="12"/>
        <v>443278</v>
      </c>
      <c r="AE30" s="849">
        <f t="shared" si="12"/>
        <v>11888</v>
      </c>
      <c r="AF30" s="848">
        <f t="shared" si="12"/>
        <v>455166</v>
      </c>
      <c r="AG30" s="850" t="s">
        <v>1077</v>
      </c>
      <c r="AH30" s="848">
        <f>AH28+AH29</f>
        <v>16228</v>
      </c>
      <c r="AI30" s="848">
        <f>AI28+AI29</f>
        <v>0</v>
      </c>
      <c r="AJ30" s="848">
        <f>AJ28+AJ29</f>
        <v>16228</v>
      </c>
      <c r="AK30" s="848">
        <f t="shared" ref="AK30:AV30" si="20">AK28+AK29</f>
        <v>3008577</v>
      </c>
      <c r="AL30" s="848">
        <f t="shared" si="20"/>
        <v>-49973</v>
      </c>
      <c r="AM30" s="848">
        <f t="shared" si="20"/>
        <v>2958604</v>
      </c>
      <c r="AN30" s="848">
        <f t="shared" si="20"/>
        <v>164152</v>
      </c>
      <c r="AO30" s="848">
        <f t="shared" si="20"/>
        <v>85744</v>
      </c>
      <c r="AP30" s="848">
        <f t="shared" si="20"/>
        <v>249896</v>
      </c>
      <c r="AQ30" s="848">
        <f t="shared" si="20"/>
        <v>3172729</v>
      </c>
      <c r="AR30" s="848">
        <f t="shared" si="20"/>
        <v>35771</v>
      </c>
      <c r="AS30" s="848">
        <f t="shared" si="20"/>
        <v>3208500</v>
      </c>
      <c r="AT30" s="848">
        <f t="shared" si="20"/>
        <v>3632235</v>
      </c>
      <c r="AU30" s="848">
        <f t="shared" si="20"/>
        <v>47659</v>
      </c>
      <c r="AV30" s="848">
        <f t="shared" si="20"/>
        <v>3679894</v>
      </c>
    </row>
    <row r="31" spans="1:48" ht="48.75" customHeight="1" x14ac:dyDescent="0.6">
      <c r="A31" s="852" t="s">
        <v>1078</v>
      </c>
      <c r="B31" s="845"/>
      <c r="C31" s="845"/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52" t="s">
        <v>1078</v>
      </c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52" t="s">
        <v>1078</v>
      </c>
      <c r="AH31" s="845"/>
      <c r="AI31" s="845"/>
      <c r="AJ31" s="845"/>
      <c r="AK31" s="845"/>
      <c r="AL31" s="845"/>
      <c r="AM31" s="845"/>
      <c r="AN31" s="845"/>
      <c r="AO31" s="845"/>
      <c r="AP31" s="845"/>
      <c r="AQ31" s="845"/>
      <c r="AR31" s="845"/>
      <c r="AS31" s="845"/>
      <c r="AT31" s="845"/>
      <c r="AU31" s="845"/>
      <c r="AV31" s="845"/>
    </row>
    <row r="32" spans="1:48" ht="48.75" customHeight="1" x14ac:dyDescent="0.6">
      <c r="A32" s="853" t="s">
        <v>1079</v>
      </c>
      <c r="B32" s="845"/>
      <c r="C32" s="845"/>
      <c r="D32" s="845"/>
      <c r="E32" s="845"/>
      <c r="F32" s="845"/>
      <c r="G32" s="845"/>
      <c r="H32" s="845"/>
      <c r="I32" s="845"/>
      <c r="J32" s="845"/>
      <c r="K32" s="845"/>
      <c r="L32" s="845"/>
      <c r="M32" s="845"/>
      <c r="N32" s="845"/>
      <c r="O32" s="845"/>
      <c r="P32" s="845"/>
      <c r="Q32" s="853" t="s">
        <v>1079</v>
      </c>
      <c r="R32" s="845"/>
      <c r="S32" s="845"/>
      <c r="T32" s="845"/>
      <c r="U32" s="845"/>
      <c r="V32" s="845"/>
      <c r="W32" s="845"/>
      <c r="X32" s="845"/>
      <c r="Y32" s="845"/>
      <c r="Z32" s="845"/>
      <c r="AA32" s="845"/>
      <c r="AB32" s="845"/>
      <c r="AC32" s="845"/>
      <c r="AD32" s="845"/>
      <c r="AE32" s="845"/>
      <c r="AF32" s="845"/>
      <c r="AG32" s="853" t="s">
        <v>1079</v>
      </c>
      <c r="AH32" s="845"/>
      <c r="AI32" s="845"/>
      <c r="AJ32" s="845"/>
      <c r="AK32" s="845"/>
      <c r="AL32" s="845"/>
      <c r="AM32" s="845"/>
      <c r="AN32" s="845"/>
      <c r="AO32" s="845"/>
      <c r="AP32" s="845"/>
      <c r="AQ32" s="845"/>
      <c r="AR32" s="845"/>
      <c r="AS32" s="845"/>
      <c r="AT32" s="845"/>
      <c r="AU32" s="845"/>
      <c r="AV32" s="845"/>
    </row>
    <row r="33" spans="1:48" ht="65.25" customHeight="1" x14ac:dyDescent="0.6">
      <c r="A33" s="854" t="s">
        <v>1047</v>
      </c>
      <c r="B33" s="840">
        <f>'[4]int.bevételek RM II'!D33</f>
        <v>287126</v>
      </c>
      <c r="C33" s="845"/>
      <c r="D33" s="845">
        <f>SUM(B33:C33)</f>
        <v>287126</v>
      </c>
      <c r="E33" s="840">
        <f>'[4]int.bevételek RM II'!G33</f>
        <v>130348</v>
      </c>
      <c r="F33" s="845">
        <v>-17658</v>
      </c>
      <c r="G33" s="845">
        <f>SUM(E33:F33)</f>
        <v>112690</v>
      </c>
      <c r="H33" s="845">
        <f>'[4]int.bevételek RM II'!J33</f>
        <v>0</v>
      </c>
      <c r="I33" s="845">
        <v>300</v>
      </c>
      <c r="J33" s="845">
        <f>SUM(H33:I33)</f>
        <v>300</v>
      </c>
      <c r="K33" s="845">
        <f>'[4]int.bevételek RM II'!M33</f>
        <v>0</v>
      </c>
      <c r="L33" s="845"/>
      <c r="M33" s="840">
        <f>SUM(K33:L33)</f>
        <v>0</v>
      </c>
      <c r="N33" s="840">
        <f t="shared" ref="N33:O37" si="21">B33+E33+H33+K33</f>
        <v>417474</v>
      </c>
      <c r="O33" s="840">
        <f t="shared" si="21"/>
        <v>-17358</v>
      </c>
      <c r="P33" s="840">
        <f>D33+G33+J33+M33</f>
        <v>400116</v>
      </c>
      <c r="Q33" s="854" t="s">
        <v>1047</v>
      </c>
      <c r="R33" s="845">
        <f>'[4]int.bevételek RM II'!T33</f>
        <v>0</v>
      </c>
      <c r="S33" s="845"/>
      <c r="T33" s="845">
        <f>SUM(R33:S33)</f>
        <v>0</v>
      </c>
      <c r="U33" s="845">
        <f>'[4]int.bevételek RM II'!W33</f>
        <v>2000</v>
      </c>
      <c r="V33" s="845">
        <v>18858</v>
      </c>
      <c r="W33" s="845">
        <f>SUM(U33:V33)</f>
        <v>20858</v>
      </c>
      <c r="X33" s="845">
        <f>'[4]int.bevételek RM II'!Z33</f>
        <v>0</v>
      </c>
      <c r="Y33" s="845"/>
      <c r="Z33" s="845">
        <f>SUM(X33:Y33)</f>
        <v>0</v>
      </c>
      <c r="AA33" s="840">
        <f t="shared" ref="AA33:AC37" si="22">R33+U33+X33</f>
        <v>2000</v>
      </c>
      <c r="AB33" s="840">
        <f t="shared" si="22"/>
        <v>18858</v>
      </c>
      <c r="AC33" s="840">
        <f t="shared" si="22"/>
        <v>20858</v>
      </c>
      <c r="AD33" s="840">
        <f t="shared" si="12"/>
        <v>419474</v>
      </c>
      <c r="AE33" s="840">
        <f t="shared" si="12"/>
        <v>1500</v>
      </c>
      <c r="AF33" s="840">
        <f t="shared" si="12"/>
        <v>420974</v>
      </c>
      <c r="AG33" s="854" t="s">
        <v>1047</v>
      </c>
      <c r="AH33" s="845">
        <f>'[4]int.bevételek RM II'!AJ33</f>
        <v>1040</v>
      </c>
      <c r="AI33" s="845"/>
      <c r="AJ33" s="845">
        <f>SUM(AH33:AI33)</f>
        <v>1040</v>
      </c>
      <c r="AK33" s="840">
        <f>'[4]int.bevételek RM II'!AM33</f>
        <v>125380</v>
      </c>
      <c r="AL33" s="845">
        <f>10272+18858</f>
        <v>29130</v>
      </c>
      <c r="AM33" s="845">
        <f>SUM(AK33:AL33)</f>
        <v>154510</v>
      </c>
      <c r="AN33" s="840">
        <f>'[4]int.bevételek RM II'!AP33</f>
        <v>18858</v>
      </c>
      <c r="AO33" s="845">
        <v>-18858</v>
      </c>
      <c r="AP33" s="845">
        <f>SUM(AN33:AO33)</f>
        <v>0</v>
      </c>
      <c r="AQ33" s="840">
        <f t="shared" ref="AQ33:AS37" si="23">AK33+AN33</f>
        <v>144238</v>
      </c>
      <c r="AR33" s="840">
        <f t="shared" si="23"/>
        <v>10272</v>
      </c>
      <c r="AS33" s="840">
        <f t="shared" si="23"/>
        <v>154510</v>
      </c>
      <c r="AT33" s="840">
        <f t="shared" ref="AT33:AV37" si="24">N33+AA33+AH33+AQ33</f>
        <v>564752</v>
      </c>
      <c r="AU33" s="840">
        <f t="shared" si="24"/>
        <v>11772</v>
      </c>
      <c r="AV33" s="840">
        <f t="shared" si="24"/>
        <v>576524</v>
      </c>
    </row>
    <row r="34" spans="1:48" ht="48.75" customHeight="1" x14ac:dyDescent="0.6">
      <c r="A34" s="841" t="s">
        <v>169</v>
      </c>
      <c r="B34" s="840">
        <f>'[4]int.bevételek RM II'!D34</f>
        <v>33830</v>
      </c>
      <c r="C34" s="855"/>
      <c r="D34" s="855">
        <f>SUM(B34:C34)</f>
        <v>33830</v>
      </c>
      <c r="E34" s="840">
        <f>'[4]int.bevételek RM II'!G34</f>
        <v>990</v>
      </c>
      <c r="F34" s="855">
        <v>16945</v>
      </c>
      <c r="G34" s="855">
        <f>SUM(E34:F34)</f>
        <v>17935</v>
      </c>
      <c r="H34" s="855">
        <f>'[4]int.bevételek RM II'!J34</f>
        <v>0</v>
      </c>
      <c r="I34" s="855"/>
      <c r="J34" s="855">
        <f>SUM(H34:I34)</f>
        <v>0</v>
      </c>
      <c r="K34" s="855">
        <f>'[4]int.bevételek RM II'!M34</f>
        <v>0</v>
      </c>
      <c r="L34" s="855"/>
      <c r="M34" s="840">
        <f>SUM(K34:L34)</f>
        <v>0</v>
      </c>
      <c r="N34" s="840">
        <f t="shared" si="21"/>
        <v>34820</v>
      </c>
      <c r="O34" s="840">
        <f t="shared" si="21"/>
        <v>16945</v>
      </c>
      <c r="P34" s="840">
        <f>D34+G34+J34+M34</f>
        <v>51765</v>
      </c>
      <c r="Q34" s="841" t="s">
        <v>169</v>
      </c>
      <c r="R34" s="855">
        <f>'[4]int.bevételek RM II'!T34</f>
        <v>0</v>
      </c>
      <c r="S34" s="855"/>
      <c r="T34" s="855">
        <f>SUM(R34:S34)</f>
        <v>0</v>
      </c>
      <c r="U34" s="855">
        <f>'[4]int.bevételek RM II'!W34</f>
        <v>0</v>
      </c>
      <c r="V34" s="855">
        <v>2000</v>
      </c>
      <c r="W34" s="855">
        <f>SUM(U34:V34)</f>
        <v>2000</v>
      </c>
      <c r="X34" s="855">
        <f>'[4]int.bevételek RM II'!Z34</f>
        <v>0</v>
      </c>
      <c r="Y34" s="855"/>
      <c r="Z34" s="855">
        <f>SUM(X34:Y34)</f>
        <v>0</v>
      </c>
      <c r="AA34" s="840">
        <f t="shared" si="22"/>
        <v>0</v>
      </c>
      <c r="AB34" s="840">
        <f t="shared" si="22"/>
        <v>2000</v>
      </c>
      <c r="AC34" s="840">
        <f t="shared" si="22"/>
        <v>2000</v>
      </c>
      <c r="AD34" s="840">
        <f t="shared" si="12"/>
        <v>34820</v>
      </c>
      <c r="AE34" s="840">
        <f t="shared" si="12"/>
        <v>18945</v>
      </c>
      <c r="AF34" s="840">
        <f t="shared" si="12"/>
        <v>53765</v>
      </c>
      <c r="AG34" s="841" t="s">
        <v>169</v>
      </c>
      <c r="AH34" s="855">
        <f>'[4]int.bevételek RM II'!AJ34</f>
        <v>9666</v>
      </c>
      <c r="AI34" s="855"/>
      <c r="AJ34" s="855">
        <f>SUM(AH34:AI34)</f>
        <v>9666</v>
      </c>
      <c r="AK34" s="840">
        <f>'[4]int.bevételek RM II'!AM34</f>
        <v>107080</v>
      </c>
      <c r="AL34" s="855">
        <f>2090-999</f>
        <v>1091</v>
      </c>
      <c r="AM34" s="855">
        <f>SUM(AK34:AL34)</f>
        <v>108171</v>
      </c>
      <c r="AN34" s="840">
        <f>'[4]int.bevételek RM II'!AP34</f>
        <v>0</v>
      </c>
      <c r="AO34" s="855">
        <v>999</v>
      </c>
      <c r="AP34" s="855">
        <f>SUM(AN34:AO34)</f>
        <v>999</v>
      </c>
      <c r="AQ34" s="840">
        <f t="shared" si="23"/>
        <v>107080</v>
      </c>
      <c r="AR34" s="840">
        <f t="shared" si="23"/>
        <v>2090</v>
      </c>
      <c r="AS34" s="840">
        <f t="shared" si="23"/>
        <v>109170</v>
      </c>
      <c r="AT34" s="840">
        <f t="shared" si="24"/>
        <v>151566</v>
      </c>
      <c r="AU34" s="840">
        <f t="shared" si="24"/>
        <v>21035</v>
      </c>
      <c r="AV34" s="840">
        <f t="shared" si="24"/>
        <v>172601</v>
      </c>
    </row>
    <row r="35" spans="1:48" ht="48.75" customHeight="1" x14ac:dyDescent="0.6">
      <c r="A35" s="841" t="s">
        <v>1048</v>
      </c>
      <c r="B35" s="840">
        <f>'[4]int.bevételek RM II'!D35</f>
        <v>87000</v>
      </c>
      <c r="C35" s="855"/>
      <c r="D35" s="855">
        <f>SUM(B35:C35)</f>
        <v>87000</v>
      </c>
      <c r="E35" s="840">
        <f>'[4]int.bevételek RM II'!G35</f>
        <v>800</v>
      </c>
      <c r="F35" s="855">
        <v>1300</v>
      </c>
      <c r="G35" s="855">
        <f>SUM(E35:F35)</f>
        <v>2100</v>
      </c>
      <c r="H35" s="855">
        <f>'[4]int.bevételek RM II'!J35</f>
        <v>0</v>
      </c>
      <c r="I35" s="855"/>
      <c r="J35" s="855">
        <f>SUM(H35:I35)</f>
        <v>0</v>
      </c>
      <c r="K35" s="855">
        <f>'[4]int.bevételek RM II'!M35</f>
        <v>0</v>
      </c>
      <c r="L35" s="855"/>
      <c r="M35" s="840">
        <f>SUM(K35:L35)</f>
        <v>0</v>
      </c>
      <c r="N35" s="840">
        <f t="shared" si="21"/>
        <v>87800</v>
      </c>
      <c r="O35" s="840">
        <f t="shared" si="21"/>
        <v>1300</v>
      </c>
      <c r="P35" s="840">
        <f>D35+G35+J35+M35</f>
        <v>89100</v>
      </c>
      <c r="Q35" s="841" t="s">
        <v>1048</v>
      </c>
      <c r="R35" s="855">
        <f>'[4]int.bevételek RM II'!T35</f>
        <v>0</v>
      </c>
      <c r="S35" s="855"/>
      <c r="T35" s="855">
        <f>SUM(R35:S35)</f>
        <v>0</v>
      </c>
      <c r="U35" s="855">
        <f>'[4]int.bevételek RM II'!W35</f>
        <v>0</v>
      </c>
      <c r="V35" s="855"/>
      <c r="W35" s="855">
        <f>SUM(U35:V35)</f>
        <v>0</v>
      </c>
      <c r="X35" s="855">
        <f>'[4]int.bevételek RM II'!Z35</f>
        <v>0</v>
      </c>
      <c r="Y35" s="855"/>
      <c r="Z35" s="855">
        <f>SUM(X35:Y35)</f>
        <v>0</v>
      </c>
      <c r="AA35" s="840">
        <f t="shared" si="22"/>
        <v>0</v>
      </c>
      <c r="AB35" s="840">
        <f t="shared" si="22"/>
        <v>0</v>
      </c>
      <c r="AC35" s="840">
        <f t="shared" si="22"/>
        <v>0</v>
      </c>
      <c r="AD35" s="840">
        <f t="shared" si="12"/>
        <v>87800</v>
      </c>
      <c r="AE35" s="840">
        <f t="shared" si="12"/>
        <v>1300</v>
      </c>
      <c r="AF35" s="840">
        <f t="shared" si="12"/>
        <v>89100</v>
      </c>
      <c r="AG35" s="841" t="s">
        <v>1048</v>
      </c>
      <c r="AH35" s="855">
        <f>'[4]int.bevételek RM II'!AJ35</f>
        <v>12675</v>
      </c>
      <c r="AI35" s="855"/>
      <c r="AJ35" s="855">
        <f>SUM(AH35:AI35)</f>
        <v>12675</v>
      </c>
      <c r="AK35" s="840">
        <f>'[4]int.bevételek RM II'!AM35</f>
        <v>478604</v>
      </c>
      <c r="AL35" s="855">
        <v>11112</v>
      </c>
      <c r="AM35" s="855">
        <f>SUM(AK35:AL35)</f>
        <v>489716</v>
      </c>
      <c r="AN35" s="840">
        <f>'[4]int.bevételek RM II'!AP35</f>
        <v>20327</v>
      </c>
      <c r="AO35" s="855"/>
      <c r="AP35" s="855">
        <f>SUM(AN35:AO35)</f>
        <v>20327</v>
      </c>
      <c r="AQ35" s="840">
        <f t="shared" si="23"/>
        <v>498931</v>
      </c>
      <c r="AR35" s="840">
        <f t="shared" si="23"/>
        <v>11112</v>
      </c>
      <c r="AS35" s="840">
        <f t="shared" si="23"/>
        <v>510043</v>
      </c>
      <c r="AT35" s="840">
        <f t="shared" si="24"/>
        <v>599406</v>
      </c>
      <c r="AU35" s="840">
        <f t="shared" si="24"/>
        <v>12412</v>
      </c>
      <c r="AV35" s="840">
        <f t="shared" si="24"/>
        <v>611818</v>
      </c>
    </row>
    <row r="36" spans="1:48" ht="48.75" customHeight="1" x14ac:dyDescent="0.6">
      <c r="A36" s="841" t="s">
        <v>1049</v>
      </c>
      <c r="B36" s="840">
        <f>'[4]int.bevételek RM II'!D36</f>
        <v>24000</v>
      </c>
      <c r="C36" s="855"/>
      <c r="D36" s="855">
        <f>SUM(B36:C36)</f>
        <v>24000</v>
      </c>
      <c r="E36" s="840">
        <f>'[4]int.bevételek RM II'!G36</f>
        <v>0</v>
      </c>
      <c r="F36" s="855">
        <v>1676</v>
      </c>
      <c r="G36" s="855">
        <f>SUM(E36:F36)</f>
        <v>1676</v>
      </c>
      <c r="H36" s="855">
        <f>'[4]int.bevételek RM II'!J36</f>
        <v>0</v>
      </c>
      <c r="I36" s="855"/>
      <c r="J36" s="855">
        <f>SUM(H36:I36)</f>
        <v>0</v>
      </c>
      <c r="K36" s="855">
        <f>'[4]int.bevételek RM II'!M36</f>
        <v>0</v>
      </c>
      <c r="L36" s="855"/>
      <c r="M36" s="840">
        <f>SUM(K36:L36)</f>
        <v>0</v>
      </c>
      <c r="N36" s="840">
        <f t="shared" si="21"/>
        <v>24000</v>
      </c>
      <c r="O36" s="840">
        <f t="shared" si="21"/>
        <v>1676</v>
      </c>
      <c r="P36" s="840">
        <f>D36+G36+J36+M36</f>
        <v>25676</v>
      </c>
      <c r="Q36" s="841" t="s">
        <v>1049</v>
      </c>
      <c r="R36" s="855">
        <f>'[4]int.bevételek RM II'!T36</f>
        <v>0</v>
      </c>
      <c r="S36" s="855"/>
      <c r="T36" s="855">
        <f>SUM(R36:S36)</f>
        <v>0</v>
      </c>
      <c r="U36" s="855">
        <f>'[4]int.bevételek RM II'!W36</f>
        <v>0</v>
      </c>
      <c r="V36" s="855"/>
      <c r="W36" s="855">
        <f>SUM(U36:V36)</f>
        <v>0</v>
      </c>
      <c r="X36" s="855">
        <f>'[4]int.bevételek RM II'!Z36</f>
        <v>0</v>
      </c>
      <c r="Y36" s="855"/>
      <c r="Z36" s="855">
        <f>SUM(X36:Y36)</f>
        <v>0</v>
      </c>
      <c r="AA36" s="840">
        <f t="shared" si="22"/>
        <v>0</v>
      </c>
      <c r="AB36" s="840">
        <f t="shared" si="22"/>
        <v>0</v>
      </c>
      <c r="AC36" s="840">
        <f t="shared" si="22"/>
        <v>0</v>
      </c>
      <c r="AD36" s="840">
        <f t="shared" si="12"/>
        <v>24000</v>
      </c>
      <c r="AE36" s="840">
        <f t="shared" si="12"/>
        <v>1676</v>
      </c>
      <c r="AF36" s="840">
        <f t="shared" si="12"/>
        <v>25676</v>
      </c>
      <c r="AG36" s="841" t="s">
        <v>1049</v>
      </c>
      <c r="AH36" s="855">
        <f>'[4]int.bevételek RM II'!AJ36</f>
        <v>38946</v>
      </c>
      <c r="AI36" s="855"/>
      <c r="AJ36" s="855">
        <f>SUM(AH36:AI36)</f>
        <v>38946</v>
      </c>
      <c r="AK36" s="840">
        <f>'[4]int.bevételek RM II'!AM36</f>
        <v>358334</v>
      </c>
      <c r="AL36" s="855">
        <f>5400+602</f>
        <v>6002</v>
      </c>
      <c r="AM36" s="855">
        <f>SUM(AK36:AL36)</f>
        <v>364336</v>
      </c>
      <c r="AN36" s="840">
        <f>'[4]int.bevételek RM II'!AP36</f>
        <v>21335</v>
      </c>
      <c r="AO36" s="855">
        <v>-602</v>
      </c>
      <c r="AP36" s="855">
        <f>SUM(AN36:AO36)</f>
        <v>20733</v>
      </c>
      <c r="AQ36" s="840">
        <f t="shared" si="23"/>
        <v>379669</v>
      </c>
      <c r="AR36" s="840">
        <f t="shared" si="23"/>
        <v>5400</v>
      </c>
      <c r="AS36" s="840">
        <f t="shared" si="23"/>
        <v>385069</v>
      </c>
      <c r="AT36" s="840">
        <f t="shared" si="24"/>
        <v>442615</v>
      </c>
      <c r="AU36" s="840">
        <f t="shared" si="24"/>
        <v>7076</v>
      </c>
      <c r="AV36" s="840">
        <f t="shared" si="24"/>
        <v>449691</v>
      </c>
    </row>
    <row r="37" spans="1:48" ht="48.75" customHeight="1" thickBot="1" x14ac:dyDescent="0.65">
      <c r="A37" s="854" t="s">
        <v>1050</v>
      </c>
      <c r="B37" s="840">
        <f>'[4]int.bevételek RM II'!D37</f>
        <v>178083</v>
      </c>
      <c r="C37" s="855"/>
      <c r="D37" s="855">
        <f>SUM(B37:C37)</f>
        <v>178083</v>
      </c>
      <c r="E37" s="840">
        <f>'[4]int.bevételek RM II'!G37</f>
        <v>2300</v>
      </c>
      <c r="F37" s="855">
        <v>65434</v>
      </c>
      <c r="G37" s="855">
        <f>SUM(E37:F37)</f>
        <v>67734</v>
      </c>
      <c r="H37" s="855">
        <f>'[4]int.bevételek RM II'!J37</f>
        <v>0</v>
      </c>
      <c r="I37" s="855"/>
      <c r="J37" s="855">
        <f>SUM(H37:I37)</f>
        <v>0</v>
      </c>
      <c r="K37" s="856">
        <f>'[4]int.bevételek RM II'!M37</f>
        <v>0</v>
      </c>
      <c r="L37" s="856"/>
      <c r="M37" s="840">
        <f>SUM(K37:L37)</f>
        <v>0</v>
      </c>
      <c r="N37" s="840">
        <f t="shared" si="21"/>
        <v>180383</v>
      </c>
      <c r="O37" s="840">
        <f t="shared" si="21"/>
        <v>65434</v>
      </c>
      <c r="P37" s="840">
        <f>D37+G37+J37+M37</f>
        <v>245817</v>
      </c>
      <c r="Q37" s="854" t="s">
        <v>1050</v>
      </c>
      <c r="R37" s="855">
        <f>'[4]int.bevételek RM II'!T37</f>
        <v>0</v>
      </c>
      <c r="S37" s="855"/>
      <c r="T37" s="855">
        <f>SUM(R37:S37)</f>
        <v>0</v>
      </c>
      <c r="U37" s="855">
        <f>'[4]int.bevételek RM II'!W37</f>
        <v>6100</v>
      </c>
      <c r="V37" s="855"/>
      <c r="W37" s="855">
        <f>SUM(U37:V37)</f>
        <v>6100</v>
      </c>
      <c r="X37" s="855">
        <f>'[4]int.bevételek RM II'!Z37</f>
        <v>0</v>
      </c>
      <c r="Y37" s="855"/>
      <c r="Z37" s="855">
        <f>SUM(X37:Y37)</f>
        <v>0</v>
      </c>
      <c r="AA37" s="840">
        <f t="shared" si="22"/>
        <v>6100</v>
      </c>
      <c r="AB37" s="840">
        <f t="shared" si="22"/>
        <v>0</v>
      </c>
      <c r="AC37" s="840">
        <f t="shared" si="22"/>
        <v>6100</v>
      </c>
      <c r="AD37" s="845">
        <f t="shared" si="12"/>
        <v>186483</v>
      </c>
      <c r="AE37" s="845">
        <f t="shared" si="12"/>
        <v>65434</v>
      </c>
      <c r="AF37" s="845">
        <f t="shared" si="12"/>
        <v>251917</v>
      </c>
      <c r="AG37" s="854" t="s">
        <v>1050</v>
      </c>
      <c r="AH37" s="855">
        <f>'[4]int.bevételek RM II'!AJ37</f>
        <v>28106</v>
      </c>
      <c r="AI37" s="855"/>
      <c r="AJ37" s="855">
        <f>SUM(AH37:AI37)</f>
        <v>28106</v>
      </c>
      <c r="AK37" s="840">
        <f>'[4]int.bevételek RM II'!AM37</f>
        <v>376056</v>
      </c>
      <c r="AL37" s="855">
        <f>11584-7000</f>
        <v>4584</v>
      </c>
      <c r="AM37" s="855">
        <f>SUM(AK37:AL37)</f>
        <v>380640</v>
      </c>
      <c r="AN37" s="840">
        <f>'[4]int.bevételek RM II'!AP37</f>
        <v>7785</v>
      </c>
      <c r="AO37" s="855">
        <f>2400+7000</f>
        <v>9400</v>
      </c>
      <c r="AP37" s="855">
        <f>SUM(AN37:AO37)</f>
        <v>17185</v>
      </c>
      <c r="AQ37" s="840">
        <f t="shared" si="23"/>
        <v>383841</v>
      </c>
      <c r="AR37" s="840">
        <f t="shared" si="23"/>
        <v>13984</v>
      </c>
      <c r="AS37" s="840">
        <f t="shared" si="23"/>
        <v>397825</v>
      </c>
      <c r="AT37" s="840">
        <f t="shared" si="24"/>
        <v>598430</v>
      </c>
      <c r="AU37" s="840">
        <f t="shared" si="24"/>
        <v>79418</v>
      </c>
      <c r="AV37" s="840">
        <f t="shared" si="24"/>
        <v>677848</v>
      </c>
    </row>
    <row r="38" spans="1:48" ht="61.5" customHeight="1" thickBot="1" x14ac:dyDescent="0.65">
      <c r="A38" s="857" t="s">
        <v>1080</v>
      </c>
      <c r="B38" s="848">
        <f t="shared" ref="B38:P38" si="25">SUM(B33:B37)</f>
        <v>610039</v>
      </c>
      <c r="C38" s="848">
        <f t="shared" si="25"/>
        <v>0</v>
      </c>
      <c r="D38" s="848">
        <f t="shared" si="25"/>
        <v>610039</v>
      </c>
      <c r="E38" s="848">
        <f t="shared" si="25"/>
        <v>134438</v>
      </c>
      <c r="F38" s="848">
        <f t="shared" si="25"/>
        <v>67697</v>
      </c>
      <c r="G38" s="848">
        <f t="shared" si="25"/>
        <v>202135</v>
      </c>
      <c r="H38" s="848">
        <f t="shared" si="25"/>
        <v>0</v>
      </c>
      <c r="I38" s="848">
        <f t="shared" si="25"/>
        <v>300</v>
      </c>
      <c r="J38" s="848">
        <f t="shared" si="25"/>
        <v>300</v>
      </c>
      <c r="K38" s="848">
        <f t="shared" si="25"/>
        <v>0</v>
      </c>
      <c r="L38" s="848">
        <f t="shared" si="25"/>
        <v>0</v>
      </c>
      <c r="M38" s="848">
        <f t="shared" si="25"/>
        <v>0</v>
      </c>
      <c r="N38" s="848">
        <f t="shared" si="25"/>
        <v>744477</v>
      </c>
      <c r="O38" s="848">
        <f t="shared" si="25"/>
        <v>67997</v>
      </c>
      <c r="P38" s="848">
        <f t="shared" si="25"/>
        <v>812474</v>
      </c>
      <c r="Q38" s="857" t="s">
        <v>1080</v>
      </c>
      <c r="R38" s="848">
        <f t="shared" ref="R38:AC38" si="26">SUM(R33:R37)</f>
        <v>0</v>
      </c>
      <c r="S38" s="848">
        <f t="shared" si="26"/>
        <v>0</v>
      </c>
      <c r="T38" s="848">
        <f t="shared" si="26"/>
        <v>0</v>
      </c>
      <c r="U38" s="848">
        <f t="shared" si="26"/>
        <v>8100</v>
      </c>
      <c r="V38" s="848">
        <f t="shared" si="26"/>
        <v>20858</v>
      </c>
      <c r="W38" s="848">
        <f t="shared" si="26"/>
        <v>28958</v>
      </c>
      <c r="X38" s="848">
        <f t="shared" si="26"/>
        <v>0</v>
      </c>
      <c r="Y38" s="848">
        <f t="shared" si="26"/>
        <v>0</v>
      </c>
      <c r="Z38" s="848">
        <f t="shared" si="26"/>
        <v>0</v>
      </c>
      <c r="AA38" s="848">
        <f t="shared" si="26"/>
        <v>8100</v>
      </c>
      <c r="AB38" s="848">
        <f t="shared" si="26"/>
        <v>20858</v>
      </c>
      <c r="AC38" s="848">
        <f t="shared" si="26"/>
        <v>28958</v>
      </c>
      <c r="AD38" s="848">
        <f t="shared" si="12"/>
        <v>752577</v>
      </c>
      <c r="AE38" s="848">
        <f t="shared" si="12"/>
        <v>88855</v>
      </c>
      <c r="AF38" s="848">
        <f t="shared" si="12"/>
        <v>841432</v>
      </c>
      <c r="AG38" s="857" t="s">
        <v>1080</v>
      </c>
      <c r="AH38" s="848">
        <f>SUM(AH33:AH37)</f>
        <v>90433</v>
      </c>
      <c r="AI38" s="848">
        <f>SUM(AI33:AI37)</f>
        <v>0</v>
      </c>
      <c r="AJ38" s="848">
        <f>SUM(AJ33:AJ37)</f>
        <v>90433</v>
      </c>
      <c r="AK38" s="848">
        <f t="shared" ref="AK38:AV38" si="27">SUM(AK33:AK37)</f>
        <v>1445454</v>
      </c>
      <c r="AL38" s="848">
        <f t="shared" si="27"/>
        <v>51919</v>
      </c>
      <c r="AM38" s="848">
        <f t="shared" si="27"/>
        <v>1497373</v>
      </c>
      <c r="AN38" s="848">
        <f t="shared" si="27"/>
        <v>68305</v>
      </c>
      <c r="AO38" s="848">
        <f t="shared" si="27"/>
        <v>-9061</v>
      </c>
      <c r="AP38" s="848">
        <f t="shared" si="27"/>
        <v>59244</v>
      </c>
      <c r="AQ38" s="848">
        <f t="shared" si="27"/>
        <v>1513759</v>
      </c>
      <c r="AR38" s="848">
        <f t="shared" si="27"/>
        <v>42858</v>
      </c>
      <c r="AS38" s="848">
        <f t="shared" si="27"/>
        <v>1556617</v>
      </c>
      <c r="AT38" s="848">
        <f t="shared" si="27"/>
        <v>2356769</v>
      </c>
      <c r="AU38" s="848">
        <f t="shared" si="27"/>
        <v>131713</v>
      </c>
      <c r="AV38" s="848">
        <f t="shared" si="27"/>
        <v>2488482</v>
      </c>
    </row>
    <row r="39" spans="1:48" ht="48" customHeight="1" x14ac:dyDescent="0.6">
      <c r="A39" s="858" t="s">
        <v>1052</v>
      </c>
      <c r="B39" s="837"/>
      <c r="C39" s="837"/>
      <c r="D39" s="837"/>
      <c r="E39" s="837"/>
      <c r="F39" s="837"/>
      <c r="G39" s="837"/>
      <c r="H39" s="837"/>
      <c r="I39" s="837"/>
      <c r="J39" s="837"/>
      <c r="K39" s="837"/>
      <c r="L39" s="837"/>
      <c r="M39" s="837"/>
      <c r="N39" s="837"/>
      <c r="O39" s="837"/>
      <c r="P39" s="837"/>
      <c r="Q39" s="858" t="s">
        <v>1052</v>
      </c>
      <c r="R39" s="837"/>
      <c r="S39" s="837"/>
      <c r="T39" s="837"/>
      <c r="U39" s="837"/>
      <c r="V39" s="837"/>
      <c r="W39" s="837"/>
      <c r="X39" s="837"/>
      <c r="Y39" s="837"/>
      <c r="Z39" s="837"/>
      <c r="AA39" s="837"/>
      <c r="AB39" s="837"/>
      <c r="AC39" s="837"/>
      <c r="AD39" s="837"/>
      <c r="AE39" s="837"/>
      <c r="AF39" s="837"/>
      <c r="AG39" s="858" t="s">
        <v>1052</v>
      </c>
      <c r="AH39" s="837"/>
      <c r="AI39" s="837"/>
      <c r="AJ39" s="837"/>
      <c r="AK39" s="837"/>
      <c r="AL39" s="837"/>
      <c r="AM39" s="837"/>
      <c r="AN39" s="837"/>
      <c r="AO39" s="837"/>
      <c r="AP39" s="837"/>
      <c r="AQ39" s="837"/>
      <c r="AR39" s="837"/>
      <c r="AS39" s="837"/>
      <c r="AT39" s="837"/>
      <c r="AU39" s="837"/>
      <c r="AV39" s="837"/>
    </row>
    <row r="40" spans="1:48" ht="90.75" thickBot="1" x14ac:dyDescent="0.65">
      <c r="A40" s="859" t="s">
        <v>1053</v>
      </c>
      <c r="B40" s="840">
        <f>'[4]int.bevételek RM II'!D40</f>
        <v>94499</v>
      </c>
      <c r="C40" s="840">
        <v>25570</v>
      </c>
      <c r="D40" s="840">
        <f>SUM(B40:C40)</f>
        <v>120069</v>
      </c>
      <c r="E40" s="840">
        <f>'[4]int.bevételek RM II'!G40</f>
        <v>0</v>
      </c>
      <c r="F40" s="840"/>
      <c r="G40" s="840">
        <f>SUM(E40:F40)</f>
        <v>0</v>
      </c>
      <c r="H40" s="840">
        <f>'[4]int.bevételek RM II'!J40</f>
        <v>0</v>
      </c>
      <c r="I40" s="840"/>
      <c r="J40" s="840">
        <f>SUM(H40:I40)</f>
        <v>0</v>
      </c>
      <c r="K40" s="845">
        <f>'[4]int.bevételek RM II'!M40</f>
        <v>0</v>
      </c>
      <c r="L40" s="845"/>
      <c r="M40" s="845">
        <f>SUM(K40:L40)</f>
        <v>0</v>
      </c>
      <c r="N40" s="840">
        <f>B40+E40+H40+K40</f>
        <v>94499</v>
      </c>
      <c r="O40" s="840">
        <f>C40+F40+I40+L40</f>
        <v>25570</v>
      </c>
      <c r="P40" s="840">
        <f>D40+G40+J40+M40</f>
        <v>120069</v>
      </c>
      <c r="Q40" s="859" t="s">
        <v>1053</v>
      </c>
      <c r="R40" s="840">
        <f>'[4]int.bevételek RM II'!T40</f>
        <v>0</v>
      </c>
      <c r="S40" s="840"/>
      <c r="T40" s="840">
        <f>SUM(R40:S40)</f>
        <v>0</v>
      </c>
      <c r="U40" s="840">
        <f>'[4]int.bevételek RM II'!W40</f>
        <v>0</v>
      </c>
      <c r="V40" s="840"/>
      <c r="W40" s="840">
        <f>SUM(U40:V40)</f>
        <v>0</v>
      </c>
      <c r="X40" s="840">
        <f>'[4]int.bevételek RM II'!Z40</f>
        <v>0</v>
      </c>
      <c r="Y40" s="840"/>
      <c r="Z40" s="840">
        <f>SUM(X40:Y40)</f>
        <v>0</v>
      </c>
      <c r="AA40" s="840">
        <f>R40+U40+X40</f>
        <v>0</v>
      </c>
      <c r="AB40" s="840">
        <f>S40+V40+Y40</f>
        <v>0</v>
      </c>
      <c r="AC40" s="840">
        <f>T40+W40+Z40</f>
        <v>0</v>
      </c>
      <c r="AD40" s="845">
        <f>N40+AA40</f>
        <v>94499</v>
      </c>
      <c r="AE40" s="845">
        <f>O40+AB40</f>
        <v>25570</v>
      </c>
      <c r="AF40" s="845">
        <f>P40+AC40</f>
        <v>120069</v>
      </c>
      <c r="AG40" s="859" t="s">
        <v>1053</v>
      </c>
      <c r="AH40" s="860">
        <f>'[4]int.bevételek RM II'!AJ40</f>
        <v>10384</v>
      </c>
      <c r="AI40" s="860"/>
      <c r="AJ40" s="860">
        <f>SUM(AH40:AI40)</f>
        <v>10384</v>
      </c>
      <c r="AK40" s="840">
        <f>'[4]int.bevételek RM II'!AM40</f>
        <v>804384</v>
      </c>
      <c r="AL40" s="845">
        <f>59534-9527</f>
        <v>50007</v>
      </c>
      <c r="AM40" s="860">
        <f>SUM(AK40:AL40)</f>
        <v>854391</v>
      </c>
      <c r="AN40" s="840">
        <f>'[4]int.bevételek RM II'!AP40</f>
        <v>14606</v>
      </c>
      <c r="AO40" s="845">
        <f>5067+9527</f>
        <v>14594</v>
      </c>
      <c r="AP40" s="860">
        <f>SUM(AN40:AO40)</f>
        <v>29200</v>
      </c>
      <c r="AQ40" s="840">
        <f>AK40+AN40</f>
        <v>818990</v>
      </c>
      <c r="AR40" s="840">
        <f>AL40+AO40</f>
        <v>64601</v>
      </c>
      <c r="AS40" s="840">
        <f>AM40+AP40</f>
        <v>883591</v>
      </c>
      <c r="AT40" s="840">
        <f>N40+AA40+AH40+AQ40</f>
        <v>923873</v>
      </c>
      <c r="AU40" s="840">
        <f>O40+AB40+AI40+AR40</f>
        <v>90171</v>
      </c>
      <c r="AV40" s="840">
        <f>P40+AC40+AJ40+AS40</f>
        <v>1014044</v>
      </c>
    </row>
    <row r="41" spans="1:48" ht="61.5" customHeight="1" x14ac:dyDescent="0.6">
      <c r="A41" s="858" t="s">
        <v>1054</v>
      </c>
      <c r="B41" s="837"/>
      <c r="C41" s="837"/>
      <c r="D41" s="861"/>
      <c r="E41" s="837"/>
      <c r="F41" s="862"/>
      <c r="G41" s="837"/>
      <c r="H41" s="837"/>
      <c r="I41" s="837"/>
      <c r="J41" s="837"/>
      <c r="K41" s="837"/>
      <c r="L41" s="837"/>
      <c r="M41" s="837"/>
      <c r="N41" s="837"/>
      <c r="O41" s="837"/>
      <c r="P41" s="837"/>
      <c r="Q41" s="858" t="s">
        <v>1054</v>
      </c>
      <c r="R41" s="837"/>
      <c r="S41" s="837"/>
      <c r="T41" s="837"/>
      <c r="U41" s="837"/>
      <c r="V41" s="837"/>
      <c r="W41" s="837"/>
      <c r="X41" s="837"/>
      <c r="Y41" s="837"/>
      <c r="Z41" s="837"/>
      <c r="AA41" s="837"/>
      <c r="AB41" s="837"/>
      <c r="AC41" s="837"/>
      <c r="AD41" s="837"/>
      <c r="AE41" s="837"/>
      <c r="AF41" s="837"/>
      <c r="AG41" s="858" t="s">
        <v>1054</v>
      </c>
      <c r="AH41" s="837"/>
      <c r="AI41" s="837"/>
      <c r="AJ41" s="837"/>
      <c r="AK41" s="837"/>
      <c r="AL41" s="837"/>
      <c r="AM41" s="837"/>
      <c r="AN41" s="837"/>
      <c r="AO41" s="837"/>
      <c r="AP41" s="837"/>
      <c r="AQ41" s="837"/>
      <c r="AR41" s="837"/>
      <c r="AS41" s="837"/>
      <c r="AT41" s="837"/>
      <c r="AU41" s="837"/>
      <c r="AV41" s="837"/>
    </row>
    <row r="42" spans="1:48" ht="48.75" customHeight="1" thickBot="1" x14ac:dyDescent="0.65">
      <c r="A42" s="863" t="s">
        <v>1055</v>
      </c>
      <c r="B42" s="860">
        <f>'[4]int.bevételek RM II'!D42</f>
        <v>27393</v>
      </c>
      <c r="C42" s="860"/>
      <c r="D42" s="849">
        <f>SUM(B42:C42)</f>
        <v>27393</v>
      </c>
      <c r="E42" s="860">
        <f>'[4]int.bevételek RM II'!G42</f>
        <v>334241</v>
      </c>
      <c r="F42" s="864">
        <v>24736</v>
      </c>
      <c r="G42" s="860">
        <f>SUM(E42:F42)</f>
        <v>358977</v>
      </c>
      <c r="H42" s="860">
        <f>'[4]int.bevételek RM II'!J42</f>
        <v>0</v>
      </c>
      <c r="I42" s="860"/>
      <c r="J42" s="860">
        <f>SUM(H42:I42)</f>
        <v>0</v>
      </c>
      <c r="K42" s="860">
        <f>'[4]int.bevételek RM II'!M42</f>
        <v>0</v>
      </c>
      <c r="L42" s="860"/>
      <c r="M42" s="860">
        <f>SUM(K42:L42)</f>
        <v>0</v>
      </c>
      <c r="N42" s="860">
        <f>B42+E42+H42+K42</f>
        <v>361634</v>
      </c>
      <c r="O42" s="860">
        <f>C42+F42+I42+L42</f>
        <v>24736</v>
      </c>
      <c r="P42" s="860">
        <f>D42+G42+J42+M42</f>
        <v>386370</v>
      </c>
      <c r="Q42" s="865" t="s">
        <v>1055</v>
      </c>
      <c r="R42" s="860">
        <f>'[4]int.bevételek RM II'!T42</f>
        <v>0</v>
      </c>
      <c r="S42" s="860"/>
      <c r="T42" s="860">
        <f>SUM(R42:S42)</f>
        <v>0</v>
      </c>
      <c r="U42" s="860">
        <f>'[4]int.bevételek RM II'!W42</f>
        <v>1990</v>
      </c>
      <c r="V42" s="860">
        <v>2801</v>
      </c>
      <c r="W42" s="860">
        <f>SUM(U42:V42)</f>
        <v>4791</v>
      </c>
      <c r="X42" s="860">
        <f>'[4]int.bevételek RM II'!Z42</f>
        <v>0</v>
      </c>
      <c r="Y42" s="860"/>
      <c r="Z42" s="860"/>
      <c r="AA42" s="860">
        <f>R42+U42+X42</f>
        <v>1990</v>
      </c>
      <c r="AB42" s="860">
        <f>S42+V42+Y42</f>
        <v>2801</v>
      </c>
      <c r="AC42" s="860">
        <f>T42+W42+Z42</f>
        <v>4791</v>
      </c>
      <c r="AD42" s="860">
        <f>N42+AA42</f>
        <v>363624</v>
      </c>
      <c r="AE42" s="860">
        <f>O42+AB42</f>
        <v>27537</v>
      </c>
      <c r="AF42" s="860">
        <f>P42+AC42</f>
        <v>391161</v>
      </c>
      <c r="AG42" s="865" t="s">
        <v>1055</v>
      </c>
      <c r="AH42" s="860">
        <f>'[4]int.bevételek RM II'!AJ42</f>
        <v>38212</v>
      </c>
      <c r="AI42" s="860"/>
      <c r="AJ42" s="860">
        <f>SUM(AH42:AI42)</f>
        <v>38212</v>
      </c>
      <c r="AK42" s="860">
        <f>'[4]int.bevételek RM II'!AM42</f>
        <v>329403</v>
      </c>
      <c r="AL42" s="860">
        <f>-5643+1332</f>
        <v>-4311</v>
      </c>
      <c r="AM42" s="860">
        <f>SUM(AK42:AL42)</f>
        <v>325092</v>
      </c>
      <c r="AN42" s="860">
        <f>'[4]int.bevételek RM II'!AP42</f>
        <v>43123</v>
      </c>
      <c r="AO42" s="860">
        <v>-1332</v>
      </c>
      <c r="AP42" s="860">
        <f>SUM(AN42:AO42)</f>
        <v>41791</v>
      </c>
      <c r="AQ42" s="860">
        <f>AK42+AN42</f>
        <v>372526</v>
      </c>
      <c r="AR42" s="860">
        <f>AL42+AO42</f>
        <v>-5643</v>
      </c>
      <c r="AS42" s="860">
        <f>AM42+AP42</f>
        <v>366883</v>
      </c>
      <c r="AT42" s="860">
        <f>N42+AA42+AH42+AQ42</f>
        <v>774362</v>
      </c>
      <c r="AU42" s="860">
        <f>O42+AB42+AI42+AR42</f>
        <v>21894</v>
      </c>
      <c r="AV42" s="860">
        <f>P42+AC42+AJ42+AS42</f>
        <v>796256</v>
      </c>
    </row>
    <row r="43" spans="1:48" ht="48" customHeight="1" x14ac:dyDescent="0.6">
      <c r="A43" s="858" t="s">
        <v>1056</v>
      </c>
      <c r="B43" s="845"/>
      <c r="C43" s="845"/>
      <c r="D43" s="866"/>
      <c r="E43" s="845"/>
      <c r="F43" s="867"/>
      <c r="G43" s="845"/>
      <c r="H43" s="845"/>
      <c r="I43" s="845"/>
      <c r="J43" s="845"/>
      <c r="K43" s="845"/>
      <c r="L43" s="845"/>
      <c r="M43" s="845"/>
      <c r="N43" s="845"/>
      <c r="O43" s="845"/>
      <c r="P43" s="845"/>
      <c r="Q43" s="853" t="s">
        <v>1056</v>
      </c>
      <c r="R43" s="845"/>
      <c r="S43" s="845"/>
      <c r="T43" s="845"/>
      <c r="U43" s="845"/>
      <c r="V43" s="845"/>
      <c r="W43" s="845"/>
      <c r="X43" s="845"/>
      <c r="Y43" s="845"/>
      <c r="Z43" s="845"/>
      <c r="AA43" s="845"/>
      <c r="AB43" s="845"/>
      <c r="AC43" s="845"/>
      <c r="AD43" s="845"/>
      <c r="AE43" s="845"/>
      <c r="AF43" s="845"/>
      <c r="AG43" s="853" t="s">
        <v>1056</v>
      </c>
      <c r="AH43" s="845"/>
      <c r="AI43" s="845"/>
      <c r="AJ43" s="845"/>
      <c r="AK43" s="845"/>
      <c r="AL43" s="845"/>
      <c r="AM43" s="845"/>
      <c r="AN43" s="845"/>
      <c r="AO43" s="845"/>
      <c r="AP43" s="845"/>
      <c r="AQ43" s="845"/>
      <c r="AR43" s="845"/>
      <c r="AS43" s="845"/>
      <c r="AT43" s="845"/>
      <c r="AU43" s="845"/>
      <c r="AV43" s="845"/>
    </row>
    <row r="44" spans="1:48" ht="48.75" customHeight="1" thickBot="1" x14ac:dyDescent="0.65">
      <c r="A44" s="868" t="s">
        <v>1081</v>
      </c>
      <c r="B44" s="840">
        <f>'[4]int.bevételek RM II'!D44</f>
        <v>53475</v>
      </c>
      <c r="C44" s="845">
        <v>434</v>
      </c>
      <c r="D44" s="845">
        <f>SUM(B44:C44)</f>
        <v>53909</v>
      </c>
      <c r="E44" s="840">
        <f>'[4]int.bevételek RM II'!G44</f>
        <v>0</v>
      </c>
      <c r="F44" s="845">
        <v>6625</v>
      </c>
      <c r="G44" s="845">
        <f>SUM(E44:F44)</f>
        <v>6625</v>
      </c>
      <c r="H44" s="845">
        <f>'[4]int.bevételek RM II'!J44</f>
        <v>0</v>
      </c>
      <c r="I44" s="845"/>
      <c r="J44" s="840">
        <f>SUM(H44:I44)</f>
        <v>0</v>
      </c>
      <c r="K44" s="869">
        <f>'[4]int.bevételek RM II'!M44</f>
        <v>0</v>
      </c>
      <c r="L44" s="840"/>
      <c r="M44" s="840">
        <f>SUM(K44:L44)</f>
        <v>0</v>
      </c>
      <c r="N44" s="840">
        <f>B44+E44+H44+K44</f>
        <v>53475</v>
      </c>
      <c r="O44" s="840">
        <f>C44+F44+I44+L44</f>
        <v>7059</v>
      </c>
      <c r="P44" s="840">
        <f>D44+G44+J44+M44</f>
        <v>60534</v>
      </c>
      <c r="Q44" s="868" t="s">
        <v>1081</v>
      </c>
      <c r="R44" s="845">
        <f>'[4]int.bevételek RM II'!T44</f>
        <v>0</v>
      </c>
      <c r="S44" s="845">
        <v>489</v>
      </c>
      <c r="T44" s="845">
        <f>SUM(R44:S44)</f>
        <v>489</v>
      </c>
      <c r="U44" s="845">
        <f>'[4]int.bevételek RM II'!W44</f>
        <v>0</v>
      </c>
      <c r="V44" s="845"/>
      <c r="W44" s="845">
        <f>SUM(U44:V44)</f>
        <v>0</v>
      </c>
      <c r="X44" s="845">
        <f>'[4]int.bevételek RM II'!Z44</f>
        <v>0</v>
      </c>
      <c r="Y44" s="845"/>
      <c r="Z44" s="860">
        <f>SUM(X44:Y44)</f>
        <v>0</v>
      </c>
      <c r="AA44" s="840">
        <f>R44+U44+X44</f>
        <v>0</v>
      </c>
      <c r="AB44" s="840">
        <f>S44+V44+Y44</f>
        <v>489</v>
      </c>
      <c r="AC44" s="840">
        <f>T44+W44+Z44</f>
        <v>489</v>
      </c>
      <c r="AD44" s="840">
        <f>N44+AA44</f>
        <v>53475</v>
      </c>
      <c r="AE44" s="840">
        <f>O44+AB44</f>
        <v>7548</v>
      </c>
      <c r="AF44" s="840">
        <f>P44+AC44</f>
        <v>61023</v>
      </c>
      <c r="AG44" s="868" t="s">
        <v>1081</v>
      </c>
      <c r="AH44" s="845">
        <f>'[4]int.bevételek RM II'!AJ44</f>
        <v>803</v>
      </c>
      <c r="AI44" s="845"/>
      <c r="AJ44" s="845">
        <f>SUM(AH44:AI44)</f>
        <v>803</v>
      </c>
      <c r="AK44" s="840">
        <f>'[4]int.bevételek RM II'!AM44</f>
        <v>752754</v>
      </c>
      <c r="AL44" s="840">
        <v>8367</v>
      </c>
      <c r="AM44" s="845">
        <f>SUM(AK44:AL44)</f>
        <v>761121</v>
      </c>
      <c r="AN44" s="840">
        <f>'[4]int.bevételek RM II'!AP44</f>
        <v>29847</v>
      </c>
      <c r="AO44" s="840">
        <v>300</v>
      </c>
      <c r="AP44" s="845">
        <f>SUM(AN44:AO44)</f>
        <v>30147</v>
      </c>
      <c r="AQ44" s="840">
        <f>AK44+AN44</f>
        <v>782601</v>
      </c>
      <c r="AR44" s="840">
        <f>AL44+AO44</f>
        <v>8667</v>
      </c>
      <c r="AS44" s="840">
        <f>AM44+AP44</f>
        <v>791268</v>
      </c>
      <c r="AT44" s="840">
        <f>N44+AA44+AH44+AQ44</f>
        <v>836879</v>
      </c>
      <c r="AU44" s="840">
        <f>O44+AB44+AI44+AR44</f>
        <v>16215</v>
      </c>
      <c r="AV44" s="840">
        <f>P44+AC44+AJ44+AS44</f>
        <v>853094</v>
      </c>
    </row>
    <row r="45" spans="1:48" ht="48.75" customHeight="1" x14ac:dyDescent="0.6">
      <c r="A45" s="858" t="s">
        <v>1058</v>
      </c>
      <c r="B45" s="837"/>
      <c r="C45" s="837"/>
      <c r="D45" s="837"/>
      <c r="E45" s="837"/>
      <c r="F45" s="837"/>
      <c r="G45" s="837"/>
      <c r="H45" s="837"/>
      <c r="I45" s="837"/>
      <c r="J45" s="837"/>
      <c r="K45" s="837"/>
      <c r="L45" s="837"/>
      <c r="M45" s="837"/>
      <c r="N45" s="837"/>
      <c r="O45" s="837"/>
      <c r="P45" s="837"/>
      <c r="Q45" s="858" t="s">
        <v>1058</v>
      </c>
      <c r="R45" s="837"/>
      <c r="S45" s="837"/>
      <c r="T45" s="837"/>
      <c r="U45" s="837"/>
      <c r="V45" s="837"/>
      <c r="W45" s="837"/>
      <c r="X45" s="837"/>
      <c r="Y45" s="837"/>
      <c r="Z45" s="845"/>
      <c r="AA45" s="837"/>
      <c r="AB45" s="837"/>
      <c r="AC45" s="837"/>
      <c r="AD45" s="837"/>
      <c r="AE45" s="837"/>
      <c r="AF45" s="837"/>
      <c r="AG45" s="858" t="s">
        <v>1058</v>
      </c>
      <c r="AH45" s="837"/>
      <c r="AI45" s="837"/>
      <c r="AJ45" s="837"/>
      <c r="AK45" s="837"/>
      <c r="AL45" s="837"/>
      <c r="AM45" s="837"/>
      <c r="AN45" s="837"/>
      <c r="AO45" s="837"/>
      <c r="AP45" s="837"/>
      <c r="AQ45" s="837"/>
      <c r="AR45" s="837"/>
      <c r="AS45" s="837"/>
      <c r="AT45" s="837"/>
      <c r="AU45" s="837"/>
      <c r="AV45" s="837"/>
    </row>
    <row r="46" spans="1:48" ht="48.75" customHeight="1" x14ac:dyDescent="0.6">
      <c r="A46" s="839" t="s">
        <v>1082</v>
      </c>
      <c r="B46" s="840">
        <f>'[4]int.bevételek RM II'!D46</f>
        <v>139534</v>
      </c>
      <c r="C46" s="840"/>
      <c r="D46" s="840">
        <f>SUM(B46:C46)</f>
        <v>139534</v>
      </c>
      <c r="E46" s="840">
        <f>'[4]int.bevételek RM II'!G46</f>
        <v>0</v>
      </c>
      <c r="F46" s="840"/>
      <c r="G46" s="840">
        <f>SUM(E46:F46)</f>
        <v>0</v>
      </c>
      <c r="H46" s="840">
        <f>'[4]int.bevételek RM II'!J46</f>
        <v>0</v>
      </c>
      <c r="I46" s="840"/>
      <c r="J46" s="840">
        <f>SUM(H46:I46)</f>
        <v>0</v>
      </c>
      <c r="K46" s="840">
        <f>'[4]int.bevételek RM II'!M46</f>
        <v>0</v>
      </c>
      <c r="L46" s="840"/>
      <c r="M46" s="840">
        <f>SUM(K46:L46)</f>
        <v>0</v>
      </c>
      <c r="N46" s="840">
        <f t="shared" ref="N46:P48" si="28">B46+E46+H46+K46</f>
        <v>139534</v>
      </c>
      <c r="O46" s="840">
        <f t="shared" si="28"/>
        <v>0</v>
      </c>
      <c r="P46" s="840">
        <f t="shared" si="28"/>
        <v>139534</v>
      </c>
      <c r="Q46" s="839" t="s">
        <v>1082</v>
      </c>
      <c r="R46" s="840">
        <f>'[4]int.bevételek RM II'!T46</f>
        <v>0</v>
      </c>
      <c r="S46" s="840"/>
      <c r="T46" s="840">
        <f>SUM(R46:S46)</f>
        <v>0</v>
      </c>
      <c r="U46" s="840">
        <f>'[4]int.bevételek RM II'!W46</f>
        <v>0</v>
      </c>
      <c r="V46" s="840"/>
      <c r="W46" s="840">
        <f>SUM(U46:V46)</f>
        <v>0</v>
      </c>
      <c r="X46" s="840">
        <f>'[4]int.bevételek RM II'!Z46</f>
        <v>0</v>
      </c>
      <c r="Y46" s="840"/>
      <c r="Z46" s="845">
        <f>SUM(X46:Y46)</f>
        <v>0</v>
      </c>
      <c r="AA46" s="840">
        <f t="shared" ref="AA46:AC48" si="29">R46+U46+X46</f>
        <v>0</v>
      </c>
      <c r="AB46" s="840">
        <f t="shared" si="29"/>
        <v>0</v>
      </c>
      <c r="AC46" s="840">
        <f t="shared" si="29"/>
        <v>0</v>
      </c>
      <c r="AD46" s="840">
        <f t="shared" ref="AD46:AF49" si="30">N46+AA46</f>
        <v>139534</v>
      </c>
      <c r="AE46" s="840">
        <f t="shared" si="30"/>
        <v>0</v>
      </c>
      <c r="AF46" s="840">
        <f t="shared" si="30"/>
        <v>139534</v>
      </c>
      <c r="AG46" s="839" t="s">
        <v>1082</v>
      </c>
      <c r="AH46" s="840">
        <f>'[4]int.bevételek RM II'!AJ46</f>
        <v>12380</v>
      </c>
      <c r="AI46" s="840"/>
      <c r="AJ46" s="840">
        <f>SUM(AH46:AI46)</f>
        <v>12380</v>
      </c>
      <c r="AK46" s="840">
        <f>'[4]int.bevételek RM II'!AM46</f>
        <v>1452</v>
      </c>
      <c r="AL46" s="840">
        <f>1526</f>
        <v>1526</v>
      </c>
      <c r="AM46" s="840">
        <f>SUM(AK46:AL46)</f>
        <v>2978</v>
      </c>
      <c r="AN46" s="840">
        <f>'[4]int.bevételek RM II'!AP46</f>
        <v>0</v>
      </c>
      <c r="AO46" s="840"/>
      <c r="AP46" s="840">
        <f>SUM(AN46:AO46)</f>
        <v>0</v>
      </c>
      <c r="AQ46" s="840">
        <f t="shared" ref="AQ46:AS48" si="31">AK46+AN46</f>
        <v>1452</v>
      </c>
      <c r="AR46" s="840">
        <f t="shared" si="31"/>
        <v>1526</v>
      </c>
      <c r="AS46" s="840">
        <f t="shared" si="31"/>
        <v>2978</v>
      </c>
      <c r="AT46" s="840">
        <f t="shared" ref="AT46:AV48" si="32">N46+AA46+AH46+AQ46</f>
        <v>153366</v>
      </c>
      <c r="AU46" s="840">
        <f t="shared" si="32"/>
        <v>1526</v>
      </c>
      <c r="AV46" s="840">
        <f t="shared" si="32"/>
        <v>154892</v>
      </c>
    </row>
    <row r="47" spans="1:48" s="827" customFormat="1" ht="49.5" customHeight="1" x14ac:dyDescent="0.6">
      <c r="A47" s="870" t="s">
        <v>8</v>
      </c>
      <c r="B47" s="855">
        <f>'[4]int.bevételek RM II'!D47</f>
        <v>14550</v>
      </c>
      <c r="C47" s="855"/>
      <c r="D47" s="855">
        <f>SUM(B47:C47)</f>
        <v>14550</v>
      </c>
      <c r="E47" s="855">
        <f>'[4]int.bevételek RM II'!G47</f>
        <v>15582</v>
      </c>
      <c r="F47" s="855">
        <v>19676</v>
      </c>
      <c r="G47" s="871">
        <f>SUM(E47:F47)</f>
        <v>35258</v>
      </c>
      <c r="H47" s="855">
        <f>'[4]int.bevételek RM II'!J47</f>
        <v>0</v>
      </c>
      <c r="I47" s="871"/>
      <c r="J47" s="855">
        <f>SUM(H47:I47)</f>
        <v>0</v>
      </c>
      <c r="K47" s="871">
        <f>'[4]int.bevételek RM II'!M47</f>
        <v>1300</v>
      </c>
      <c r="L47" s="855"/>
      <c r="M47" s="871">
        <f>SUM(K47:L47)</f>
        <v>1300</v>
      </c>
      <c r="N47" s="855">
        <f t="shared" si="28"/>
        <v>31432</v>
      </c>
      <c r="O47" s="871">
        <f t="shared" si="28"/>
        <v>19676</v>
      </c>
      <c r="P47" s="855">
        <f t="shared" si="28"/>
        <v>51108</v>
      </c>
      <c r="Q47" s="870" t="s">
        <v>8</v>
      </c>
      <c r="R47" s="855">
        <f>'[4]int.bevételek RM II'!T47</f>
        <v>0</v>
      </c>
      <c r="S47" s="871"/>
      <c r="T47" s="855">
        <f>SUM(R47:S47)</f>
        <v>0</v>
      </c>
      <c r="U47" s="871">
        <f>'[4]int.bevételek RM II'!W47</f>
        <v>0</v>
      </c>
      <c r="V47" s="855"/>
      <c r="W47" s="871">
        <f>SUM(U47:V47)</f>
        <v>0</v>
      </c>
      <c r="X47" s="855">
        <f>'[4]int.bevételek RM II'!Z47</f>
        <v>0</v>
      </c>
      <c r="Y47" s="871"/>
      <c r="Z47" s="855">
        <f>SUM(X47:Y47)</f>
        <v>0</v>
      </c>
      <c r="AA47" s="871">
        <f t="shared" si="29"/>
        <v>0</v>
      </c>
      <c r="AB47" s="840">
        <f t="shared" si="29"/>
        <v>0</v>
      </c>
      <c r="AC47" s="855">
        <f t="shared" si="29"/>
        <v>0</v>
      </c>
      <c r="AD47" s="855">
        <f t="shared" si="30"/>
        <v>31432</v>
      </c>
      <c r="AE47" s="855">
        <f t="shared" si="30"/>
        <v>19676</v>
      </c>
      <c r="AF47" s="855">
        <f t="shared" si="30"/>
        <v>51108</v>
      </c>
      <c r="AG47" s="870" t="s">
        <v>8</v>
      </c>
      <c r="AH47" s="871">
        <f>'[4]int.bevételek RM II'!AJ47</f>
        <v>5492</v>
      </c>
      <c r="AI47" s="855"/>
      <c r="AJ47" s="840">
        <f>SUM(AH47:AI47)</f>
        <v>5492</v>
      </c>
      <c r="AK47" s="871">
        <f>'[4]int.bevételek RM II'!AM47</f>
        <v>1979633</v>
      </c>
      <c r="AL47" s="855">
        <f>47115+294</f>
        <v>47409</v>
      </c>
      <c r="AM47" s="871">
        <f>SUM(AK47:AL47)</f>
        <v>2027042</v>
      </c>
      <c r="AN47" s="855">
        <f>'[4]int.bevételek RM II'!AP47</f>
        <v>41243</v>
      </c>
      <c r="AO47" s="871">
        <f>24928-294</f>
        <v>24634</v>
      </c>
      <c r="AP47" s="855">
        <f>SUM(AN47:AO47)</f>
        <v>65877</v>
      </c>
      <c r="AQ47" s="871">
        <f t="shared" si="31"/>
        <v>2020876</v>
      </c>
      <c r="AR47" s="855">
        <f t="shared" si="31"/>
        <v>72043</v>
      </c>
      <c r="AS47" s="871">
        <f t="shared" si="31"/>
        <v>2092919</v>
      </c>
      <c r="AT47" s="855">
        <f t="shared" si="32"/>
        <v>2057800</v>
      </c>
      <c r="AU47" s="871">
        <f t="shared" si="32"/>
        <v>91719</v>
      </c>
      <c r="AV47" s="855">
        <f t="shared" si="32"/>
        <v>2149519</v>
      </c>
    </row>
    <row r="48" spans="1:48" ht="48.75" customHeight="1" thickBot="1" x14ac:dyDescent="0.65">
      <c r="A48" s="872" t="s">
        <v>1060</v>
      </c>
      <c r="B48" s="846">
        <f>'[4]int.bevételek RM II'!D48</f>
        <v>0</v>
      </c>
      <c r="C48" s="846"/>
      <c r="D48" s="846">
        <f>SUM(B48:C48)</f>
        <v>0</v>
      </c>
      <c r="E48" s="846">
        <f>'[4]int.bevételek RM II'!G48</f>
        <v>0</v>
      </c>
      <c r="F48" s="846"/>
      <c r="G48" s="873">
        <f>SUM(E48:F48)</f>
        <v>0</v>
      </c>
      <c r="H48" s="846">
        <f>'[4]int.bevételek RM II'!J48</f>
        <v>0</v>
      </c>
      <c r="I48" s="873"/>
      <c r="J48" s="846">
        <f>SUM(H48:I48)</f>
        <v>0</v>
      </c>
      <c r="K48" s="873">
        <f>'[4]int.bevételek RM II'!M48</f>
        <v>0</v>
      </c>
      <c r="L48" s="846"/>
      <c r="M48" s="873">
        <f>SUM(K48:L48)</f>
        <v>0</v>
      </c>
      <c r="N48" s="846">
        <f t="shared" si="28"/>
        <v>0</v>
      </c>
      <c r="O48" s="873">
        <f t="shared" si="28"/>
        <v>0</v>
      </c>
      <c r="P48" s="846">
        <f t="shared" si="28"/>
        <v>0</v>
      </c>
      <c r="Q48" s="872" t="s">
        <v>1060</v>
      </c>
      <c r="R48" s="846">
        <f>'[4]int.bevételek RM II'!T48</f>
        <v>0</v>
      </c>
      <c r="S48" s="873"/>
      <c r="T48" s="846">
        <f>SUM(R48:S48)</f>
        <v>0</v>
      </c>
      <c r="U48" s="873">
        <f>'[4]int.bevételek RM II'!W48</f>
        <v>0</v>
      </c>
      <c r="V48" s="846"/>
      <c r="W48" s="873">
        <f>SUM(U48:V48)</f>
        <v>0</v>
      </c>
      <c r="X48" s="846">
        <f>'[4]int.bevételek RM II'!Z48</f>
        <v>0</v>
      </c>
      <c r="Y48" s="873"/>
      <c r="Z48" s="846">
        <f>SUM(X48:Y48)</f>
        <v>0</v>
      </c>
      <c r="AA48" s="873">
        <f t="shared" si="29"/>
        <v>0</v>
      </c>
      <c r="AB48" s="846">
        <f t="shared" si="29"/>
        <v>0</v>
      </c>
      <c r="AC48" s="846">
        <f t="shared" si="29"/>
        <v>0</v>
      </c>
      <c r="AD48" s="846">
        <f t="shared" si="30"/>
        <v>0</v>
      </c>
      <c r="AE48" s="846">
        <f t="shared" si="30"/>
        <v>0</v>
      </c>
      <c r="AF48" s="846">
        <f t="shared" si="30"/>
        <v>0</v>
      </c>
      <c r="AG48" s="872" t="s">
        <v>1060</v>
      </c>
      <c r="AH48" s="873">
        <f>'[4]int.bevételek RM II'!AJ48</f>
        <v>366</v>
      </c>
      <c r="AI48" s="846"/>
      <c r="AJ48" s="846">
        <f>SUM(AH48:AI48)</f>
        <v>366</v>
      </c>
      <c r="AK48" s="873">
        <f>'[4]int.bevételek RM II'!AM48</f>
        <v>203698</v>
      </c>
      <c r="AL48" s="846">
        <f>-1039-600</f>
        <v>-1639</v>
      </c>
      <c r="AM48" s="873">
        <f>SUM(AK48:AL48)</f>
        <v>202059</v>
      </c>
      <c r="AN48" s="846">
        <f>'[4]int.bevételek RM II'!AP48</f>
        <v>682</v>
      </c>
      <c r="AO48" s="873">
        <v>600</v>
      </c>
      <c r="AP48" s="846">
        <f>SUM(AN48:AO48)</f>
        <v>1282</v>
      </c>
      <c r="AQ48" s="873">
        <f t="shared" si="31"/>
        <v>204380</v>
      </c>
      <c r="AR48" s="846">
        <f t="shared" si="31"/>
        <v>-1039</v>
      </c>
      <c r="AS48" s="873">
        <f t="shared" si="31"/>
        <v>203341</v>
      </c>
      <c r="AT48" s="846">
        <f t="shared" si="32"/>
        <v>204746</v>
      </c>
      <c r="AU48" s="873">
        <f t="shared" si="32"/>
        <v>-1039</v>
      </c>
      <c r="AV48" s="846">
        <f t="shared" si="32"/>
        <v>203707</v>
      </c>
    </row>
    <row r="49" spans="1:48" ht="61.5" customHeight="1" thickBot="1" x14ac:dyDescent="0.65">
      <c r="A49" s="854" t="s">
        <v>1083</v>
      </c>
      <c r="B49" s="845">
        <f>SUM(B46:B48)</f>
        <v>154084</v>
      </c>
      <c r="C49" s="845">
        <f t="shared" ref="C49:P49" si="33">SUM(C46:C48)</f>
        <v>0</v>
      </c>
      <c r="D49" s="845">
        <f t="shared" si="33"/>
        <v>154084</v>
      </c>
      <c r="E49" s="845">
        <f t="shared" si="33"/>
        <v>15582</v>
      </c>
      <c r="F49" s="845">
        <f t="shared" si="33"/>
        <v>19676</v>
      </c>
      <c r="G49" s="845">
        <f t="shared" si="33"/>
        <v>35258</v>
      </c>
      <c r="H49" s="845">
        <f t="shared" si="33"/>
        <v>0</v>
      </c>
      <c r="I49" s="845">
        <f t="shared" si="33"/>
        <v>0</v>
      </c>
      <c r="J49" s="845">
        <f t="shared" si="33"/>
        <v>0</v>
      </c>
      <c r="K49" s="845">
        <f t="shared" si="33"/>
        <v>1300</v>
      </c>
      <c r="L49" s="845">
        <f t="shared" si="33"/>
        <v>0</v>
      </c>
      <c r="M49" s="845">
        <f t="shared" si="33"/>
        <v>1300</v>
      </c>
      <c r="N49" s="845">
        <f t="shared" si="33"/>
        <v>170966</v>
      </c>
      <c r="O49" s="845">
        <f t="shared" si="33"/>
        <v>19676</v>
      </c>
      <c r="P49" s="845">
        <f t="shared" si="33"/>
        <v>190642</v>
      </c>
      <c r="Q49" s="854" t="s">
        <v>1083</v>
      </c>
      <c r="R49" s="845">
        <f>SUM(R46:R48)</f>
        <v>0</v>
      </c>
      <c r="S49" s="845">
        <f t="shared" ref="S49:AC49" si="34">SUM(S46:S48)</f>
        <v>0</v>
      </c>
      <c r="T49" s="845">
        <f t="shared" si="34"/>
        <v>0</v>
      </c>
      <c r="U49" s="845">
        <f t="shared" si="34"/>
        <v>0</v>
      </c>
      <c r="V49" s="845">
        <f t="shared" si="34"/>
        <v>0</v>
      </c>
      <c r="W49" s="845">
        <f t="shared" si="34"/>
        <v>0</v>
      </c>
      <c r="X49" s="845">
        <f t="shared" si="34"/>
        <v>0</v>
      </c>
      <c r="Y49" s="845">
        <f t="shared" si="34"/>
        <v>0</v>
      </c>
      <c r="Z49" s="845">
        <f t="shared" si="34"/>
        <v>0</v>
      </c>
      <c r="AA49" s="845">
        <f t="shared" si="34"/>
        <v>0</v>
      </c>
      <c r="AB49" s="845">
        <f t="shared" si="34"/>
        <v>0</v>
      </c>
      <c r="AC49" s="845">
        <f t="shared" si="34"/>
        <v>0</v>
      </c>
      <c r="AD49" s="845">
        <f t="shared" si="30"/>
        <v>170966</v>
      </c>
      <c r="AE49" s="845">
        <f t="shared" si="30"/>
        <v>19676</v>
      </c>
      <c r="AF49" s="845">
        <f t="shared" si="30"/>
        <v>190642</v>
      </c>
      <c r="AG49" s="854" t="s">
        <v>1083</v>
      </c>
      <c r="AH49" s="845">
        <f t="shared" ref="AH49:AV49" si="35">SUM(AH46:AH48)</f>
        <v>18238</v>
      </c>
      <c r="AI49" s="845">
        <f t="shared" si="35"/>
        <v>0</v>
      </c>
      <c r="AJ49" s="845">
        <f t="shared" si="35"/>
        <v>18238</v>
      </c>
      <c r="AK49" s="845">
        <f t="shared" si="35"/>
        <v>2184783</v>
      </c>
      <c r="AL49" s="845">
        <f t="shared" si="35"/>
        <v>47296</v>
      </c>
      <c r="AM49" s="845">
        <f t="shared" si="35"/>
        <v>2232079</v>
      </c>
      <c r="AN49" s="845">
        <f t="shared" si="35"/>
        <v>41925</v>
      </c>
      <c r="AO49" s="845">
        <f t="shared" si="35"/>
        <v>25234</v>
      </c>
      <c r="AP49" s="845">
        <f t="shared" si="35"/>
        <v>67159</v>
      </c>
      <c r="AQ49" s="845">
        <f t="shared" si="35"/>
        <v>2226708</v>
      </c>
      <c r="AR49" s="845">
        <f t="shared" si="35"/>
        <v>72530</v>
      </c>
      <c r="AS49" s="845">
        <f t="shared" si="35"/>
        <v>2299238</v>
      </c>
      <c r="AT49" s="845">
        <f t="shared" si="35"/>
        <v>2415912</v>
      </c>
      <c r="AU49" s="845">
        <f t="shared" si="35"/>
        <v>92206</v>
      </c>
      <c r="AV49" s="845">
        <f t="shared" si="35"/>
        <v>2508118</v>
      </c>
    </row>
    <row r="50" spans="1:48" ht="61.5" customHeight="1" thickBot="1" x14ac:dyDescent="0.65">
      <c r="A50" s="874" t="s">
        <v>1062</v>
      </c>
      <c r="B50" s="848">
        <f>B38+B40+B42+B44+B49</f>
        <v>939490</v>
      </c>
      <c r="C50" s="848">
        <f t="shared" ref="C50:AV50" si="36">C38+C40+C42+C44+C49</f>
        <v>26004</v>
      </c>
      <c r="D50" s="848">
        <f t="shared" si="36"/>
        <v>965494</v>
      </c>
      <c r="E50" s="848">
        <f t="shared" si="36"/>
        <v>484261</v>
      </c>
      <c r="F50" s="848">
        <f t="shared" si="36"/>
        <v>118734</v>
      </c>
      <c r="G50" s="848">
        <f t="shared" si="36"/>
        <v>602995</v>
      </c>
      <c r="H50" s="848">
        <f t="shared" si="36"/>
        <v>0</v>
      </c>
      <c r="I50" s="848">
        <f t="shared" si="36"/>
        <v>300</v>
      </c>
      <c r="J50" s="848">
        <f t="shared" si="36"/>
        <v>300</v>
      </c>
      <c r="K50" s="848">
        <f t="shared" si="36"/>
        <v>1300</v>
      </c>
      <c r="L50" s="848">
        <f t="shared" si="36"/>
        <v>0</v>
      </c>
      <c r="M50" s="848">
        <f t="shared" si="36"/>
        <v>1300</v>
      </c>
      <c r="N50" s="848">
        <f t="shared" si="36"/>
        <v>1425051</v>
      </c>
      <c r="O50" s="848">
        <f t="shared" si="36"/>
        <v>145038</v>
      </c>
      <c r="P50" s="848">
        <f t="shared" si="36"/>
        <v>1570089</v>
      </c>
      <c r="Q50" s="874" t="s">
        <v>1062</v>
      </c>
      <c r="R50" s="848">
        <f t="shared" si="36"/>
        <v>0</v>
      </c>
      <c r="S50" s="848">
        <f t="shared" si="36"/>
        <v>489</v>
      </c>
      <c r="T50" s="848">
        <f t="shared" si="36"/>
        <v>489</v>
      </c>
      <c r="U50" s="848">
        <f t="shared" si="36"/>
        <v>10090</v>
      </c>
      <c r="V50" s="848">
        <f t="shared" si="36"/>
        <v>23659</v>
      </c>
      <c r="W50" s="848">
        <f t="shared" si="36"/>
        <v>33749</v>
      </c>
      <c r="X50" s="848">
        <f t="shared" si="36"/>
        <v>0</v>
      </c>
      <c r="Y50" s="848">
        <f t="shared" si="36"/>
        <v>0</v>
      </c>
      <c r="Z50" s="848">
        <f t="shared" si="36"/>
        <v>0</v>
      </c>
      <c r="AA50" s="848">
        <f t="shared" si="36"/>
        <v>10090</v>
      </c>
      <c r="AB50" s="848">
        <f t="shared" si="36"/>
        <v>24148</v>
      </c>
      <c r="AC50" s="848">
        <f t="shared" si="36"/>
        <v>34238</v>
      </c>
      <c r="AD50" s="848">
        <f t="shared" si="36"/>
        <v>1435141</v>
      </c>
      <c r="AE50" s="848">
        <f t="shared" si="36"/>
        <v>169186</v>
      </c>
      <c r="AF50" s="848">
        <f t="shared" si="36"/>
        <v>1604327</v>
      </c>
      <c r="AG50" s="874" t="s">
        <v>1062</v>
      </c>
      <c r="AH50" s="848">
        <f t="shared" si="36"/>
        <v>158070</v>
      </c>
      <c r="AI50" s="848">
        <f t="shared" si="36"/>
        <v>0</v>
      </c>
      <c r="AJ50" s="848">
        <f t="shared" si="36"/>
        <v>158070</v>
      </c>
      <c r="AK50" s="848">
        <f t="shared" si="36"/>
        <v>5516778</v>
      </c>
      <c r="AL50" s="848">
        <f t="shared" si="36"/>
        <v>153278</v>
      </c>
      <c r="AM50" s="848">
        <f t="shared" si="36"/>
        <v>5670056</v>
      </c>
      <c r="AN50" s="848">
        <f t="shared" si="36"/>
        <v>197806</v>
      </c>
      <c r="AO50" s="848">
        <f t="shared" si="36"/>
        <v>29735</v>
      </c>
      <c r="AP50" s="848">
        <f t="shared" si="36"/>
        <v>227541</v>
      </c>
      <c r="AQ50" s="848">
        <f t="shared" si="36"/>
        <v>5714584</v>
      </c>
      <c r="AR50" s="848">
        <f t="shared" si="36"/>
        <v>183013</v>
      </c>
      <c r="AS50" s="848">
        <f t="shared" si="36"/>
        <v>5897597</v>
      </c>
      <c r="AT50" s="848">
        <f t="shared" si="36"/>
        <v>7307795</v>
      </c>
      <c r="AU50" s="848">
        <f t="shared" si="36"/>
        <v>352199</v>
      </c>
      <c r="AV50" s="848">
        <f t="shared" si="36"/>
        <v>7659994</v>
      </c>
    </row>
    <row r="51" spans="1:48" ht="61.5" customHeight="1" thickBot="1" x14ac:dyDescent="0.65">
      <c r="A51" s="875" t="s">
        <v>1063</v>
      </c>
      <c r="B51" s="860">
        <f>B30+B50</f>
        <v>1381740</v>
      </c>
      <c r="C51" s="860">
        <f t="shared" ref="C51:P51" si="37">C30+C50</f>
        <v>34430</v>
      </c>
      <c r="D51" s="860">
        <f t="shared" si="37"/>
        <v>1416170</v>
      </c>
      <c r="E51" s="860">
        <f t="shared" si="37"/>
        <v>485020</v>
      </c>
      <c r="F51" s="860">
        <f t="shared" si="37"/>
        <v>119674</v>
      </c>
      <c r="G51" s="860">
        <f t="shared" si="37"/>
        <v>604694</v>
      </c>
      <c r="H51" s="860">
        <f t="shared" si="37"/>
        <v>269</v>
      </c>
      <c r="I51" s="860">
        <f t="shared" si="37"/>
        <v>2104</v>
      </c>
      <c r="J51" s="860">
        <f t="shared" si="37"/>
        <v>2373</v>
      </c>
      <c r="K51" s="860">
        <f t="shared" si="37"/>
        <v>1300</v>
      </c>
      <c r="L51" s="860">
        <f t="shared" si="37"/>
        <v>0</v>
      </c>
      <c r="M51" s="860">
        <f t="shared" si="37"/>
        <v>1300</v>
      </c>
      <c r="N51" s="860">
        <f t="shared" si="37"/>
        <v>1868329</v>
      </c>
      <c r="O51" s="860">
        <f t="shared" si="37"/>
        <v>156208</v>
      </c>
      <c r="P51" s="860">
        <f t="shared" si="37"/>
        <v>2024537</v>
      </c>
      <c r="Q51" s="875" t="s">
        <v>1063</v>
      </c>
      <c r="R51" s="876">
        <f t="shared" ref="R51:AF51" si="38">R30+R50</f>
        <v>0</v>
      </c>
      <c r="S51" s="860">
        <f t="shared" si="38"/>
        <v>579</v>
      </c>
      <c r="T51" s="876">
        <f t="shared" si="38"/>
        <v>579</v>
      </c>
      <c r="U51" s="860">
        <f t="shared" si="38"/>
        <v>10090</v>
      </c>
      <c r="V51" s="876">
        <f t="shared" si="38"/>
        <v>24287</v>
      </c>
      <c r="W51" s="860">
        <f t="shared" si="38"/>
        <v>34377</v>
      </c>
      <c r="X51" s="876">
        <f t="shared" si="38"/>
        <v>0</v>
      </c>
      <c r="Y51" s="860">
        <f t="shared" si="38"/>
        <v>0</v>
      </c>
      <c r="Z51" s="876">
        <f t="shared" si="38"/>
        <v>0</v>
      </c>
      <c r="AA51" s="860">
        <f t="shared" si="38"/>
        <v>10090</v>
      </c>
      <c r="AB51" s="876">
        <f t="shared" si="38"/>
        <v>24866</v>
      </c>
      <c r="AC51" s="860">
        <f t="shared" si="38"/>
        <v>34956</v>
      </c>
      <c r="AD51" s="860">
        <f t="shared" si="38"/>
        <v>1878419</v>
      </c>
      <c r="AE51" s="876">
        <f t="shared" si="38"/>
        <v>181074</v>
      </c>
      <c r="AF51" s="860">
        <f t="shared" si="38"/>
        <v>2059493</v>
      </c>
      <c r="AG51" s="875" t="s">
        <v>1063</v>
      </c>
      <c r="AH51" s="860">
        <f t="shared" ref="AH51:AV51" si="39">AH30+AH50</f>
        <v>174298</v>
      </c>
      <c r="AI51" s="876">
        <f t="shared" si="39"/>
        <v>0</v>
      </c>
      <c r="AJ51" s="860">
        <f t="shared" si="39"/>
        <v>174298</v>
      </c>
      <c r="AK51" s="860">
        <f t="shared" si="39"/>
        <v>8525355</v>
      </c>
      <c r="AL51" s="876">
        <f t="shared" si="39"/>
        <v>103305</v>
      </c>
      <c r="AM51" s="860">
        <f t="shared" si="39"/>
        <v>8628660</v>
      </c>
      <c r="AN51" s="876">
        <f t="shared" si="39"/>
        <v>361958</v>
      </c>
      <c r="AO51" s="860">
        <f t="shared" si="39"/>
        <v>115479</v>
      </c>
      <c r="AP51" s="876">
        <f t="shared" si="39"/>
        <v>477437</v>
      </c>
      <c r="AQ51" s="860">
        <f t="shared" si="39"/>
        <v>8887313</v>
      </c>
      <c r="AR51" s="876">
        <f t="shared" si="39"/>
        <v>218784</v>
      </c>
      <c r="AS51" s="860">
        <f t="shared" si="39"/>
        <v>9106097</v>
      </c>
      <c r="AT51" s="876">
        <f t="shared" si="39"/>
        <v>10940030</v>
      </c>
      <c r="AU51" s="860">
        <f t="shared" si="39"/>
        <v>399858</v>
      </c>
      <c r="AV51" s="860">
        <f t="shared" si="39"/>
        <v>11339888</v>
      </c>
    </row>
  </sheetData>
  <mergeCells count="31">
    <mergeCell ref="AH3:AV3"/>
    <mergeCell ref="B4:P4"/>
    <mergeCell ref="R4:AF4"/>
    <mergeCell ref="AH4:AV4"/>
    <mergeCell ref="H6:J6"/>
    <mergeCell ref="K6:M6"/>
    <mergeCell ref="N6:P6"/>
    <mergeCell ref="R6:T6"/>
    <mergeCell ref="B3:P3"/>
    <mergeCell ref="R3:AF3"/>
    <mergeCell ref="B7:D7"/>
    <mergeCell ref="N7:P7"/>
    <mergeCell ref="R7:T7"/>
    <mergeCell ref="X7:Z7"/>
    <mergeCell ref="AA7:AC7"/>
    <mergeCell ref="AD7:AF7"/>
    <mergeCell ref="AH7:AJ7"/>
    <mergeCell ref="U6:W6"/>
    <mergeCell ref="X6:Z6"/>
    <mergeCell ref="AA6:AC6"/>
    <mergeCell ref="AD6:AF6"/>
    <mergeCell ref="AH6:AJ6"/>
    <mergeCell ref="AK6:AP6"/>
    <mergeCell ref="B6:D6"/>
    <mergeCell ref="E6:G6"/>
    <mergeCell ref="AK7:AM7"/>
    <mergeCell ref="AN7:AP7"/>
    <mergeCell ref="AQ7:AS7"/>
    <mergeCell ref="AT7:AV7"/>
    <mergeCell ref="AQ6:AS6"/>
    <mergeCell ref="AT6:AV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&amp;A&amp;R&amp;"Arial CE,Félkövér"&amp;36
4. melléklet a  .../2019.(.....) önkormányzati rendelethez
"4. melléklet a 5/2019.(IV.1.) önkormányzati rendelethez"</oddHeader>
    <oddFooter xml:space="preserve">&amp;C &amp;R
&amp;36 &amp;10
</oddFooter>
  </headerFooter>
  <colBreaks count="2" manualBreakCount="2">
    <brk id="16" max="50" man="1"/>
    <brk id="32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8656-3278-4025-8AEF-C2CB93BD994A}">
  <dimension ref="A1:E54"/>
  <sheetViews>
    <sheetView zoomScale="75" zoomScaleNormal="75" zoomScaleSheetLayoutView="75" workbookViewId="0">
      <selection activeCell="D73" sqref="D73"/>
    </sheetView>
  </sheetViews>
  <sheetFormatPr defaultColWidth="9.33203125" defaultRowHeight="12.95" customHeight="1" x14ac:dyDescent="0.2"/>
  <cols>
    <col min="1" max="1" width="116" style="897" customWidth="1"/>
    <col min="2" max="4" width="24.6640625" style="897" customWidth="1"/>
    <col min="5" max="5" width="11.5" style="897" bestFit="1" customWidth="1"/>
    <col min="6" max="16384" width="9.33203125" style="897"/>
  </cols>
  <sheetData>
    <row r="1" spans="1:4" ht="15.75" x14ac:dyDescent="0.25">
      <c r="A1" s="981" t="s">
        <v>389</v>
      </c>
      <c r="B1" s="981"/>
      <c r="C1" s="981"/>
      <c r="D1" s="981"/>
    </row>
    <row r="2" spans="1:4" ht="15.75" x14ac:dyDescent="0.25">
      <c r="A2" s="981" t="s">
        <v>1091</v>
      </c>
      <c r="B2" s="981"/>
      <c r="C2" s="981"/>
      <c r="D2" s="981"/>
    </row>
    <row r="3" spans="1:4" ht="15" x14ac:dyDescent="0.2">
      <c r="A3" s="898"/>
    </row>
    <row r="4" spans="1:4" ht="15" x14ac:dyDescent="0.2">
      <c r="A4" s="898"/>
    </row>
    <row r="5" spans="1:4" ht="12.95" customHeight="1" thickBot="1" x14ac:dyDescent="0.25">
      <c r="D5" s="899" t="s">
        <v>380</v>
      </c>
    </row>
    <row r="6" spans="1:4" ht="15.75" x14ac:dyDescent="0.25">
      <c r="A6" s="900" t="s">
        <v>1092</v>
      </c>
      <c r="B6" s="901"/>
      <c r="C6" s="901"/>
      <c r="D6" s="901"/>
    </row>
    <row r="7" spans="1:4" ht="15.75" x14ac:dyDescent="0.25">
      <c r="A7" s="902"/>
      <c r="B7" s="903" t="s">
        <v>1093</v>
      </c>
      <c r="C7" s="903" t="s">
        <v>1094</v>
      </c>
      <c r="D7" s="903" t="s">
        <v>1095</v>
      </c>
    </row>
    <row r="8" spans="1:4" ht="15.75" x14ac:dyDescent="0.25">
      <c r="A8" s="902"/>
      <c r="B8" s="903" t="s">
        <v>1096</v>
      </c>
      <c r="C8" s="903" t="s">
        <v>864</v>
      </c>
      <c r="D8" s="903" t="s">
        <v>1096</v>
      </c>
    </row>
    <row r="9" spans="1:4" ht="16.5" thickBot="1" x14ac:dyDescent="0.3">
      <c r="A9" s="904"/>
      <c r="B9" s="905" t="s">
        <v>635</v>
      </c>
      <c r="C9" s="905"/>
      <c r="D9" s="905" t="s">
        <v>635</v>
      </c>
    </row>
    <row r="10" spans="1:4" ht="20.25" x14ac:dyDescent="0.3">
      <c r="A10" s="906" t="s">
        <v>506</v>
      </c>
      <c r="B10" s="907"/>
      <c r="C10" s="907"/>
      <c r="D10" s="907"/>
    </row>
    <row r="11" spans="1:4" ht="20.25" x14ac:dyDescent="0.3">
      <c r="A11" s="908" t="s">
        <v>1097</v>
      </c>
      <c r="B11" s="909">
        <v>90</v>
      </c>
      <c r="C11" s="909"/>
      <c r="D11" s="909">
        <f>SUM(B11:C11)</f>
        <v>90</v>
      </c>
    </row>
    <row r="12" spans="1:4" ht="21" thickBot="1" x14ac:dyDescent="0.35">
      <c r="A12" s="910" t="s">
        <v>1098</v>
      </c>
      <c r="B12" s="911">
        <v>7956</v>
      </c>
      <c r="C12" s="911">
        <f>1450+30+1410+30+1340+32+1328+32+1284+32-2</f>
        <v>6966</v>
      </c>
      <c r="D12" s="911">
        <f>SUM(B12:C12)</f>
        <v>14922</v>
      </c>
    </row>
    <row r="13" spans="1:4" s="915" customFormat="1" ht="21" thickBot="1" x14ac:dyDescent="0.35">
      <c r="A13" s="912" t="s">
        <v>1099</v>
      </c>
      <c r="B13" s="913">
        <f>SUM(B11:B12)</f>
        <v>8046</v>
      </c>
      <c r="C13" s="913">
        <f t="shared" ref="C13:D13" si="0">SUM(C11:C12)</f>
        <v>6966</v>
      </c>
      <c r="D13" s="913">
        <f t="shared" si="0"/>
        <v>15012</v>
      </c>
    </row>
    <row r="14" spans="1:4" ht="20.25" x14ac:dyDescent="0.3">
      <c r="A14" s="916" t="s">
        <v>1100</v>
      </c>
      <c r="B14" s="917"/>
      <c r="C14" s="917"/>
      <c r="D14" s="917"/>
    </row>
    <row r="15" spans="1:4" ht="31.5" x14ac:dyDescent="0.3">
      <c r="A15" s="918" t="s">
        <v>1101</v>
      </c>
      <c r="B15" s="919"/>
      <c r="C15" s="919"/>
      <c r="D15" s="919"/>
    </row>
    <row r="16" spans="1:4" ht="20.25" x14ac:dyDescent="0.3">
      <c r="A16" s="920" t="s">
        <v>960</v>
      </c>
      <c r="B16" s="921">
        <v>966393</v>
      </c>
      <c r="C16" s="921">
        <f>15009+27105</f>
        <v>42114</v>
      </c>
      <c r="D16" s="921">
        <f>SUM(B16:C16)</f>
        <v>1008507</v>
      </c>
    </row>
    <row r="17" spans="1:4" ht="31.5" x14ac:dyDescent="0.3">
      <c r="A17" s="920" t="s">
        <v>1102</v>
      </c>
      <c r="B17" s="921">
        <v>341467</v>
      </c>
      <c r="C17" s="921">
        <v>-5081</v>
      </c>
      <c r="D17" s="921">
        <f t="shared" ref="D17:D20" si="1">SUM(B17:C17)</f>
        <v>336386</v>
      </c>
    </row>
    <row r="18" spans="1:4" ht="20.25" x14ac:dyDescent="0.3">
      <c r="A18" s="922" t="s">
        <v>1103</v>
      </c>
      <c r="B18" s="921">
        <v>236292</v>
      </c>
      <c r="C18" s="921">
        <v>2695</v>
      </c>
      <c r="D18" s="921">
        <f t="shared" si="1"/>
        <v>238987</v>
      </c>
    </row>
    <row r="19" spans="1:4" ht="35.25" customHeight="1" x14ac:dyDescent="0.3">
      <c r="A19" s="923" t="s">
        <v>1104</v>
      </c>
      <c r="B19" s="921">
        <v>40516</v>
      </c>
      <c r="C19" s="921">
        <v>4031</v>
      </c>
      <c r="D19" s="921">
        <f t="shared" si="1"/>
        <v>44547</v>
      </c>
    </row>
    <row r="20" spans="1:4" ht="35.25" customHeight="1" thickBot="1" x14ac:dyDescent="0.35">
      <c r="A20" s="924" t="s">
        <v>1105</v>
      </c>
      <c r="B20" s="919">
        <v>4504</v>
      </c>
      <c r="C20" s="919">
        <v>563</v>
      </c>
      <c r="D20" s="921">
        <f t="shared" si="1"/>
        <v>5067</v>
      </c>
    </row>
    <row r="21" spans="1:4" s="915" customFormat="1" ht="21" thickBot="1" x14ac:dyDescent="0.35">
      <c r="A21" s="925" t="s">
        <v>1106</v>
      </c>
      <c r="B21" s="926">
        <f>SUM(B16:B20)</f>
        <v>1589172</v>
      </c>
      <c r="C21" s="926">
        <f>SUM(C16:C20)</f>
        <v>44322</v>
      </c>
      <c r="D21" s="926">
        <f>SUM(D16:D20)</f>
        <v>1633494</v>
      </c>
    </row>
    <row r="22" spans="1:4" s="915" customFormat="1" ht="31.5" x14ac:dyDescent="0.3">
      <c r="A22" s="927" t="s">
        <v>1107</v>
      </c>
      <c r="B22" s="928"/>
      <c r="C22" s="928"/>
      <c r="D22" s="928"/>
    </row>
    <row r="23" spans="1:4" s="915" customFormat="1" ht="20.25" x14ac:dyDescent="0.3">
      <c r="A23" s="929" t="s">
        <v>1108</v>
      </c>
      <c r="B23" s="930">
        <v>56439</v>
      </c>
      <c r="C23" s="930">
        <f>11251+11165+11129+11201+11175+11137-1</f>
        <v>67057</v>
      </c>
      <c r="D23" s="931">
        <f>SUM(B23:C23)</f>
        <v>123496</v>
      </c>
    </row>
    <row r="24" spans="1:4" s="915" customFormat="1" ht="20.25" x14ac:dyDescent="0.3">
      <c r="A24" s="932" t="s">
        <v>1109</v>
      </c>
      <c r="B24" s="933"/>
      <c r="C24" s="933"/>
      <c r="D24" s="933"/>
    </row>
    <row r="25" spans="1:4" ht="20.25" x14ac:dyDescent="0.3">
      <c r="A25" s="934" t="s">
        <v>1110</v>
      </c>
      <c r="B25" s="921">
        <v>53380</v>
      </c>
      <c r="C25" s="921">
        <v>5966</v>
      </c>
      <c r="D25" s="921">
        <f t="shared" ref="D25:D33" si="2">SUM(B25:C25)</f>
        <v>59346</v>
      </c>
    </row>
    <row r="26" spans="1:4" ht="20.25" x14ac:dyDescent="0.3">
      <c r="A26" s="920" t="s">
        <v>1111</v>
      </c>
      <c r="B26" s="921">
        <v>63360</v>
      </c>
      <c r="C26" s="921"/>
      <c r="D26" s="921">
        <f t="shared" si="2"/>
        <v>63360</v>
      </c>
    </row>
    <row r="27" spans="1:4" ht="20.25" x14ac:dyDescent="0.3">
      <c r="A27" s="920" t="s">
        <v>1112</v>
      </c>
      <c r="B27" s="921">
        <v>38198</v>
      </c>
      <c r="C27" s="921">
        <f>498+6900</f>
        <v>7398</v>
      </c>
      <c r="D27" s="921">
        <f t="shared" si="2"/>
        <v>45596</v>
      </c>
    </row>
    <row r="28" spans="1:4" ht="20.25" x14ac:dyDescent="0.3">
      <c r="A28" s="935" t="s">
        <v>1113</v>
      </c>
      <c r="B28" s="921"/>
      <c r="C28" s="921"/>
      <c r="D28" s="921"/>
    </row>
    <row r="29" spans="1:4" ht="20.25" x14ac:dyDescent="0.3">
      <c r="A29" s="935" t="s">
        <v>1114</v>
      </c>
      <c r="B29" s="921">
        <v>475</v>
      </c>
      <c r="C29" s="921">
        <v>-75</v>
      </c>
      <c r="D29" s="921">
        <f t="shared" si="2"/>
        <v>400</v>
      </c>
    </row>
    <row r="30" spans="1:4" ht="20.25" x14ac:dyDescent="0.3">
      <c r="A30" s="935" t="s">
        <v>1115</v>
      </c>
      <c r="B30" s="921">
        <v>34320</v>
      </c>
      <c r="C30" s="921">
        <v>660</v>
      </c>
      <c r="D30" s="921">
        <f t="shared" si="2"/>
        <v>34980</v>
      </c>
    </row>
    <row r="31" spans="1:4" ht="20.25" x14ac:dyDescent="0.3">
      <c r="A31" s="935" t="s">
        <v>1116</v>
      </c>
      <c r="B31" s="921">
        <v>16023</v>
      </c>
      <c r="C31" s="921">
        <v>11907</v>
      </c>
      <c r="D31" s="921">
        <f t="shared" si="2"/>
        <v>27930</v>
      </c>
    </row>
    <row r="32" spans="1:4" ht="20.25" x14ac:dyDescent="0.3">
      <c r="A32" s="935" t="s">
        <v>1117</v>
      </c>
      <c r="B32" s="921">
        <v>5500</v>
      </c>
      <c r="C32" s="921">
        <f>500+2079</f>
        <v>2579</v>
      </c>
      <c r="D32" s="921">
        <f t="shared" si="2"/>
        <v>8079</v>
      </c>
    </row>
    <row r="33" spans="1:4" ht="20.25" x14ac:dyDescent="0.3">
      <c r="A33" s="936" t="s">
        <v>1118</v>
      </c>
      <c r="B33" s="921">
        <v>71911</v>
      </c>
      <c r="C33" s="921"/>
      <c r="D33" s="921">
        <f t="shared" si="2"/>
        <v>71911</v>
      </c>
    </row>
    <row r="34" spans="1:4" ht="20.25" x14ac:dyDescent="0.3">
      <c r="A34" s="937" t="s">
        <v>1119</v>
      </c>
      <c r="B34" s="938">
        <f>SUM(B25:B33)</f>
        <v>283167</v>
      </c>
      <c r="C34" s="938">
        <f>SUM(C25:C33)</f>
        <v>28435</v>
      </c>
      <c r="D34" s="938">
        <f>SUM(D25:D33)</f>
        <v>311602</v>
      </c>
    </row>
    <row r="35" spans="1:4" ht="31.5" x14ac:dyDescent="0.3">
      <c r="A35" s="939" t="s">
        <v>1120</v>
      </c>
      <c r="B35" s="919"/>
      <c r="C35" s="919"/>
      <c r="D35" s="919"/>
    </row>
    <row r="36" spans="1:4" ht="32.25" customHeight="1" x14ac:dyDescent="0.3">
      <c r="A36" s="920" t="s">
        <v>1121</v>
      </c>
      <c r="B36" s="921">
        <v>42720</v>
      </c>
      <c r="C36" s="921">
        <f>-2848+7435</f>
        <v>4587</v>
      </c>
      <c r="D36" s="921">
        <f t="shared" ref="D36:D37" si="3">SUM(B36:C36)</f>
        <v>47307</v>
      </c>
    </row>
    <row r="37" spans="1:4" ht="36" customHeight="1" x14ac:dyDescent="0.3">
      <c r="A37" s="935" t="s">
        <v>1122</v>
      </c>
      <c r="B37" s="940">
        <v>10999</v>
      </c>
      <c r="C37" s="940">
        <v>31</v>
      </c>
      <c r="D37" s="921">
        <f t="shared" si="3"/>
        <v>11030</v>
      </c>
    </row>
    <row r="38" spans="1:4" ht="36" customHeight="1" x14ac:dyDescent="0.3">
      <c r="A38" s="941" t="s">
        <v>1123</v>
      </c>
      <c r="B38" s="938">
        <f>B36+B37</f>
        <v>53719</v>
      </c>
      <c r="C38" s="938">
        <f>C36+C37</f>
        <v>4618</v>
      </c>
      <c r="D38" s="938">
        <f>D36+D37</f>
        <v>58337</v>
      </c>
    </row>
    <row r="39" spans="1:4" ht="36" customHeight="1" x14ac:dyDescent="0.3">
      <c r="A39" s="942" t="s">
        <v>1124</v>
      </c>
      <c r="B39" s="919"/>
      <c r="C39" s="919"/>
      <c r="D39" s="919"/>
    </row>
    <row r="40" spans="1:4" ht="31.5" x14ac:dyDescent="0.3">
      <c r="A40" s="920" t="s">
        <v>1125</v>
      </c>
      <c r="B40" s="921">
        <v>202331</v>
      </c>
      <c r="C40" s="921">
        <f>-11096+21298-1</f>
        <v>10201</v>
      </c>
      <c r="D40" s="921">
        <f t="shared" ref="D40:D42" si="4">SUM(B40:C40)</f>
        <v>212532</v>
      </c>
    </row>
    <row r="41" spans="1:4" ht="20.25" x14ac:dyDescent="0.3">
      <c r="A41" s="935" t="s">
        <v>1126</v>
      </c>
      <c r="B41" s="940">
        <v>264393</v>
      </c>
      <c r="C41" s="940">
        <v>2700</v>
      </c>
      <c r="D41" s="921">
        <f t="shared" si="4"/>
        <v>267093</v>
      </c>
    </row>
    <row r="42" spans="1:4" ht="20.25" x14ac:dyDescent="0.3">
      <c r="A42" s="943" t="s">
        <v>1127</v>
      </c>
      <c r="B42" s="921">
        <v>1996</v>
      </c>
      <c r="C42" s="921">
        <v>56</v>
      </c>
      <c r="D42" s="921">
        <f t="shared" si="4"/>
        <v>2052</v>
      </c>
    </row>
    <row r="43" spans="1:4" ht="21" thickBot="1" x14ac:dyDescent="0.35">
      <c r="A43" s="941" t="s">
        <v>1128</v>
      </c>
      <c r="B43" s="931">
        <f>B41+B42+B40</f>
        <v>468720</v>
      </c>
      <c r="C43" s="931">
        <f>C41+C42+C40</f>
        <v>12957</v>
      </c>
      <c r="D43" s="931">
        <f>SUM(D40:D42)</f>
        <v>481677</v>
      </c>
    </row>
    <row r="44" spans="1:4" ht="20.25" x14ac:dyDescent="0.3">
      <c r="A44" s="944" t="s">
        <v>1129</v>
      </c>
      <c r="B44" s="945"/>
      <c r="C44" s="945"/>
      <c r="D44" s="945"/>
    </row>
    <row r="45" spans="1:4" ht="20.25" x14ac:dyDescent="0.3">
      <c r="A45" s="946" t="s">
        <v>1130</v>
      </c>
      <c r="B45" s="947"/>
      <c r="C45" s="947"/>
      <c r="D45" s="947"/>
    </row>
    <row r="46" spans="1:4" ht="20.25" x14ac:dyDescent="0.3">
      <c r="A46" s="948" t="s">
        <v>1131</v>
      </c>
      <c r="B46" s="949">
        <v>197971</v>
      </c>
      <c r="C46" s="949">
        <v>-8838</v>
      </c>
      <c r="D46" s="921">
        <f t="shared" ref="D46:D49" si="5">SUM(B46:C46)</f>
        <v>189133</v>
      </c>
    </row>
    <row r="47" spans="1:4" ht="20.25" x14ac:dyDescent="0.3">
      <c r="A47" s="946" t="s">
        <v>1132</v>
      </c>
      <c r="B47" s="947"/>
      <c r="C47" s="947"/>
      <c r="D47" s="919"/>
    </row>
    <row r="48" spans="1:4" ht="20.25" x14ac:dyDescent="0.3">
      <c r="A48" s="948" t="s">
        <v>1133</v>
      </c>
      <c r="B48" s="947">
        <v>140970</v>
      </c>
      <c r="C48" s="947">
        <v>299</v>
      </c>
      <c r="D48" s="921">
        <f t="shared" si="5"/>
        <v>141269</v>
      </c>
    </row>
    <row r="49" spans="1:5" ht="20.25" x14ac:dyDescent="0.3">
      <c r="A49" s="950" t="s">
        <v>1134</v>
      </c>
      <c r="B49" s="951">
        <v>155371</v>
      </c>
      <c r="C49" s="951">
        <v>-34875</v>
      </c>
      <c r="D49" s="921">
        <f t="shared" si="5"/>
        <v>120496</v>
      </c>
    </row>
    <row r="50" spans="1:5" ht="21" thickBot="1" x14ac:dyDescent="0.35">
      <c r="A50" s="952" t="s">
        <v>1135</v>
      </c>
      <c r="B50" s="953">
        <f>SUM(B46:B49)</f>
        <v>494312</v>
      </c>
      <c r="C50" s="953">
        <f>SUM(C46:C49)</f>
        <v>-43414</v>
      </c>
      <c r="D50" s="954">
        <f>SUM(D46:D49)</f>
        <v>450898</v>
      </c>
    </row>
    <row r="51" spans="1:5" ht="21" thickBot="1" x14ac:dyDescent="0.35">
      <c r="A51" s="955" t="s">
        <v>1136</v>
      </c>
      <c r="B51" s="956">
        <f>B34+B38+B43+B50+B23</f>
        <v>1356357</v>
      </c>
      <c r="C51" s="956">
        <f>C34+C38+C43+C50+C23</f>
        <v>69653</v>
      </c>
      <c r="D51" s="956">
        <f>D34+D38+D43+D50+D23</f>
        <v>1426010</v>
      </c>
      <c r="E51" s="914"/>
    </row>
    <row r="52" spans="1:5" ht="21" thickBot="1" x14ac:dyDescent="0.35">
      <c r="A52" s="957" t="s">
        <v>1137</v>
      </c>
      <c r="B52" s="956">
        <f>B13+B21+B51</f>
        <v>2953575</v>
      </c>
      <c r="C52" s="956">
        <f>C13+C21+C51</f>
        <v>120941</v>
      </c>
      <c r="D52" s="956">
        <f t="shared" ref="D52" si="6">D13+D21+D51</f>
        <v>3074516</v>
      </c>
      <c r="E52" s="914"/>
    </row>
    <row r="53" spans="1:5" ht="21" thickBot="1" x14ac:dyDescent="0.35">
      <c r="A53" s="957" t="s">
        <v>1138</v>
      </c>
      <c r="B53" s="956">
        <v>1032015</v>
      </c>
      <c r="C53" s="956">
        <f>6653+6647+6631+6574+6652+6663</f>
        <v>39820</v>
      </c>
      <c r="D53" s="956">
        <f t="shared" ref="D53" si="7">SUM(B53:C53)</f>
        <v>1071835</v>
      </c>
    </row>
    <row r="54" spans="1:5" s="915" customFormat="1" ht="41.25" customHeight="1" thickBot="1" x14ac:dyDescent="0.35">
      <c r="A54" s="958" t="s">
        <v>402</v>
      </c>
      <c r="B54" s="959">
        <f>B13+B21+B51+B53</f>
        <v>3985590</v>
      </c>
      <c r="C54" s="959">
        <f>C13+C21+C51+C53</f>
        <v>160761</v>
      </c>
      <c r="D54" s="959">
        <f>D13+D21+D51+D53</f>
        <v>4146351</v>
      </c>
    </row>
  </sheetData>
  <mergeCells count="2">
    <mergeCell ref="A1:D1"/>
    <mergeCell ref="A2:D2"/>
  </mergeCells>
  <printOptions horizontalCentered="1" verticalCentered="1"/>
  <pageMargins left="0.59055118110236227" right="0" top="0" bottom="0" header="0.39370078740157483" footer="0"/>
  <pageSetup paperSize="9" scale="58" orientation="portrait" r:id="rId1"/>
  <headerFooter alignWithMargins="0">
    <oddHeader>&amp;R&amp;14 5. melléklet a .../2019.(.....) önkormányzati rendelethez"
5. melléklet a 5/2019.(IV.1.) önkormányzati rendelethez"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178B-6E89-4829-899D-160951529258}">
  <dimension ref="A1:AJ51"/>
  <sheetViews>
    <sheetView zoomScale="50" zoomScaleNormal="50" zoomScaleSheetLayoutView="50" workbookViewId="0">
      <selection activeCell="BB5" sqref="BB5"/>
    </sheetView>
  </sheetViews>
  <sheetFormatPr defaultRowHeight="26.45" customHeight="1" x14ac:dyDescent="0.6"/>
  <cols>
    <col min="1" max="1" width="186.33203125" style="822" customWidth="1"/>
    <col min="2" max="10" width="50" style="877" customWidth="1"/>
    <col min="11" max="11" width="186.33203125" style="822" customWidth="1"/>
    <col min="12" max="20" width="50" style="877" customWidth="1"/>
    <col min="21" max="21" width="186.33203125" style="822" customWidth="1"/>
    <col min="22" max="22" width="49.83203125" style="878" customWidth="1"/>
    <col min="23" max="23" width="44.83203125" style="878" customWidth="1"/>
    <col min="24" max="24" width="49.83203125" style="878" customWidth="1"/>
    <col min="25" max="25" width="50" style="878" customWidth="1"/>
    <col min="26" max="26" width="45" style="878" customWidth="1"/>
    <col min="27" max="28" width="50" style="878" customWidth="1"/>
    <col min="29" max="29" width="45" style="878" customWidth="1"/>
    <col min="30" max="30" width="50" style="878" customWidth="1"/>
    <col min="31" max="36" width="49.83203125" style="878" customWidth="1"/>
    <col min="37" max="247" width="9.33203125" style="879"/>
    <col min="248" max="248" width="186.33203125" style="879" customWidth="1"/>
    <col min="249" max="257" width="50" style="879" customWidth="1"/>
    <col min="258" max="258" width="186.33203125" style="879" customWidth="1"/>
    <col min="259" max="267" width="50" style="879" customWidth="1"/>
    <col min="268" max="268" width="186.33203125" style="879" customWidth="1"/>
    <col min="269" max="269" width="49.83203125" style="879" customWidth="1"/>
    <col min="270" max="270" width="44.83203125" style="879" customWidth="1"/>
    <col min="271" max="271" width="49.83203125" style="879" customWidth="1"/>
    <col min="272" max="272" width="50" style="879" customWidth="1"/>
    <col min="273" max="273" width="45" style="879" customWidth="1"/>
    <col min="274" max="275" width="50" style="879" customWidth="1"/>
    <col min="276" max="276" width="45" style="879" customWidth="1"/>
    <col min="277" max="277" width="50" style="879" customWidth="1"/>
    <col min="278" max="283" width="49.83203125" style="879" customWidth="1"/>
    <col min="284" max="284" width="37.1640625" style="879" customWidth="1"/>
    <col min="285" max="285" width="32.83203125" style="879" customWidth="1"/>
    <col min="286" max="286" width="40.83203125" style="879" customWidth="1"/>
    <col min="287" max="287" width="186.33203125" style="879" customWidth="1"/>
    <col min="288" max="503" width="9.33203125" style="879"/>
    <col min="504" max="504" width="186.33203125" style="879" customWidth="1"/>
    <col min="505" max="513" width="50" style="879" customWidth="1"/>
    <col min="514" max="514" width="186.33203125" style="879" customWidth="1"/>
    <col min="515" max="523" width="50" style="879" customWidth="1"/>
    <col min="524" max="524" width="186.33203125" style="879" customWidth="1"/>
    <col min="525" max="525" width="49.83203125" style="879" customWidth="1"/>
    <col min="526" max="526" width="44.83203125" style="879" customWidth="1"/>
    <col min="527" max="527" width="49.83203125" style="879" customWidth="1"/>
    <col min="528" max="528" width="50" style="879" customWidth="1"/>
    <col min="529" max="529" width="45" style="879" customWidth="1"/>
    <col min="530" max="531" width="50" style="879" customWidth="1"/>
    <col min="532" max="532" width="45" style="879" customWidth="1"/>
    <col min="533" max="533" width="50" style="879" customWidth="1"/>
    <col min="534" max="539" width="49.83203125" style="879" customWidth="1"/>
    <col min="540" max="540" width="37.1640625" style="879" customWidth="1"/>
    <col min="541" max="541" width="32.83203125" style="879" customWidth="1"/>
    <col min="542" max="542" width="40.83203125" style="879" customWidth="1"/>
    <col min="543" max="543" width="186.33203125" style="879" customWidth="1"/>
    <col min="544" max="759" width="9.33203125" style="879"/>
    <col min="760" max="760" width="186.33203125" style="879" customWidth="1"/>
    <col min="761" max="769" width="50" style="879" customWidth="1"/>
    <col min="770" max="770" width="186.33203125" style="879" customWidth="1"/>
    <col min="771" max="779" width="50" style="879" customWidth="1"/>
    <col min="780" max="780" width="186.33203125" style="879" customWidth="1"/>
    <col min="781" max="781" width="49.83203125" style="879" customWidth="1"/>
    <col min="782" max="782" width="44.83203125" style="879" customWidth="1"/>
    <col min="783" max="783" width="49.83203125" style="879" customWidth="1"/>
    <col min="784" max="784" width="50" style="879" customWidth="1"/>
    <col min="785" max="785" width="45" style="879" customWidth="1"/>
    <col min="786" max="787" width="50" style="879" customWidth="1"/>
    <col min="788" max="788" width="45" style="879" customWidth="1"/>
    <col min="789" max="789" width="50" style="879" customWidth="1"/>
    <col min="790" max="795" width="49.83203125" style="879" customWidth="1"/>
    <col min="796" max="796" width="37.1640625" style="879" customWidth="1"/>
    <col min="797" max="797" width="32.83203125" style="879" customWidth="1"/>
    <col min="798" max="798" width="40.83203125" style="879" customWidth="1"/>
    <col min="799" max="799" width="186.33203125" style="879" customWidth="1"/>
    <col min="800" max="1015" width="9.33203125" style="879"/>
    <col min="1016" max="1016" width="186.33203125" style="879" customWidth="1"/>
    <col min="1017" max="1025" width="50" style="879" customWidth="1"/>
    <col min="1026" max="1026" width="186.33203125" style="879" customWidth="1"/>
    <col min="1027" max="1035" width="50" style="879" customWidth="1"/>
    <col min="1036" max="1036" width="186.33203125" style="879" customWidth="1"/>
    <col min="1037" max="1037" width="49.83203125" style="879" customWidth="1"/>
    <col min="1038" max="1038" width="44.83203125" style="879" customWidth="1"/>
    <col min="1039" max="1039" width="49.83203125" style="879" customWidth="1"/>
    <col min="1040" max="1040" width="50" style="879" customWidth="1"/>
    <col min="1041" max="1041" width="45" style="879" customWidth="1"/>
    <col min="1042" max="1043" width="50" style="879" customWidth="1"/>
    <col min="1044" max="1044" width="45" style="879" customWidth="1"/>
    <col min="1045" max="1045" width="50" style="879" customWidth="1"/>
    <col min="1046" max="1051" width="49.83203125" style="879" customWidth="1"/>
    <col min="1052" max="1052" width="37.1640625" style="879" customWidth="1"/>
    <col min="1053" max="1053" width="32.83203125" style="879" customWidth="1"/>
    <col min="1054" max="1054" width="40.83203125" style="879" customWidth="1"/>
    <col min="1055" max="1055" width="186.33203125" style="879" customWidth="1"/>
    <col min="1056" max="1271" width="9.33203125" style="879"/>
    <col min="1272" max="1272" width="186.33203125" style="879" customWidth="1"/>
    <col min="1273" max="1281" width="50" style="879" customWidth="1"/>
    <col min="1282" max="1282" width="186.33203125" style="879" customWidth="1"/>
    <col min="1283" max="1291" width="50" style="879" customWidth="1"/>
    <col min="1292" max="1292" width="186.33203125" style="879" customWidth="1"/>
    <col min="1293" max="1293" width="49.83203125" style="879" customWidth="1"/>
    <col min="1294" max="1294" width="44.83203125" style="879" customWidth="1"/>
    <col min="1295" max="1295" width="49.83203125" style="879" customWidth="1"/>
    <col min="1296" max="1296" width="50" style="879" customWidth="1"/>
    <col min="1297" max="1297" width="45" style="879" customWidth="1"/>
    <col min="1298" max="1299" width="50" style="879" customWidth="1"/>
    <col min="1300" max="1300" width="45" style="879" customWidth="1"/>
    <col min="1301" max="1301" width="50" style="879" customWidth="1"/>
    <col min="1302" max="1307" width="49.83203125" style="879" customWidth="1"/>
    <col min="1308" max="1308" width="37.1640625" style="879" customWidth="1"/>
    <col min="1309" max="1309" width="32.83203125" style="879" customWidth="1"/>
    <col min="1310" max="1310" width="40.83203125" style="879" customWidth="1"/>
    <col min="1311" max="1311" width="186.33203125" style="879" customWidth="1"/>
    <col min="1312" max="1527" width="9.33203125" style="879"/>
    <col min="1528" max="1528" width="186.33203125" style="879" customWidth="1"/>
    <col min="1529" max="1537" width="50" style="879" customWidth="1"/>
    <col min="1538" max="1538" width="186.33203125" style="879" customWidth="1"/>
    <col min="1539" max="1547" width="50" style="879" customWidth="1"/>
    <col min="1548" max="1548" width="186.33203125" style="879" customWidth="1"/>
    <col min="1549" max="1549" width="49.83203125" style="879" customWidth="1"/>
    <col min="1550" max="1550" width="44.83203125" style="879" customWidth="1"/>
    <col min="1551" max="1551" width="49.83203125" style="879" customWidth="1"/>
    <col min="1552" max="1552" width="50" style="879" customWidth="1"/>
    <col min="1553" max="1553" width="45" style="879" customWidth="1"/>
    <col min="1554" max="1555" width="50" style="879" customWidth="1"/>
    <col min="1556" max="1556" width="45" style="879" customWidth="1"/>
    <col min="1557" max="1557" width="50" style="879" customWidth="1"/>
    <col min="1558" max="1563" width="49.83203125" style="879" customWidth="1"/>
    <col min="1564" max="1564" width="37.1640625" style="879" customWidth="1"/>
    <col min="1565" max="1565" width="32.83203125" style="879" customWidth="1"/>
    <col min="1566" max="1566" width="40.83203125" style="879" customWidth="1"/>
    <col min="1567" max="1567" width="186.33203125" style="879" customWidth="1"/>
    <col min="1568" max="1783" width="9.33203125" style="879"/>
    <col min="1784" max="1784" width="186.33203125" style="879" customWidth="1"/>
    <col min="1785" max="1793" width="50" style="879" customWidth="1"/>
    <col min="1794" max="1794" width="186.33203125" style="879" customWidth="1"/>
    <col min="1795" max="1803" width="50" style="879" customWidth="1"/>
    <col min="1804" max="1804" width="186.33203125" style="879" customWidth="1"/>
    <col min="1805" max="1805" width="49.83203125" style="879" customWidth="1"/>
    <col min="1806" max="1806" width="44.83203125" style="879" customWidth="1"/>
    <col min="1807" max="1807" width="49.83203125" style="879" customWidth="1"/>
    <col min="1808" max="1808" width="50" style="879" customWidth="1"/>
    <col min="1809" max="1809" width="45" style="879" customWidth="1"/>
    <col min="1810" max="1811" width="50" style="879" customWidth="1"/>
    <col min="1812" max="1812" width="45" style="879" customWidth="1"/>
    <col min="1813" max="1813" width="50" style="879" customWidth="1"/>
    <col min="1814" max="1819" width="49.83203125" style="879" customWidth="1"/>
    <col min="1820" max="1820" width="37.1640625" style="879" customWidth="1"/>
    <col min="1821" max="1821" width="32.83203125" style="879" customWidth="1"/>
    <col min="1822" max="1822" width="40.83203125" style="879" customWidth="1"/>
    <col min="1823" max="1823" width="186.33203125" style="879" customWidth="1"/>
    <col min="1824" max="2039" width="9.33203125" style="879"/>
    <col min="2040" max="2040" width="186.33203125" style="879" customWidth="1"/>
    <col min="2041" max="2049" width="50" style="879" customWidth="1"/>
    <col min="2050" max="2050" width="186.33203125" style="879" customWidth="1"/>
    <col min="2051" max="2059" width="50" style="879" customWidth="1"/>
    <col min="2060" max="2060" width="186.33203125" style="879" customWidth="1"/>
    <col min="2061" max="2061" width="49.83203125" style="879" customWidth="1"/>
    <col min="2062" max="2062" width="44.83203125" style="879" customWidth="1"/>
    <col min="2063" max="2063" width="49.83203125" style="879" customWidth="1"/>
    <col min="2064" max="2064" width="50" style="879" customWidth="1"/>
    <col min="2065" max="2065" width="45" style="879" customWidth="1"/>
    <col min="2066" max="2067" width="50" style="879" customWidth="1"/>
    <col min="2068" max="2068" width="45" style="879" customWidth="1"/>
    <col min="2069" max="2069" width="50" style="879" customWidth="1"/>
    <col min="2070" max="2075" width="49.83203125" style="879" customWidth="1"/>
    <col min="2076" max="2076" width="37.1640625" style="879" customWidth="1"/>
    <col min="2077" max="2077" width="32.83203125" style="879" customWidth="1"/>
    <col min="2078" max="2078" width="40.83203125" style="879" customWidth="1"/>
    <col min="2079" max="2079" width="186.33203125" style="879" customWidth="1"/>
    <col min="2080" max="2295" width="9.33203125" style="879"/>
    <col min="2296" max="2296" width="186.33203125" style="879" customWidth="1"/>
    <col min="2297" max="2305" width="50" style="879" customWidth="1"/>
    <col min="2306" max="2306" width="186.33203125" style="879" customWidth="1"/>
    <col min="2307" max="2315" width="50" style="879" customWidth="1"/>
    <col min="2316" max="2316" width="186.33203125" style="879" customWidth="1"/>
    <col min="2317" max="2317" width="49.83203125" style="879" customWidth="1"/>
    <col min="2318" max="2318" width="44.83203125" style="879" customWidth="1"/>
    <col min="2319" max="2319" width="49.83203125" style="879" customWidth="1"/>
    <col min="2320" max="2320" width="50" style="879" customWidth="1"/>
    <col min="2321" max="2321" width="45" style="879" customWidth="1"/>
    <col min="2322" max="2323" width="50" style="879" customWidth="1"/>
    <col min="2324" max="2324" width="45" style="879" customWidth="1"/>
    <col min="2325" max="2325" width="50" style="879" customWidth="1"/>
    <col min="2326" max="2331" width="49.83203125" style="879" customWidth="1"/>
    <col min="2332" max="2332" width="37.1640625" style="879" customWidth="1"/>
    <col min="2333" max="2333" width="32.83203125" style="879" customWidth="1"/>
    <col min="2334" max="2334" width="40.83203125" style="879" customWidth="1"/>
    <col min="2335" max="2335" width="186.33203125" style="879" customWidth="1"/>
    <col min="2336" max="2551" width="9.33203125" style="879"/>
    <col min="2552" max="2552" width="186.33203125" style="879" customWidth="1"/>
    <col min="2553" max="2561" width="50" style="879" customWidth="1"/>
    <col min="2562" max="2562" width="186.33203125" style="879" customWidth="1"/>
    <col min="2563" max="2571" width="50" style="879" customWidth="1"/>
    <col min="2572" max="2572" width="186.33203125" style="879" customWidth="1"/>
    <col min="2573" max="2573" width="49.83203125" style="879" customWidth="1"/>
    <col min="2574" max="2574" width="44.83203125" style="879" customWidth="1"/>
    <col min="2575" max="2575" width="49.83203125" style="879" customWidth="1"/>
    <col min="2576" max="2576" width="50" style="879" customWidth="1"/>
    <col min="2577" max="2577" width="45" style="879" customWidth="1"/>
    <col min="2578" max="2579" width="50" style="879" customWidth="1"/>
    <col min="2580" max="2580" width="45" style="879" customWidth="1"/>
    <col min="2581" max="2581" width="50" style="879" customWidth="1"/>
    <col min="2582" max="2587" width="49.83203125" style="879" customWidth="1"/>
    <col min="2588" max="2588" width="37.1640625" style="879" customWidth="1"/>
    <col min="2589" max="2589" width="32.83203125" style="879" customWidth="1"/>
    <col min="2590" max="2590" width="40.83203125" style="879" customWidth="1"/>
    <col min="2591" max="2591" width="186.33203125" style="879" customWidth="1"/>
    <col min="2592" max="2807" width="9.33203125" style="879"/>
    <col min="2808" max="2808" width="186.33203125" style="879" customWidth="1"/>
    <col min="2809" max="2817" width="50" style="879" customWidth="1"/>
    <col min="2818" max="2818" width="186.33203125" style="879" customWidth="1"/>
    <col min="2819" max="2827" width="50" style="879" customWidth="1"/>
    <col min="2828" max="2828" width="186.33203125" style="879" customWidth="1"/>
    <col min="2829" max="2829" width="49.83203125" style="879" customWidth="1"/>
    <col min="2830" max="2830" width="44.83203125" style="879" customWidth="1"/>
    <col min="2831" max="2831" width="49.83203125" style="879" customWidth="1"/>
    <col min="2832" max="2832" width="50" style="879" customWidth="1"/>
    <col min="2833" max="2833" width="45" style="879" customWidth="1"/>
    <col min="2834" max="2835" width="50" style="879" customWidth="1"/>
    <col min="2836" max="2836" width="45" style="879" customWidth="1"/>
    <col min="2837" max="2837" width="50" style="879" customWidth="1"/>
    <col min="2838" max="2843" width="49.83203125" style="879" customWidth="1"/>
    <col min="2844" max="2844" width="37.1640625" style="879" customWidth="1"/>
    <col min="2845" max="2845" width="32.83203125" style="879" customWidth="1"/>
    <col min="2846" max="2846" width="40.83203125" style="879" customWidth="1"/>
    <col min="2847" max="2847" width="186.33203125" style="879" customWidth="1"/>
    <col min="2848" max="3063" width="9.33203125" style="879"/>
    <col min="3064" max="3064" width="186.33203125" style="879" customWidth="1"/>
    <col min="3065" max="3073" width="50" style="879" customWidth="1"/>
    <col min="3074" max="3074" width="186.33203125" style="879" customWidth="1"/>
    <col min="3075" max="3083" width="50" style="879" customWidth="1"/>
    <col min="3084" max="3084" width="186.33203125" style="879" customWidth="1"/>
    <col min="3085" max="3085" width="49.83203125" style="879" customWidth="1"/>
    <col min="3086" max="3086" width="44.83203125" style="879" customWidth="1"/>
    <col min="3087" max="3087" width="49.83203125" style="879" customWidth="1"/>
    <col min="3088" max="3088" width="50" style="879" customWidth="1"/>
    <col min="3089" max="3089" width="45" style="879" customWidth="1"/>
    <col min="3090" max="3091" width="50" style="879" customWidth="1"/>
    <col min="3092" max="3092" width="45" style="879" customWidth="1"/>
    <col min="3093" max="3093" width="50" style="879" customWidth="1"/>
    <col min="3094" max="3099" width="49.83203125" style="879" customWidth="1"/>
    <col min="3100" max="3100" width="37.1640625" style="879" customWidth="1"/>
    <col min="3101" max="3101" width="32.83203125" style="879" customWidth="1"/>
    <col min="3102" max="3102" width="40.83203125" style="879" customWidth="1"/>
    <col min="3103" max="3103" width="186.33203125" style="879" customWidth="1"/>
    <col min="3104" max="3319" width="9.33203125" style="879"/>
    <col min="3320" max="3320" width="186.33203125" style="879" customWidth="1"/>
    <col min="3321" max="3329" width="50" style="879" customWidth="1"/>
    <col min="3330" max="3330" width="186.33203125" style="879" customWidth="1"/>
    <col min="3331" max="3339" width="50" style="879" customWidth="1"/>
    <col min="3340" max="3340" width="186.33203125" style="879" customWidth="1"/>
    <col min="3341" max="3341" width="49.83203125" style="879" customWidth="1"/>
    <col min="3342" max="3342" width="44.83203125" style="879" customWidth="1"/>
    <col min="3343" max="3343" width="49.83203125" style="879" customWidth="1"/>
    <col min="3344" max="3344" width="50" style="879" customWidth="1"/>
    <col min="3345" max="3345" width="45" style="879" customWidth="1"/>
    <col min="3346" max="3347" width="50" style="879" customWidth="1"/>
    <col min="3348" max="3348" width="45" style="879" customWidth="1"/>
    <col min="3349" max="3349" width="50" style="879" customWidth="1"/>
    <col min="3350" max="3355" width="49.83203125" style="879" customWidth="1"/>
    <col min="3356" max="3356" width="37.1640625" style="879" customWidth="1"/>
    <col min="3357" max="3357" width="32.83203125" style="879" customWidth="1"/>
    <col min="3358" max="3358" width="40.83203125" style="879" customWidth="1"/>
    <col min="3359" max="3359" width="186.33203125" style="879" customWidth="1"/>
    <col min="3360" max="3575" width="9.33203125" style="879"/>
    <col min="3576" max="3576" width="186.33203125" style="879" customWidth="1"/>
    <col min="3577" max="3585" width="50" style="879" customWidth="1"/>
    <col min="3586" max="3586" width="186.33203125" style="879" customWidth="1"/>
    <col min="3587" max="3595" width="50" style="879" customWidth="1"/>
    <col min="3596" max="3596" width="186.33203125" style="879" customWidth="1"/>
    <col min="3597" max="3597" width="49.83203125" style="879" customWidth="1"/>
    <col min="3598" max="3598" width="44.83203125" style="879" customWidth="1"/>
    <col min="3599" max="3599" width="49.83203125" style="879" customWidth="1"/>
    <col min="3600" max="3600" width="50" style="879" customWidth="1"/>
    <col min="3601" max="3601" width="45" style="879" customWidth="1"/>
    <col min="3602" max="3603" width="50" style="879" customWidth="1"/>
    <col min="3604" max="3604" width="45" style="879" customWidth="1"/>
    <col min="3605" max="3605" width="50" style="879" customWidth="1"/>
    <col min="3606" max="3611" width="49.83203125" style="879" customWidth="1"/>
    <col min="3612" max="3612" width="37.1640625" style="879" customWidth="1"/>
    <col min="3613" max="3613" width="32.83203125" style="879" customWidth="1"/>
    <col min="3614" max="3614" width="40.83203125" style="879" customWidth="1"/>
    <col min="3615" max="3615" width="186.33203125" style="879" customWidth="1"/>
    <col min="3616" max="3831" width="9.33203125" style="879"/>
    <col min="3832" max="3832" width="186.33203125" style="879" customWidth="1"/>
    <col min="3833" max="3841" width="50" style="879" customWidth="1"/>
    <col min="3842" max="3842" width="186.33203125" style="879" customWidth="1"/>
    <col min="3843" max="3851" width="50" style="879" customWidth="1"/>
    <col min="3852" max="3852" width="186.33203125" style="879" customWidth="1"/>
    <col min="3853" max="3853" width="49.83203125" style="879" customWidth="1"/>
    <col min="3854" max="3854" width="44.83203125" style="879" customWidth="1"/>
    <col min="3855" max="3855" width="49.83203125" style="879" customWidth="1"/>
    <col min="3856" max="3856" width="50" style="879" customWidth="1"/>
    <col min="3857" max="3857" width="45" style="879" customWidth="1"/>
    <col min="3858" max="3859" width="50" style="879" customWidth="1"/>
    <col min="3860" max="3860" width="45" style="879" customWidth="1"/>
    <col min="3861" max="3861" width="50" style="879" customWidth="1"/>
    <col min="3862" max="3867" width="49.83203125" style="879" customWidth="1"/>
    <col min="3868" max="3868" width="37.1640625" style="879" customWidth="1"/>
    <col min="3869" max="3869" width="32.83203125" style="879" customWidth="1"/>
    <col min="3870" max="3870" width="40.83203125" style="879" customWidth="1"/>
    <col min="3871" max="3871" width="186.33203125" style="879" customWidth="1"/>
    <col min="3872" max="4087" width="9.33203125" style="879"/>
    <col min="4088" max="4088" width="186.33203125" style="879" customWidth="1"/>
    <col min="4089" max="4097" width="50" style="879" customWidth="1"/>
    <col min="4098" max="4098" width="186.33203125" style="879" customWidth="1"/>
    <col min="4099" max="4107" width="50" style="879" customWidth="1"/>
    <col min="4108" max="4108" width="186.33203125" style="879" customWidth="1"/>
    <col min="4109" max="4109" width="49.83203125" style="879" customWidth="1"/>
    <col min="4110" max="4110" width="44.83203125" style="879" customWidth="1"/>
    <col min="4111" max="4111" width="49.83203125" style="879" customWidth="1"/>
    <col min="4112" max="4112" width="50" style="879" customWidth="1"/>
    <col min="4113" max="4113" width="45" style="879" customWidth="1"/>
    <col min="4114" max="4115" width="50" style="879" customWidth="1"/>
    <col min="4116" max="4116" width="45" style="879" customWidth="1"/>
    <col min="4117" max="4117" width="50" style="879" customWidth="1"/>
    <col min="4118" max="4123" width="49.83203125" style="879" customWidth="1"/>
    <col min="4124" max="4124" width="37.1640625" style="879" customWidth="1"/>
    <col min="4125" max="4125" width="32.83203125" style="879" customWidth="1"/>
    <col min="4126" max="4126" width="40.83203125" style="879" customWidth="1"/>
    <col min="4127" max="4127" width="186.33203125" style="879" customWidth="1"/>
    <col min="4128" max="4343" width="9.33203125" style="879"/>
    <col min="4344" max="4344" width="186.33203125" style="879" customWidth="1"/>
    <col min="4345" max="4353" width="50" style="879" customWidth="1"/>
    <col min="4354" max="4354" width="186.33203125" style="879" customWidth="1"/>
    <col min="4355" max="4363" width="50" style="879" customWidth="1"/>
    <col min="4364" max="4364" width="186.33203125" style="879" customWidth="1"/>
    <col min="4365" max="4365" width="49.83203125" style="879" customWidth="1"/>
    <col min="4366" max="4366" width="44.83203125" style="879" customWidth="1"/>
    <col min="4367" max="4367" width="49.83203125" style="879" customWidth="1"/>
    <col min="4368" max="4368" width="50" style="879" customWidth="1"/>
    <col min="4369" max="4369" width="45" style="879" customWidth="1"/>
    <col min="4370" max="4371" width="50" style="879" customWidth="1"/>
    <col min="4372" max="4372" width="45" style="879" customWidth="1"/>
    <col min="4373" max="4373" width="50" style="879" customWidth="1"/>
    <col min="4374" max="4379" width="49.83203125" style="879" customWidth="1"/>
    <col min="4380" max="4380" width="37.1640625" style="879" customWidth="1"/>
    <col min="4381" max="4381" width="32.83203125" style="879" customWidth="1"/>
    <col min="4382" max="4382" width="40.83203125" style="879" customWidth="1"/>
    <col min="4383" max="4383" width="186.33203125" style="879" customWidth="1"/>
    <col min="4384" max="4599" width="9.33203125" style="879"/>
    <col min="4600" max="4600" width="186.33203125" style="879" customWidth="1"/>
    <col min="4601" max="4609" width="50" style="879" customWidth="1"/>
    <col min="4610" max="4610" width="186.33203125" style="879" customWidth="1"/>
    <col min="4611" max="4619" width="50" style="879" customWidth="1"/>
    <col min="4620" max="4620" width="186.33203125" style="879" customWidth="1"/>
    <col min="4621" max="4621" width="49.83203125" style="879" customWidth="1"/>
    <col min="4622" max="4622" width="44.83203125" style="879" customWidth="1"/>
    <col min="4623" max="4623" width="49.83203125" style="879" customWidth="1"/>
    <col min="4624" max="4624" width="50" style="879" customWidth="1"/>
    <col min="4625" max="4625" width="45" style="879" customWidth="1"/>
    <col min="4626" max="4627" width="50" style="879" customWidth="1"/>
    <col min="4628" max="4628" width="45" style="879" customWidth="1"/>
    <col min="4629" max="4629" width="50" style="879" customWidth="1"/>
    <col min="4630" max="4635" width="49.83203125" style="879" customWidth="1"/>
    <col min="4636" max="4636" width="37.1640625" style="879" customWidth="1"/>
    <col min="4637" max="4637" width="32.83203125" style="879" customWidth="1"/>
    <col min="4638" max="4638" width="40.83203125" style="879" customWidth="1"/>
    <col min="4639" max="4639" width="186.33203125" style="879" customWidth="1"/>
    <col min="4640" max="4855" width="9.33203125" style="879"/>
    <col min="4856" max="4856" width="186.33203125" style="879" customWidth="1"/>
    <col min="4857" max="4865" width="50" style="879" customWidth="1"/>
    <col min="4866" max="4866" width="186.33203125" style="879" customWidth="1"/>
    <col min="4867" max="4875" width="50" style="879" customWidth="1"/>
    <col min="4876" max="4876" width="186.33203125" style="879" customWidth="1"/>
    <col min="4877" max="4877" width="49.83203125" style="879" customWidth="1"/>
    <col min="4878" max="4878" width="44.83203125" style="879" customWidth="1"/>
    <col min="4879" max="4879" width="49.83203125" style="879" customWidth="1"/>
    <col min="4880" max="4880" width="50" style="879" customWidth="1"/>
    <col min="4881" max="4881" width="45" style="879" customWidth="1"/>
    <col min="4882" max="4883" width="50" style="879" customWidth="1"/>
    <col min="4884" max="4884" width="45" style="879" customWidth="1"/>
    <col min="4885" max="4885" width="50" style="879" customWidth="1"/>
    <col min="4886" max="4891" width="49.83203125" style="879" customWidth="1"/>
    <col min="4892" max="4892" width="37.1640625" style="879" customWidth="1"/>
    <col min="4893" max="4893" width="32.83203125" style="879" customWidth="1"/>
    <col min="4894" max="4894" width="40.83203125" style="879" customWidth="1"/>
    <col min="4895" max="4895" width="186.33203125" style="879" customWidth="1"/>
    <col min="4896" max="5111" width="9.33203125" style="879"/>
    <col min="5112" max="5112" width="186.33203125" style="879" customWidth="1"/>
    <col min="5113" max="5121" width="50" style="879" customWidth="1"/>
    <col min="5122" max="5122" width="186.33203125" style="879" customWidth="1"/>
    <col min="5123" max="5131" width="50" style="879" customWidth="1"/>
    <col min="5132" max="5132" width="186.33203125" style="879" customWidth="1"/>
    <col min="5133" max="5133" width="49.83203125" style="879" customWidth="1"/>
    <col min="5134" max="5134" width="44.83203125" style="879" customWidth="1"/>
    <col min="5135" max="5135" width="49.83203125" style="879" customWidth="1"/>
    <col min="5136" max="5136" width="50" style="879" customWidth="1"/>
    <col min="5137" max="5137" width="45" style="879" customWidth="1"/>
    <col min="5138" max="5139" width="50" style="879" customWidth="1"/>
    <col min="5140" max="5140" width="45" style="879" customWidth="1"/>
    <col min="5141" max="5141" width="50" style="879" customWidth="1"/>
    <col min="5142" max="5147" width="49.83203125" style="879" customWidth="1"/>
    <col min="5148" max="5148" width="37.1640625" style="879" customWidth="1"/>
    <col min="5149" max="5149" width="32.83203125" style="879" customWidth="1"/>
    <col min="5150" max="5150" width="40.83203125" style="879" customWidth="1"/>
    <col min="5151" max="5151" width="186.33203125" style="879" customWidth="1"/>
    <col min="5152" max="5367" width="9.33203125" style="879"/>
    <col min="5368" max="5368" width="186.33203125" style="879" customWidth="1"/>
    <col min="5369" max="5377" width="50" style="879" customWidth="1"/>
    <col min="5378" max="5378" width="186.33203125" style="879" customWidth="1"/>
    <col min="5379" max="5387" width="50" style="879" customWidth="1"/>
    <col min="5388" max="5388" width="186.33203125" style="879" customWidth="1"/>
    <col min="5389" max="5389" width="49.83203125" style="879" customWidth="1"/>
    <col min="5390" max="5390" width="44.83203125" style="879" customWidth="1"/>
    <col min="5391" max="5391" width="49.83203125" style="879" customWidth="1"/>
    <col min="5392" max="5392" width="50" style="879" customWidth="1"/>
    <col min="5393" max="5393" width="45" style="879" customWidth="1"/>
    <col min="5394" max="5395" width="50" style="879" customWidth="1"/>
    <col min="5396" max="5396" width="45" style="879" customWidth="1"/>
    <col min="5397" max="5397" width="50" style="879" customWidth="1"/>
    <col min="5398" max="5403" width="49.83203125" style="879" customWidth="1"/>
    <col min="5404" max="5404" width="37.1640625" style="879" customWidth="1"/>
    <col min="5405" max="5405" width="32.83203125" style="879" customWidth="1"/>
    <col min="5406" max="5406" width="40.83203125" style="879" customWidth="1"/>
    <col min="5407" max="5407" width="186.33203125" style="879" customWidth="1"/>
    <col min="5408" max="5623" width="9.33203125" style="879"/>
    <col min="5624" max="5624" width="186.33203125" style="879" customWidth="1"/>
    <col min="5625" max="5633" width="50" style="879" customWidth="1"/>
    <col min="5634" max="5634" width="186.33203125" style="879" customWidth="1"/>
    <col min="5635" max="5643" width="50" style="879" customWidth="1"/>
    <col min="5644" max="5644" width="186.33203125" style="879" customWidth="1"/>
    <col min="5645" max="5645" width="49.83203125" style="879" customWidth="1"/>
    <col min="5646" max="5646" width="44.83203125" style="879" customWidth="1"/>
    <col min="5647" max="5647" width="49.83203125" style="879" customWidth="1"/>
    <col min="5648" max="5648" width="50" style="879" customWidth="1"/>
    <col min="5649" max="5649" width="45" style="879" customWidth="1"/>
    <col min="5650" max="5651" width="50" style="879" customWidth="1"/>
    <col min="5652" max="5652" width="45" style="879" customWidth="1"/>
    <col min="5653" max="5653" width="50" style="879" customWidth="1"/>
    <col min="5654" max="5659" width="49.83203125" style="879" customWidth="1"/>
    <col min="5660" max="5660" width="37.1640625" style="879" customWidth="1"/>
    <col min="5661" max="5661" width="32.83203125" style="879" customWidth="1"/>
    <col min="5662" max="5662" width="40.83203125" style="879" customWidth="1"/>
    <col min="5663" max="5663" width="186.33203125" style="879" customWidth="1"/>
    <col min="5664" max="5879" width="9.33203125" style="879"/>
    <col min="5880" max="5880" width="186.33203125" style="879" customWidth="1"/>
    <col min="5881" max="5889" width="50" style="879" customWidth="1"/>
    <col min="5890" max="5890" width="186.33203125" style="879" customWidth="1"/>
    <col min="5891" max="5899" width="50" style="879" customWidth="1"/>
    <col min="5900" max="5900" width="186.33203125" style="879" customWidth="1"/>
    <col min="5901" max="5901" width="49.83203125" style="879" customWidth="1"/>
    <col min="5902" max="5902" width="44.83203125" style="879" customWidth="1"/>
    <col min="5903" max="5903" width="49.83203125" style="879" customWidth="1"/>
    <col min="5904" max="5904" width="50" style="879" customWidth="1"/>
    <col min="5905" max="5905" width="45" style="879" customWidth="1"/>
    <col min="5906" max="5907" width="50" style="879" customWidth="1"/>
    <col min="5908" max="5908" width="45" style="879" customWidth="1"/>
    <col min="5909" max="5909" width="50" style="879" customWidth="1"/>
    <col min="5910" max="5915" width="49.83203125" style="879" customWidth="1"/>
    <col min="5916" max="5916" width="37.1640625" style="879" customWidth="1"/>
    <col min="5917" max="5917" width="32.83203125" style="879" customWidth="1"/>
    <col min="5918" max="5918" width="40.83203125" style="879" customWidth="1"/>
    <col min="5919" max="5919" width="186.33203125" style="879" customWidth="1"/>
    <col min="5920" max="6135" width="9.33203125" style="879"/>
    <col min="6136" max="6136" width="186.33203125" style="879" customWidth="1"/>
    <col min="6137" max="6145" width="50" style="879" customWidth="1"/>
    <col min="6146" max="6146" width="186.33203125" style="879" customWidth="1"/>
    <col min="6147" max="6155" width="50" style="879" customWidth="1"/>
    <col min="6156" max="6156" width="186.33203125" style="879" customWidth="1"/>
    <col min="6157" max="6157" width="49.83203125" style="879" customWidth="1"/>
    <col min="6158" max="6158" width="44.83203125" style="879" customWidth="1"/>
    <col min="6159" max="6159" width="49.83203125" style="879" customWidth="1"/>
    <col min="6160" max="6160" width="50" style="879" customWidth="1"/>
    <col min="6161" max="6161" width="45" style="879" customWidth="1"/>
    <col min="6162" max="6163" width="50" style="879" customWidth="1"/>
    <col min="6164" max="6164" width="45" style="879" customWidth="1"/>
    <col min="6165" max="6165" width="50" style="879" customWidth="1"/>
    <col min="6166" max="6171" width="49.83203125" style="879" customWidth="1"/>
    <col min="6172" max="6172" width="37.1640625" style="879" customWidth="1"/>
    <col min="6173" max="6173" width="32.83203125" style="879" customWidth="1"/>
    <col min="6174" max="6174" width="40.83203125" style="879" customWidth="1"/>
    <col min="6175" max="6175" width="186.33203125" style="879" customWidth="1"/>
    <col min="6176" max="6391" width="9.33203125" style="879"/>
    <col min="6392" max="6392" width="186.33203125" style="879" customWidth="1"/>
    <col min="6393" max="6401" width="50" style="879" customWidth="1"/>
    <col min="6402" max="6402" width="186.33203125" style="879" customWidth="1"/>
    <col min="6403" max="6411" width="50" style="879" customWidth="1"/>
    <col min="6412" max="6412" width="186.33203125" style="879" customWidth="1"/>
    <col min="6413" max="6413" width="49.83203125" style="879" customWidth="1"/>
    <col min="6414" max="6414" width="44.83203125" style="879" customWidth="1"/>
    <col min="6415" max="6415" width="49.83203125" style="879" customWidth="1"/>
    <col min="6416" max="6416" width="50" style="879" customWidth="1"/>
    <col min="6417" max="6417" width="45" style="879" customWidth="1"/>
    <col min="6418" max="6419" width="50" style="879" customWidth="1"/>
    <col min="6420" max="6420" width="45" style="879" customWidth="1"/>
    <col min="6421" max="6421" width="50" style="879" customWidth="1"/>
    <col min="6422" max="6427" width="49.83203125" style="879" customWidth="1"/>
    <col min="6428" max="6428" width="37.1640625" style="879" customWidth="1"/>
    <col min="6429" max="6429" width="32.83203125" style="879" customWidth="1"/>
    <col min="6430" max="6430" width="40.83203125" style="879" customWidth="1"/>
    <col min="6431" max="6431" width="186.33203125" style="879" customWidth="1"/>
    <col min="6432" max="6647" width="9.33203125" style="879"/>
    <col min="6648" max="6648" width="186.33203125" style="879" customWidth="1"/>
    <col min="6649" max="6657" width="50" style="879" customWidth="1"/>
    <col min="6658" max="6658" width="186.33203125" style="879" customWidth="1"/>
    <col min="6659" max="6667" width="50" style="879" customWidth="1"/>
    <col min="6668" max="6668" width="186.33203125" style="879" customWidth="1"/>
    <col min="6669" max="6669" width="49.83203125" style="879" customWidth="1"/>
    <col min="6670" max="6670" width="44.83203125" style="879" customWidth="1"/>
    <col min="6671" max="6671" width="49.83203125" style="879" customWidth="1"/>
    <col min="6672" max="6672" width="50" style="879" customWidth="1"/>
    <col min="6673" max="6673" width="45" style="879" customWidth="1"/>
    <col min="6674" max="6675" width="50" style="879" customWidth="1"/>
    <col min="6676" max="6676" width="45" style="879" customWidth="1"/>
    <col min="6677" max="6677" width="50" style="879" customWidth="1"/>
    <col min="6678" max="6683" width="49.83203125" style="879" customWidth="1"/>
    <col min="6684" max="6684" width="37.1640625" style="879" customWidth="1"/>
    <col min="6685" max="6685" width="32.83203125" style="879" customWidth="1"/>
    <col min="6686" max="6686" width="40.83203125" style="879" customWidth="1"/>
    <col min="6687" max="6687" width="186.33203125" style="879" customWidth="1"/>
    <col min="6688" max="6903" width="9.33203125" style="879"/>
    <col min="6904" max="6904" width="186.33203125" style="879" customWidth="1"/>
    <col min="6905" max="6913" width="50" style="879" customWidth="1"/>
    <col min="6914" max="6914" width="186.33203125" style="879" customWidth="1"/>
    <col min="6915" max="6923" width="50" style="879" customWidth="1"/>
    <col min="6924" max="6924" width="186.33203125" style="879" customWidth="1"/>
    <col min="6925" max="6925" width="49.83203125" style="879" customWidth="1"/>
    <col min="6926" max="6926" width="44.83203125" style="879" customWidth="1"/>
    <col min="6927" max="6927" width="49.83203125" style="879" customWidth="1"/>
    <col min="6928" max="6928" width="50" style="879" customWidth="1"/>
    <col min="6929" max="6929" width="45" style="879" customWidth="1"/>
    <col min="6930" max="6931" width="50" style="879" customWidth="1"/>
    <col min="6932" max="6932" width="45" style="879" customWidth="1"/>
    <col min="6933" max="6933" width="50" style="879" customWidth="1"/>
    <col min="6934" max="6939" width="49.83203125" style="879" customWidth="1"/>
    <col min="6940" max="6940" width="37.1640625" style="879" customWidth="1"/>
    <col min="6941" max="6941" width="32.83203125" style="879" customWidth="1"/>
    <col min="6942" max="6942" width="40.83203125" style="879" customWidth="1"/>
    <col min="6943" max="6943" width="186.33203125" style="879" customWidth="1"/>
    <col min="6944" max="7159" width="9.33203125" style="879"/>
    <col min="7160" max="7160" width="186.33203125" style="879" customWidth="1"/>
    <col min="7161" max="7169" width="50" style="879" customWidth="1"/>
    <col min="7170" max="7170" width="186.33203125" style="879" customWidth="1"/>
    <col min="7171" max="7179" width="50" style="879" customWidth="1"/>
    <col min="7180" max="7180" width="186.33203125" style="879" customWidth="1"/>
    <col min="7181" max="7181" width="49.83203125" style="879" customWidth="1"/>
    <col min="7182" max="7182" width="44.83203125" style="879" customWidth="1"/>
    <col min="7183" max="7183" width="49.83203125" style="879" customWidth="1"/>
    <col min="7184" max="7184" width="50" style="879" customWidth="1"/>
    <col min="7185" max="7185" width="45" style="879" customWidth="1"/>
    <col min="7186" max="7187" width="50" style="879" customWidth="1"/>
    <col min="7188" max="7188" width="45" style="879" customWidth="1"/>
    <col min="7189" max="7189" width="50" style="879" customWidth="1"/>
    <col min="7190" max="7195" width="49.83203125" style="879" customWidth="1"/>
    <col min="7196" max="7196" width="37.1640625" style="879" customWidth="1"/>
    <col min="7197" max="7197" width="32.83203125" style="879" customWidth="1"/>
    <col min="7198" max="7198" width="40.83203125" style="879" customWidth="1"/>
    <col min="7199" max="7199" width="186.33203125" style="879" customWidth="1"/>
    <col min="7200" max="7415" width="9.33203125" style="879"/>
    <col min="7416" max="7416" width="186.33203125" style="879" customWidth="1"/>
    <col min="7417" max="7425" width="50" style="879" customWidth="1"/>
    <col min="7426" max="7426" width="186.33203125" style="879" customWidth="1"/>
    <col min="7427" max="7435" width="50" style="879" customWidth="1"/>
    <col min="7436" max="7436" width="186.33203125" style="879" customWidth="1"/>
    <col min="7437" max="7437" width="49.83203125" style="879" customWidth="1"/>
    <col min="7438" max="7438" width="44.83203125" style="879" customWidth="1"/>
    <col min="7439" max="7439" width="49.83203125" style="879" customWidth="1"/>
    <col min="7440" max="7440" width="50" style="879" customWidth="1"/>
    <col min="7441" max="7441" width="45" style="879" customWidth="1"/>
    <col min="7442" max="7443" width="50" style="879" customWidth="1"/>
    <col min="7444" max="7444" width="45" style="879" customWidth="1"/>
    <col min="7445" max="7445" width="50" style="879" customWidth="1"/>
    <col min="7446" max="7451" width="49.83203125" style="879" customWidth="1"/>
    <col min="7452" max="7452" width="37.1640625" style="879" customWidth="1"/>
    <col min="7453" max="7453" width="32.83203125" style="879" customWidth="1"/>
    <col min="7454" max="7454" width="40.83203125" style="879" customWidth="1"/>
    <col min="7455" max="7455" width="186.33203125" style="879" customWidth="1"/>
    <col min="7456" max="7671" width="9.33203125" style="879"/>
    <col min="7672" max="7672" width="186.33203125" style="879" customWidth="1"/>
    <col min="7673" max="7681" width="50" style="879" customWidth="1"/>
    <col min="7682" max="7682" width="186.33203125" style="879" customWidth="1"/>
    <col min="7683" max="7691" width="50" style="879" customWidth="1"/>
    <col min="7692" max="7692" width="186.33203125" style="879" customWidth="1"/>
    <col min="7693" max="7693" width="49.83203125" style="879" customWidth="1"/>
    <col min="7694" max="7694" width="44.83203125" style="879" customWidth="1"/>
    <col min="7695" max="7695" width="49.83203125" style="879" customWidth="1"/>
    <col min="7696" max="7696" width="50" style="879" customWidth="1"/>
    <col min="7697" max="7697" width="45" style="879" customWidth="1"/>
    <col min="7698" max="7699" width="50" style="879" customWidth="1"/>
    <col min="7700" max="7700" width="45" style="879" customWidth="1"/>
    <col min="7701" max="7701" width="50" style="879" customWidth="1"/>
    <col min="7702" max="7707" width="49.83203125" style="879" customWidth="1"/>
    <col min="7708" max="7708" width="37.1640625" style="879" customWidth="1"/>
    <col min="7709" max="7709" width="32.83203125" style="879" customWidth="1"/>
    <col min="7710" max="7710" width="40.83203125" style="879" customWidth="1"/>
    <col min="7711" max="7711" width="186.33203125" style="879" customWidth="1"/>
    <col min="7712" max="7927" width="9.33203125" style="879"/>
    <col min="7928" max="7928" width="186.33203125" style="879" customWidth="1"/>
    <col min="7929" max="7937" width="50" style="879" customWidth="1"/>
    <col min="7938" max="7938" width="186.33203125" style="879" customWidth="1"/>
    <col min="7939" max="7947" width="50" style="879" customWidth="1"/>
    <col min="7948" max="7948" width="186.33203125" style="879" customWidth="1"/>
    <col min="7949" max="7949" width="49.83203125" style="879" customWidth="1"/>
    <col min="7950" max="7950" width="44.83203125" style="879" customWidth="1"/>
    <col min="7951" max="7951" width="49.83203125" style="879" customWidth="1"/>
    <col min="7952" max="7952" width="50" style="879" customWidth="1"/>
    <col min="7953" max="7953" width="45" style="879" customWidth="1"/>
    <col min="7954" max="7955" width="50" style="879" customWidth="1"/>
    <col min="7956" max="7956" width="45" style="879" customWidth="1"/>
    <col min="7957" max="7957" width="50" style="879" customWidth="1"/>
    <col min="7958" max="7963" width="49.83203125" style="879" customWidth="1"/>
    <col min="7964" max="7964" width="37.1640625" style="879" customWidth="1"/>
    <col min="7965" max="7965" width="32.83203125" style="879" customWidth="1"/>
    <col min="7966" max="7966" width="40.83203125" style="879" customWidth="1"/>
    <col min="7967" max="7967" width="186.33203125" style="879" customWidth="1"/>
    <col min="7968" max="8183" width="9.33203125" style="879"/>
    <col min="8184" max="8184" width="186.33203125" style="879" customWidth="1"/>
    <col min="8185" max="8193" width="50" style="879" customWidth="1"/>
    <col min="8194" max="8194" width="186.33203125" style="879" customWidth="1"/>
    <col min="8195" max="8203" width="50" style="879" customWidth="1"/>
    <col min="8204" max="8204" width="186.33203125" style="879" customWidth="1"/>
    <col min="8205" max="8205" width="49.83203125" style="879" customWidth="1"/>
    <col min="8206" max="8206" width="44.83203125" style="879" customWidth="1"/>
    <col min="8207" max="8207" width="49.83203125" style="879" customWidth="1"/>
    <col min="8208" max="8208" width="50" style="879" customWidth="1"/>
    <col min="8209" max="8209" width="45" style="879" customWidth="1"/>
    <col min="8210" max="8211" width="50" style="879" customWidth="1"/>
    <col min="8212" max="8212" width="45" style="879" customWidth="1"/>
    <col min="8213" max="8213" width="50" style="879" customWidth="1"/>
    <col min="8214" max="8219" width="49.83203125" style="879" customWidth="1"/>
    <col min="8220" max="8220" width="37.1640625" style="879" customWidth="1"/>
    <col min="8221" max="8221" width="32.83203125" style="879" customWidth="1"/>
    <col min="8222" max="8222" width="40.83203125" style="879" customWidth="1"/>
    <col min="8223" max="8223" width="186.33203125" style="879" customWidth="1"/>
    <col min="8224" max="8439" width="9.33203125" style="879"/>
    <col min="8440" max="8440" width="186.33203125" style="879" customWidth="1"/>
    <col min="8441" max="8449" width="50" style="879" customWidth="1"/>
    <col min="8450" max="8450" width="186.33203125" style="879" customWidth="1"/>
    <col min="8451" max="8459" width="50" style="879" customWidth="1"/>
    <col min="8460" max="8460" width="186.33203125" style="879" customWidth="1"/>
    <col min="8461" max="8461" width="49.83203125" style="879" customWidth="1"/>
    <col min="8462" max="8462" width="44.83203125" style="879" customWidth="1"/>
    <col min="8463" max="8463" width="49.83203125" style="879" customWidth="1"/>
    <col min="8464" max="8464" width="50" style="879" customWidth="1"/>
    <col min="8465" max="8465" width="45" style="879" customWidth="1"/>
    <col min="8466" max="8467" width="50" style="879" customWidth="1"/>
    <col min="8468" max="8468" width="45" style="879" customWidth="1"/>
    <col min="8469" max="8469" width="50" style="879" customWidth="1"/>
    <col min="8470" max="8475" width="49.83203125" style="879" customWidth="1"/>
    <col min="8476" max="8476" width="37.1640625" style="879" customWidth="1"/>
    <col min="8477" max="8477" width="32.83203125" style="879" customWidth="1"/>
    <col min="8478" max="8478" width="40.83203125" style="879" customWidth="1"/>
    <col min="8479" max="8479" width="186.33203125" style="879" customWidth="1"/>
    <col min="8480" max="8695" width="9.33203125" style="879"/>
    <col min="8696" max="8696" width="186.33203125" style="879" customWidth="1"/>
    <col min="8697" max="8705" width="50" style="879" customWidth="1"/>
    <col min="8706" max="8706" width="186.33203125" style="879" customWidth="1"/>
    <col min="8707" max="8715" width="50" style="879" customWidth="1"/>
    <col min="8716" max="8716" width="186.33203125" style="879" customWidth="1"/>
    <col min="8717" max="8717" width="49.83203125" style="879" customWidth="1"/>
    <col min="8718" max="8718" width="44.83203125" style="879" customWidth="1"/>
    <col min="8719" max="8719" width="49.83203125" style="879" customWidth="1"/>
    <col min="8720" max="8720" width="50" style="879" customWidth="1"/>
    <col min="8721" max="8721" width="45" style="879" customWidth="1"/>
    <col min="8722" max="8723" width="50" style="879" customWidth="1"/>
    <col min="8724" max="8724" width="45" style="879" customWidth="1"/>
    <col min="8725" max="8725" width="50" style="879" customWidth="1"/>
    <col min="8726" max="8731" width="49.83203125" style="879" customWidth="1"/>
    <col min="8732" max="8732" width="37.1640625" style="879" customWidth="1"/>
    <col min="8733" max="8733" width="32.83203125" style="879" customWidth="1"/>
    <col min="8734" max="8734" width="40.83203125" style="879" customWidth="1"/>
    <col min="8735" max="8735" width="186.33203125" style="879" customWidth="1"/>
    <col min="8736" max="8951" width="9.33203125" style="879"/>
    <col min="8952" max="8952" width="186.33203125" style="879" customWidth="1"/>
    <col min="8953" max="8961" width="50" style="879" customWidth="1"/>
    <col min="8962" max="8962" width="186.33203125" style="879" customWidth="1"/>
    <col min="8963" max="8971" width="50" style="879" customWidth="1"/>
    <col min="8972" max="8972" width="186.33203125" style="879" customWidth="1"/>
    <col min="8973" max="8973" width="49.83203125" style="879" customWidth="1"/>
    <col min="8974" max="8974" width="44.83203125" style="879" customWidth="1"/>
    <col min="8975" max="8975" width="49.83203125" style="879" customWidth="1"/>
    <col min="8976" max="8976" width="50" style="879" customWidth="1"/>
    <col min="8977" max="8977" width="45" style="879" customWidth="1"/>
    <col min="8978" max="8979" width="50" style="879" customWidth="1"/>
    <col min="8980" max="8980" width="45" style="879" customWidth="1"/>
    <col min="8981" max="8981" width="50" style="879" customWidth="1"/>
    <col min="8982" max="8987" width="49.83203125" style="879" customWidth="1"/>
    <col min="8988" max="8988" width="37.1640625" style="879" customWidth="1"/>
    <col min="8989" max="8989" width="32.83203125" style="879" customWidth="1"/>
    <col min="8990" max="8990" width="40.83203125" style="879" customWidth="1"/>
    <col min="8991" max="8991" width="186.33203125" style="879" customWidth="1"/>
    <col min="8992" max="9207" width="9.33203125" style="879"/>
    <col min="9208" max="9208" width="186.33203125" style="879" customWidth="1"/>
    <col min="9209" max="9217" width="50" style="879" customWidth="1"/>
    <col min="9218" max="9218" width="186.33203125" style="879" customWidth="1"/>
    <col min="9219" max="9227" width="50" style="879" customWidth="1"/>
    <col min="9228" max="9228" width="186.33203125" style="879" customWidth="1"/>
    <col min="9229" max="9229" width="49.83203125" style="879" customWidth="1"/>
    <col min="9230" max="9230" width="44.83203125" style="879" customWidth="1"/>
    <col min="9231" max="9231" width="49.83203125" style="879" customWidth="1"/>
    <col min="9232" max="9232" width="50" style="879" customWidth="1"/>
    <col min="9233" max="9233" width="45" style="879" customWidth="1"/>
    <col min="9234" max="9235" width="50" style="879" customWidth="1"/>
    <col min="9236" max="9236" width="45" style="879" customWidth="1"/>
    <col min="9237" max="9237" width="50" style="879" customWidth="1"/>
    <col min="9238" max="9243" width="49.83203125" style="879" customWidth="1"/>
    <col min="9244" max="9244" width="37.1640625" style="879" customWidth="1"/>
    <col min="9245" max="9245" width="32.83203125" style="879" customWidth="1"/>
    <col min="9246" max="9246" width="40.83203125" style="879" customWidth="1"/>
    <col min="9247" max="9247" width="186.33203125" style="879" customWidth="1"/>
    <col min="9248" max="9463" width="9.33203125" style="879"/>
    <col min="9464" max="9464" width="186.33203125" style="879" customWidth="1"/>
    <col min="9465" max="9473" width="50" style="879" customWidth="1"/>
    <col min="9474" max="9474" width="186.33203125" style="879" customWidth="1"/>
    <col min="9475" max="9483" width="50" style="879" customWidth="1"/>
    <col min="9484" max="9484" width="186.33203125" style="879" customWidth="1"/>
    <col min="9485" max="9485" width="49.83203125" style="879" customWidth="1"/>
    <col min="9486" max="9486" width="44.83203125" style="879" customWidth="1"/>
    <col min="9487" max="9487" width="49.83203125" style="879" customWidth="1"/>
    <col min="9488" max="9488" width="50" style="879" customWidth="1"/>
    <col min="9489" max="9489" width="45" style="879" customWidth="1"/>
    <col min="9490" max="9491" width="50" style="879" customWidth="1"/>
    <col min="9492" max="9492" width="45" style="879" customWidth="1"/>
    <col min="9493" max="9493" width="50" style="879" customWidth="1"/>
    <col min="9494" max="9499" width="49.83203125" style="879" customWidth="1"/>
    <col min="9500" max="9500" width="37.1640625" style="879" customWidth="1"/>
    <col min="9501" max="9501" width="32.83203125" style="879" customWidth="1"/>
    <col min="9502" max="9502" width="40.83203125" style="879" customWidth="1"/>
    <col min="9503" max="9503" width="186.33203125" style="879" customWidth="1"/>
    <col min="9504" max="9719" width="9.33203125" style="879"/>
    <col min="9720" max="9720" width="186.33203125" style="879" customWidth="1"/>
    <col min="9721" max="9729" width="50" style="879" customWidth="1"/>
    <col min="9730" max="9730" width="186.33203125" style="879" customWidth="1"/>
    <col min="9731" max="9739" width="50" style="879" customWidth="1"/>
    <col min="9740" max="9740" width="186.33203125" style="879" customWidth="1"/>
    <col min="9741" max="9741" width="49.83203125" style="879" customWidth="1"/>
    <col min="9742" max="9742" width="44.83203125" style="879" customWidth="1"/>
    <col min="9743" max="9743" width="49.83203125" style="879" customWidth="1"/>
    <col min="9744" max="9744" width="50" style="879" customWidth="1"/>
    <col min="9745" max="9745" width="45" style="879" customWidth="1"/>
    <col min="9746" max="9747" width="50" style="879" customWidth="1"/>
    <col min="9748" max="9748" width="45" style="879" customWidth="1"/>
    <col min="9749" max="9749" width="50" style="879" customWidth="1"/>
    <col min="9750" max="9755" width="49.83203125" style="879" customWidth="1"/>
    <col min="9756" max="9756" width="37.1640625" style="879" customWidth="1"/>
    <col min="9757" max="9757" width="32.83203125" style="879" customWidth="1"/>
    <col min="9758" max="9758" width="40.83203125" style="879" customWidth="1"/>
    <col min="9759" max="9759" width="186.33203125" style="879" customWidth="1"/>
    <col min="9760" max="9975" width="9.33203125" style="879"/>
    <col min="9976" max="9976" width="186.33203125" style="879" customWidth="1"/>
    <col min="9977" max="9985" width="50" style="879" customWidth="1"/>
    <col min="9986" max="9986" width="186.33203125" style="879" customWidth="1"/>
    <col min="9987" max="9995" width="50" style="879" customWidth="1"/>
    <col min="9996" max="9996" width="186.33203125" style="879" customWidth="1"/>
    <col min="9997" max="9997" width="49.83203125" style="879" customWidth="1"/>
    <col min="9998" max="9998" width="44.83203125" style="879" customWidth="1"/>
    <col min="9999" max="9999" width="49.83203125" style="879" customWidth="1"/>
    <col min="10000" max="10000" width="50" style="879" customWidth="1"/>
    <col min="10001" max="10001" width="45" style="879" customWidth="1"/>
    <col min="10002" max="10003" width="50" style="879" customWidth="1"/>
    <col min="10004" max="10004" width="45" style="879" customWidth="1"/>
    <col min="10005" max="10005" width="50" style="879" customWidth="1"/>
    <col min="10006" max="10011" width="49.83203125" style="879" customWidth="1"/>
    <col min="10012" max="10012" width="37.1640625" style="879" customWidth="1"/>
    <col min="10013" max="10013" width="32.83203125" style="879" customWidth="1"/>
    <col min="10014" max="10014" width="40.83203125" style="879" customWidth="1"/>
    <col min="10015" max="10015" width="186.33203125" style="879" customWidth="1"/>
    <col min="10016" max="10231" width="9.33203125" style="879"/>
    <col min="10232" max="10232" width="186.33203125" style="879" customWidth="1"/>
    <col min="10233" max="10241" width="50" style="879" customWidth="1"/>
    <col min="10242" max="10242" width="186.33203125" style="879" customWidth="1"/>
    <col min="10243" max="10251" width="50" style="879" customWidth="1"/>
    <col min="10252" max="10252" width="186.33203125" style="879" customWidth="1"/>
    <col min="10253" max="10253" width="49.83203125" style="879" customWidth="1"/>
    <col min="10254" max="10254" width="44.83203125" style="879" customWidth="1"/>
    <col min="10255" max="10255" width="49.83203125" style="879" customWidth="1"/>
    <col min="10256" max="10256" width="50" style="879" customWidth="1"/>
    <col min="10257" max="10257" width="45" style="879" customWidth="1"/>
    <col min="10258" max="10259" width="50" style="879" customWidth="1"/>
    <col min="10260" max="10260" width="45" style="879" customWidth="1"/>
    <col min="10261" max="10261" width="50" style="879" customWidth="1"/>
    <col min="10262" max="10267" width="49.83203125" style="879" customWidth="1"/>
    <col min="10268" max="10268" width="37.1640625" style="879" customWidth="1"/>
    <col min="10269" max="10269" width="32.83203125" style="879" customWidth="1"/>
    <col min="10270" max="10270" width="40.83203125" style="879" customWidth="1"/>
    <col min="10271" max="10271" width="186.33203125" style="879" customWidth="1"/>
    <col min="10272" max="10487" width="9.33203125" style="879"/>
    <col min="10488" max="10488" width="186.33203125" style="879" customWidth="1"/>
    <col min="10489" max="10497" width="50" style="879" customWidth="1"/>
    <col min="10498" max="10498" width="186.33203125" style="879" customWidth="1"/>
    <col min="10499" max="10507" width="50" style="879" customWidth="1"/>
    <col min="10508" max="10508" width="186.33203125" style="879" customWidth="1"/>
    <col min="10509" max="10509" width="49.83203125" style="879" customWidth="1"/>
    <col min="10510" max="10510" width="44.83203125" style="879" customWidth="1"/>
    <col min="10511" max="10511" width="49.83203125" style="879" customWidth="1"/>
    <col min="10512" max="10512" width="50" style="879" customWidth="1"/>
    <col min="10513" max="10513" width="45" style="879" customWidth="1"/>
    <col min="10514" max="10515" width="50" style="879" customWidth="1"/>
    <col min="10516" max="10516" width="45" style="879" customWidth="1"/>
    <col min="10517" max="10517" width="50" style="879" customWidth="1"/>
    <col min="10518" max="10523" width="49.83203125" style="879" customWidth="1"/>
    <col min="10524" max="10524" width="37.1640625" style="879" customWidth="1"/>
    <col min="10525" max="10525" width="32.83203125" style="879" customWidth="1"/>
    <col min="10526" max="10526" width="40.83203125" style="879" customWidth="1"/>
    <col min="10527" max="10527" width="186.33203125" style="879" customWidth="1"/>
    <col min="10528" max="10743" width="9.33203125" style="879"/>
    <col min="10744" max="10744" width="186.33203125" style="879" customWidth="1"/>
    <col min="10745" max="10753" width="50" style="879" customWidth="1"/>
    <col min="10754" max="10754" width="186.33203125" style="879" customWidth="1"/>
    <col min="10755" max="10763" width="50" style="879" customWidth="1"/>
    <col min="10764" max="10764" width="186.33203125" style="879" customWidth="1"/>
    <col min="10765" max="10765" width="49.83203125" style="879" customWidth="1"/>
    <col min="10766" max="10766" width="44.83203125" style="879" customWidth="1"/>
    <col min="10767" max="10767" width="49.83203125" style="879" customWidth="1"/>
    <col min="10768" max="10768" width="50" style="879" customWidth="1"/>
    <col min="10769" max="10769" width="45" style="879" customWidth="1"/>
    <col min="10770" max="10771" width="50" style="879" customWidth="1"/>
    <col min="10772" max="10772" width="45" style="879" customWidth="1"/>
    <col min="10773" max="10773" width="50" style="879" customWidth="1"/>
    <col min="10774" max="10779" width="49.83203125" style="879" customWidth="1"/>
    <col min="10780" max="10780" width="37.1640625" style="879" customWidth="1"/>
    <col min="10781" max="10781" width="32.83203125" style="879" customWidth="1"/>
    <col min="10782" max="10782" width="40.83203125" style="879" customWidth="1"/>
    <col min="10783" max="10783" width="186.33203125" style="879" customWidth="1"/>
    <col min="10784" max="10999" width="9.33203125" style="879"/>
    <col min="11000" max="11000" width="186.33203125" style="879" customWidth="1"/>
    <col min="11001" max="11009" width="50" style="879" customWidth="1"/>
    <col min="11010" max="11010" width="186.33203125" style="879" customWidth="1"/>
    <col min="11011" max="11019" width="50" style="879" customWidth="1"/>
    <col min="11020" max="11020" width="186.33203125" style="879" customWidth="1"/>
    <col min="11021" max="11021" width="49.83203125" style="879" customWidth="1"/>
    <col min="11022" max="11022" width="44.83203125" style="879" customWidth="1"/>
    <col min="11023" max="11023" width="49.83203125" style="879" customWidth="1"/>
    <col min="11024" max="11024" width="50" style="879" customWidth="1"/>
    <col min="11025" max="11025" width="45" style="879" customWidth="1"/>
    <col min="11026" max="11027" width="50" style="879" customWidth="1"/>
    <col min="11028" max="11028" width="45" style="879" customWidth="1"/>
    <col min="11029" max="11029" width="50" style="879" customWidth="1"/>
    <col min="11030" max="11035" width="49.83203125" style="879" customWidth="1"/>
    <col min="11036" max="11036" width="37.1640625" style="879" customWidth="1"/>
    <col min="11037" max="11037" width="32.83203125" style="879" customWidth="1"/>
    <col min="11038" max="11038" width="40.83203125" style="879" customWidth="1"/>
    <col min="11039" max="11039" width="186.33203125" style="879" customWidth="1"/>
    <col min="11040" max="11255" width="9.33203125" style="879"/>
    <col min="11256" max="11256" width="186.33203125" style="879" customWidth="1"/>
    <col min="11257" max="11265" width="50" style="879" customWidth="1"/>
    <col min="11266" max="11266" width="186.33203125" style="879" customWidth="1"/>
    <col min="11267" max="11275" width="50" style="879" customWidth="1"/>
    <col min="11276" max="11276" width="186.33203125" style="879" customWidth="1"/>
    <col min="11277" max="11277" width="49.83203125" style="879" customWidth="1"/>
    <col min="11278" max="11278" width="44.83203125" style="879" customWidth="1"/>
    <col min="11279" max="11279" width="49.83203125" style="879" customWidth="1"/>
    <col min="11280" max="11280" width="50" style="879" customWidth="1"/>
    <col min="11281" max="11281" width="45" style="879" customWidth="1"/>
    <col min="11282" max="11283" width="50" style="879" customWidth="1"/>
    <col min="11284" max="11284" width="45" style="879" customWidth="1"/>
    <col min="11285" max="11285" width="50" style="879" customWidth="1"/>
    <col min="11286" max="11291" width="49.83203125" style="879" customWidth="1"/>
    <col min="11292" max="11292" width="37.1640625" style="879" customWidth="1"/>
    <col min="11293" max="11293" width="32.83203125" style="879" customWidth="1"/>
    <col min="11294" max="11294" width="40.83203125" style="879" customWidth="1"/>
    <col min="11295" max="11295" width="186.33203125" style="879" customWidth="1"/>
    <col min="11296" max="11511" width="9.33203125" style="879"/>
    <col min="11512" max="11512" width="186.33203125" style="879" customWidth="1"/>
    <col min="11513" max="11521" width="50" style="879" customWidth="1"/>
    <col min="11522" max="11522" width="186.33203125" style="879" customWidth="1"/>
    <col min="11523" max="11531" width="50" style="879" customWidth="1"/>
    <col min="11532" max="11532" width="186.33203125" style="879" customWidth="1"/>
    <col min="11533" max="11533" width="49.83203125" style="879" customWidth="1"/>
    <col min="11534" max="11534" width="44.83203125" style="879" customWidth="1"/>
    <col min="11535" max="11535" width="49.83203125" style="879" customWidth="1"/>
    <col min="11536" max="11536" width="50" style="879" customWidth="1"/>
    <col min="11537" max="11537" width="45" style="879" customWidth="1"/>
    <col min="11538" max="11539" width="50" style="879" customWidth="1"/>
    <col min="11540" max="11540" width="45" style="879" customWidth="1"/>
    <col min="11541" max="11541" width="50" style="879" customWidth="1"/>
    <col min="11542" max="11547" width="49.83203125" style="879" customWidth="1"/>
    <col min="11548" max="11548" width="37.1640625" style="879" customWidth="1"/>
    <col min="11549" max="11549" width="32.83203125" style="879" customWidth="1"/>
    <col min="11550" max="11550" width="40.83203125" style="879" customWidth="1"/>
    <col min="11551" max="11551" width="186.33203125" style="879" customWidth="1"/>
    <col min="11552" max="11767" width="9.33203125" style="879"/>
    <col min="11768" max="11768" width="186.33203125" style="879" customWidth="1"/>
    <col min="11769" max="11777" width="50" style="879" customWidth="1"/>
    <col min="11778" max="11778" width="186.33203125" style="879" customWidth="1"/>
    <col min="11779" max="11787" width="50" style="879" customWidth="1"/>
    <col min="11788" max="11788" width="186.33203125" style="879" customWidth="1"/>
    <col min="11789" max="11789" width="49.83203125" style="879" customWidth="1"/>
    <col min="11790" max="11790" width="44.83203125" style="879" customWidth="1"/>
    <col min="11791" max="11791" width="49.83203125" style="879" customWidth="1"/>
    <col min="11792" max="11792" width="50" style="879" customWidth="1"/>
    <col min="11793" max="11793" width="45" style="879" customWidth="1"/>
    <col min="11794" max="11795" width="50" style="879" customWidth="1"/>
    <col min="11796" max="11796" width="45" style="879" customWidth="1"/>
    <col min="11797" max="11797" width="50" style="879" customWidth="1"/>
    <col min="11798" max="11803" width="49.83203125" style="879" customWidth="1"/>
    <col min="11804" max="11804" width="37.1640625" style="879" customWidth="1"/>
    <col min="11805" max="11805" width="32.83203125" style="879" customWidth="1"/>
    <col min="11806" max="11806" width="40.83203125" style="879" customWidth="1"/>
    <col min="11807" max="11807" width="186.33203125" style="879" customWidth="1"/>
    <col min="11808" max="12023" width="9.33203125" style="879"/>
    <col min="12024" max="12024" width="186.33203125" style="879" customWidth="1"/>
    <col min="12025" max="12033" width="50" style="879" customWidth="1"/>
    <col min="12034" max="12034" width="186.33203125" style="879" customWidth="1"/>
    <col min="12035" max="12043" width="50" style="879" customWidth="1"/>
    <col min="12044" max="12044" width="186.33203125" style="879" customWidth="1"/>
    <col min="12045" max="12045" width="49.83203125" style="879" customWidth="1"/>
    <col min="12046" max="12046" width="44.83203125" style="879" customWidth="1"/>
    <col min="12047" max="12047" width="49.83203125" style="879" customWidth="1"/>
    <col min="12048" max="12048" width="50" style="879" customWidth="1"/>
    <col min="12049" max="12049" width="45" style="879" customWidth="1"/>
    <col min="12050" max="12051" width="50" style="879" customWidth="1"/>
    <col min="12052" max="12052" width="45" style="879" customWidth="1"/>
    <col min="12053" max="12053" width="50" style="879" customWidth="1"/>
    <col min="12054" max="12059" width="49.83203125" style="879" customWidth="1"/>
    <col min="12060" max="12060" width="37.1640625" style="879" customWidth="1"/>
    <col min="12061" max="12061" width="32.83203125" style="879" customWidth="1"/>
    <col min="12062" max="12062" width="40.83203125" style="879" customWidth="1"/>
    <col min="12063" max="12063" width="186.33203125" style="879" customWidth="1"/>
    <col min="12064" max="12279" width="9.33203125" style="879"/>
    <col min="12280" max="12280" width="186.33203125" style="879" customWidth="1"/>
    <col min="12281" max="12289" width="50" style="879" customWidth="1"/>
    <col min="12290" max="12290" width="186.33203125" style="879" customWidth="1"/>
    <col min="12291" max="12299" width="50" style="879" customWidth="1"/>
    <col min="12300" max="12300" width="186.33203125" style="879" customWidth="1"/>
    <col min="12301" max="12301" width="49.83203125" style="879" customWidth="1"/>
    <col min="12302" max="12302" width="44.83203125" style="879" customWidth="1"/>
    <col min="12303" max="12303" width="49.83203125" style="879" customWidth="1"/>
    <col min="12304" max="12304" width="50" style="879" customWidth="1"/>
    <col min="12305" max="12305" width="45" style="879" customWidth="1"/>
    <col min="12306" max="12307" width="50" style="879" customWidth="1"/>
    <col min="12308" max="12308" width="45" style="879" customWidth="1"/>
    <col min="12309" max="12309" width="50" style="879" customWidth="1"/>
    <col min="12310" max="12315" width="49.83203125" style="879" customWidth="1"/>
    <col min="12316" max="12316" width="37.1640625" style="879" customWidth="1"/>
    <col min="12317" max="12317" width="32.83203125" style="879" customWidth="1"/>
    <col min="12318" max="12318" width="40.83203125" style="879" customWidth="1"/>
    <col min="12319" max="12319" width="186.33203125" style="879" customWidth="1"/>
    <col min="12320" max="12535" width="9.33203125" style="879"/>
    <col min="12536" max="12536" width="186.33203125" style="879" customWidth="1"/>
    <col min="12537" max="12545" width="50" style="879" customWidth="1"/>
    <col min="12546" max="12546" width="186.33203125" style="879" customWidth="1"/>
    <col min="12547" max="12555" width="50" style="879" customWidth="1"/>
    <col min="12556" max="12556" width="186.33203125" style="879" customWidth="1"/>
    <col min="12557" max="12557" width="49.83203125" style="879" customWidth="1"/>
    <col min="12558" max="12558" width="44.83203125" style="879" customWidth="1"/>
    <col min="12559" max="12559" width="49.83203125" style="879" customWidth="1"/>
    <col min="12560" max="12560" width="50" style="879" customWidth="1"/>
    <col min="12561" max="12561" width="45" style="879" customWidth="1"/>
    <col min="12562" max="12563" width="50" style="879" customWidth="1"/>
    <col min="12564" max="12564" width="45" style="879" customWidth="1"/>
    <col min="12565" max="12565" width="50" style="879" customWidth="1"/>
    <col min="12566" max="12571" width="49.83203125" style="879" customWidth="1"/>
    <col min="12572" max="12572" width="37.1640625" style="879" customWidth="1"/>
    <col min="12573" max="12573" width="32.83203125" style="879" customWidth="1"/>
    <col min="12574" max="12574" width="40.83203125" style="879" customWidth="1"/>
    <col min="12575" max="12575" width="186.33203125" style="879" customWidth="1"/>
    <col min="12576" max="12791" width="9.33203125" style="879"/>
    <col min="12792" max="12792" width="186.33203125" style="879" customWidth="1"/>
    <col min="12793" max="12801" width="50" style="879" customWidth="1"/>
    <col min="12802" max="12802" width="186.33203125" style="879" customWidth="1"/>
    <col min="12803" max="12811" width="50" style="879" customWidth="1"/>
    <col min="12812" max="12812" width="186.33203125" style="879" customWidth="1"/>
    <col min="12813" max="12813" width="49.83203125" style="879" customWidth="1"/>
    <col min="12814" max="12814" width="44.83203125" style="879" customWidth="1"/>
    <col min="12815" max="12815" width="49.83203125" style="879" customWidth="1"/>
    <col min="12816" max="12816" width="50" style="879" customWidth="1"/>
    <col min="12817" max="12817" width="45" style="879" customWidth="1"/>
    <col min="12818" max="12819" width="50" style="879" customWidth="1"/>
    <col min="12820" max="12820" width="45" style="879" customWidth="1"/>
    <col min="12821" max="12821" width="50" style="879" customWidth="1"/>
    <col min="12822" max="12827" width="49.83203125" style="879" customWidth="1"/>
    <col min="12828" max="12828" width="37.1640625" style="879" customWidth="1"/>
    <col min="12829" max="12829" width="32.83203125" style="879" customWidth="1"/>
    <col min="12830" max="12830" width="40.83203125" style="879" customWidth="1"/>
    <col min="12831" max="12831" width="186.33203125" style="879" customWidth="1"/>
    <col min="12832" max="13047" width="9.33203125" style="879"/>
    <col min="13048" max="13048" width="186.33203125" style="879" customWidth="1"/>
    <col min="13049" max="13057" width="50" style="879" customWidth="1"/>
    <col min="13058" max="13058" width="186.33203125" style="879" customWidth="1"/>
    <col min="13059" max="13067" width="50" style="879" customWidth="1"/>
    <col min="13068" max="13068" width="186.33203125" style="879" customWidth="1"/>
    <col min="13069" max="13069" width="49.83203125" style="879" customWidth="1"/>
    <col min="13070" max="13070" width="44.83203125" style="879" customWidth="1"/>
    <col min="13071" max="13071" width="49.83203125" style="879" customWidth="1"/>
    <col min="13072" max="13072" width="50" style="879" customWidth="1"/>
    <col min="13073" max="13073" width="45" style="879" customWidth="1"/>
    <col min="13074" max="13075" width="50" style="879" customWidth="1"/>
    <col min="13076" max="13076" width="45" style="879" customWidth="1"/>
    <col min="13077" max="13077" width="50" style="879" customWidth="1"/>
    <col min="13078" max="13083" width="49.83203125" style="879" customWidth="1"/>
    <col min="13084" max="13084" width="37.1640625" style="879" customWidth="1"/>
    <col min="13085" max="13085" width="32.83203125" style="879" customWidth="1"/>
    <col min="13086" max="13086" width="40.83203125" style="879" customWidth="1"/>
    <col min="13087" max="13087" width="186.33203125" style="879" customWidth="1"/>
    <col min="13088" max="13303" width="9.33203125" style="879"/>
    <col min="13304" max="13304" width="186.33203125" style="879" customWidth="1"/>
    <col min="13305" max="13313" width="50" style="879" customWidth="1"/>
    <col min="13314" max="13314" width="186.33203125" style="879" customWidth="1"/>
    <col min="13315" max="13323" width="50" style="879" customWidth="1"/>
    <col min="13324" max="13324" width="186.33203125" style="879" customWidth="1"/>
    <col min="13325" max="13325" width="49.83203125" style="879" customWidth="1"/>
    <col min="13326" max="13326" width="44.83203125" style="879" customWidth="1"/>
    <col min="13327" max="13327" width="49.83203125" style="879" customWidth="1"/>
    <col min="13328" max="13328" width="50" style="879" customWidth="1"/>
    <col min="13329" max="13329" width="45" style="879" customWidth="1"/>
    <col min="13330" max="13331" width="50" style="879" customWidth="1"/>
    <col min="13332" max="13332" width="45" style="879" customWidth="1"/>
    <col min="13333" max="13333" width="50" style="879" customWidth="1"/>
    <col min="13334" max="13339" width="49.83203125" style="879" customWidth="1"/>
    <col min="13340" max="13340" width="37.1640625" style="879" customWidth="1"/>
    <col min="13341" max="13341" width="32.83203125" style="879" customWidth="1"/>
    <col min="13342" max="13342" width="40.83203125" style="879" customWidth="1"/>
    <col min="13343" max="13343" width="186.33203125" style="879" customWidth="1"/>
    <col min="13344" max="13559" width="9.33203125" style="879"/>
    <col min="13560" max="13560" width="186.33203125" style="879" customWidth="1"/>
    <col min="13561" max="13569" width="50" style="879" customWidth="1"/>
    <col min="13570" max="13570" width="186.33203125" style="879" customWidth="1"/>
    <col min="13571" max="13579" width="50" style="879" customWidth="1"/>
    <col min="13580" max="13580" width="186.33203125" style="879" customWidth="1"/>
    <col min="13581" max="13581" width="49.83203125" style="879" customWidth="1"/>
    <col min="13582" max="13582" width="44.83203125" style="879" customWidth="1"/>
    <col min="13583" max="13583" width="49.83203125" style="879" customWidth="1"/>
    <col min="13584" max="13584" width="50" style="879" customWidth="1"/>
    <col min="13585" max="13585" width="45" style="879" customWidth="1"/>
    <col min="13586" max="13587" width="50" style="879" customWidth="1"/>
    <col min="13588" max="13588" width="45" style="879" customWidth="1"/>
    <col min="13589" max="13589" width="50" style="879" customWidth="1"/>
    <col min="13590" max="13595" width="49.83203125" style="879" customWidth="1"/>
    <col min="13596" max="13596" width="37.1640625" style="879" customWidth="1"/>
    <col min="13597" max="13597" width="32.83203125" style="879" customWidth="1"/>
    <col min="13598" max="13598" width="40.83203125" style="879" customWidth="1"/>
    <col min="13599" max="13599" width="186.33203125" style="879" customWidth="1"/>
    <col min="13600" max="13815" width="9.33203125" style="879"/>
    <col min="13816" max="13816" width="186.33203125" style="879" customWidth="1"/>
    <col min="13817" max="13825" width="50" style="879" customWidth="1"/>
    <col min="13826" max="13826" width="186.33203125" style="879" customWidth="1"/>
    <col min="13827" max="13835" width="50" style="879" customWidth="1"/>
    <col min="13836" max="13836" width="186.33203125" style="879" customWidth="1"/>
    <col min="13837" max="13837" width="49.83203125" style="879" customWidth="1"/>
    <col min="13838" max="13838" width="44.83203125" style="879" customWidth="1"/>
    <col min="13839" max="13839" width="49.83203125" style="879" customWidth="1"/>
    <col min="13840" max="13840" width="50" style="879" customWidth="1"/>
    <col min="13841" max="13841" width="45" style="879" customWidth="1"/>
    <col min="13842" max="13843" width="50" style="879" customWidth="1"/>
    <col min="13844" max="13844" width="45" style="879" customWidth="1"/>
    <col min="13845" max="13845" width="50" style="879" customWidth="1"/>
    <col min="13846" max="13851" width="49.83203125" style="879" customWidth="1"/>
    <col min="13852" max="13852" width="37.1640625" style="879" customWidth="1"/>
    <col min="13853" max="13853" width="32.83203125" style="879" customWidth="1"/>
    <col min="13854" max="13854" width="40.83203125" style="879" customWidth="1"/>
    <col min="13855" max="13855" width="186.33203125" style="879" customWidth="1"/>
    <col min="13856" max="14071" width="9.33203125" style="879"/>
    <col min="14072" max="14072" width="186.33203125" style="879" customWidth="1"/>
    <col min="14073" max="14081" width="50" style="879" customWidth="1"/>
    <col min="14082" max="14082" width="186.33203125" style="879" customWidth="1"/>
    <col min="14083" max="14091" width="50" style="879" customWidth="1"/>
    <col min="14092" max="14092" width="186.33203125" style="879" customWidth="1"/>
    <col min="14093" max="14093" width="49.83203125" style="879" customWidth="1"/>
    <col min="14094" max="14094" width="44.83203125" style="879" customWidth="1"/>
    <col min="14095" max="14095" width="49.83203125" style="879" customWidth="1"/>
    <col min="14096" max="14096" width="50" style="879" customWidth="1"/>
    <col min="14097" max="14097" width="45" style="879" customWidth="1"/>
    <col min="14098" max="14099" width="50" style="879" customWidth="1"/>
    <col min="14100" max="14100" width="45" style="879" customWidth="1"/>
    <col min="14101" max="14101" width="50" style="879" customWidth="1"/>
    <col min="14102" max="14107" width="49.83203125" style="879" customWidth="1"/>
    <col min="14108" max="14108" width="37.1640625" style="879" customWidth="1"/>
    <col min="14109" max="14109" width="32.83203125" style="879" customWidth="1"/>
    <col min="14110" max="14110" width="40.83203125" style="879" customWidth="1"/>
    <col min="14111" max="14111" width="186.33203125" style="879" customWidth="1"/>
    <col min="14112" max="14327" width="9.33203125" style="879"/>
    <col min="14328" max="14328" width="186.33203125" style="879" customWidth="1"/>
    <col min="14329" max="14337" width="50" style="879" customWidth="1"/>
    <col min="14338" max="14338" width="186.33203125" style="879" customWidth="1"/>
    <col min="14339" max="14347" width="50" style="879" customWidth="1"/>
    <col min="14348" max="14348" width="186.33203125" style="879" customWidth="1"/>
    <col min="14349" max="14349" width="49.83203125" style="879" customWidth="1"/>
    <col min="14350" max="14350" width="44.83203125" style="879" customWidth="1"/>
    <col min="14351" max="14351" width="49.83203125" style="879" customWidth="1"/>
    <col min="14352" max="14352" width="50" style="879" customWidth="1"/>
    <col min="14353" max="14353" width="45" style="879" customWidth="1"/>
    <col min="14354" max="14355" width="50" style="879" customWidth="1"/>
    <col min="14356" max="14356" width="45" style="879" customWidth="1"/>
    <col min="14357" max="14357" width="50" style="879" customWidth="1"/>
    <col min="14358" max="14363" width="49.83203125" style="879" customWidth="1"/>
    <col min="14364" max="14364" width="37.1640625" style="879" customWidth="1"/>
    <col min="14365" max="14365" width="32.83203125" style="879" customWidth="1"/>
    <col min="14366" max="14366" width="40.83203125" style="879" customWidth="1"/>
    <col min="14367" max="14367" width="186.33203125" style="879" customWidth="1"/>
    <col min="14368" max="14583" width="9.33203125" style="879"/>
    <col min="14584" max="14584" width="186.33203125" style="879" customWidth="1"/>
    <col min="14585" max="14593" width="50" style="879" customWidth="1"/>
    <col min="14594" max="14594" width="186.33203125" style="879" customWidth="1"/>
    <col min="14595" max="14603" width="50" style="879" customWidth="1"/>
    <col min="14604" max="14604" width="186.33203125" style="879" customWidth="1"/>
    <col min="14605" max="14605" width="49.83203125" style="879" customWidth="1"/>
    <col min="14606" max="14606" width="44.83203125" style="879" customWidth="1"/>
    <col min="14607" max="14607" width="49.83203125" style="879" customWidth="1"/>
    <col min="14608" max="14608" width="50" style="879" customWidth="1"/>
    <col min="14609" max="14609" width="45" style="879" customWidth="1"/>
    <col min="14610" max="14611" width="50" style="879" customWidth="1"/>
    <col min="14612" max="14612" width="45" style="879" customWidth="1"/>
    <col min="14613" max="14613" width="50" style="879" customWidth="1"/>
    <col min="14614" max="14619" width="49.83203125" style="879" customWidth="1"/>
    <col min="14620" max="14620" width="37.1640625" style="879" customWidth="1"/>
    <col min="14621" max="14621" width="32.83203125" style="879" customWidth="1"/>
    <col min="14622" max="14622" width="40.83203125" style="879" customWidth="1"/>
    <col min="14623" max="14623" width="186.33203125" style="879" customWidth="1"/>
    <col min="14624" max="14839" width="9.33203125" style="879"/>
    <col min="14840" max="14840" width="186.33203125" style="879" customWidth="1"/>
    <col min="14841" max="14849" width="50" style="879" customWidth="1"/>
    <col min="14850" max="14850" width="186.33203125" style="879" customWidth="1"/>
    <col min="14851" max="14859" width="50" style="879" customWidth="1"/>
    <col min="14860" max="14860" width="186.33203125" style="879" customWidth="1"/>
    <col min="14861" max="14861" width="49.83203125" style="879" customWidth="1"/>
    <col min="14862" max="14862" width="44.83203125" style="879" customWidth="1"/>
    <col min="14863" max="14863" width="49.83203125" style="879" customWidth="1"/>
    <col min="14864" max="14864" width="50" style="879" customWidth="1"/>
    <col min="14865" max="14865" width="45" style="879" customWidth="1"/>
    <col min="14866" max="14867" width="50" style="879" customWidth="1"/>
    <col min="14868" max="14868" width="45" style="879" customWidth="1"/>
    <col min="14869" max="14869" width="50" style="879" customWidth="1"/>
    <col min="14870" max="14875" width="49.83203125" style="879" customWidth="1"/>
    <col min="14876" max="14876" width="37.1640625" style="879" customWidth="1"/>
    <col min="14877" max="14877" width="32.83203125" style="879" customWidth="1"/>
    <col min="14878" max="14878" width="40.83203125" style="879" customWidth="1"/>
    <col min="14879" max="14879" width="186.33203125" style="879" customWidth="1"/>
    <col min="14880" max="15095" width="9.33203125" style="879"/>
    <col min="15096" max="15096" width="186.33203125" style="879" customWidth="1"/>
    <col min="15097" max="15105" width="50" style="879" customWidth="1"/>
    <col min="15106" max="15106" width="186.33203125" style="879" customWidth="1"/>
    <col min="15107" max="15115" width="50" style="879" customWidth="1"/>
    <col min="15116" max="15116" width="186.33203125" style="879" customWidth="1"/>
    <col min="15117" max="15117" width="49.83203125" style="879" customWidth="1"/>
    <col min="15118" max="15118" width="44.83203125" style="879" customWidth="1"/>
    <col min="15119" max="15119" width="49.83203125" style="879" customWidth="1"/>
    <col min="15120" max="15120" width="50" style="879" customWidth="1"/>
    <col min="15121" max="15121" width="45" style="879" customWidth="1"/>
    <col min="15122" max="15123" width="50" style="879" customWidth="1"/>
    <col min="15124" max="15124" width="45" style="879" customWidth="1"/>
    <col min="15125" max="15125" width="50" style="879" customWidth="1"/>
    <col min="15126" max="15131" width="49.83203125" style="879" customWidth="1"/>
    <col min="15132" max="15132" width="37.1640625" style="879" customWidth="1"/>
    <col min="15133" max="15133" width="32.83203125" style="879" customWidth="1"/>
    <col min="15134" max="15134" width="40.83203125" style="879" customWidth="1"/>
    <col min="15135" max="15135" width="186.33203125" style="879" customWidth="1"/>
    <col min="15136" max="15351" width="9.33203125" style="879"/>
    <col min="15352" max="15352" width="186.33203125" style="879" customWidth="1"/>
    <col min="15353" max="15361" width="50" style="879" customWidth="1"/>
    <col min="15362" max="15362" width="186.33203125" style="879" customWidth="1"/>
    <col min="15363" max="15371" width="50" style="879" customWidth="1"/>
    <col min="15372" max="15372" width="186.33203125" style="879" customWidth="1"/>
    <col min="15373" max="15373" width="49.83203125" style="879" customWidth="1"/>
    <col min="15374" max="15374" width="44.83203125" style="879" customWidth="1"/>
    <col min="15375" max="15375" width="49.83203125" style="879" customWidth="1"/>
    <col min="15376" max="15376" width="50" style="879" customWidth="1"/>
    <col min="15377" max="15377" width="45" style="879" customWidth="1"/>
    <col min="15378" max="15379" width="50" style="879" customWidth="1"/>
    <col min="15380" max="15380" width="45" style="879" customWidth="1"/>
    <col min="15381" max="15381" width="50" style="879" customWidth="1"/>
    <col min="15382" max="15387" width="49.83203125" style="879" customWidth="1"/>
    <col min="15388" max="15388" width="37.1640625" style="879" customWidth="1"/>
    <col min="15389" max="15389" width="32.83203125" style="879" customWidth="1"/>
    <col min="15390" max="15390" width="40.83203125" style="879" customWidth="1"/>
    <col min="15391" max="15391" width="186.33203125" style="879" customWidth="1"/>
    <col min="15392" max="15607" width="9.33203125" style="879"/>
    <col min="15608" max="15608" width="186.33203125" style="879" customWidth="1"/>
    <col min="15609" max="15617" width="50" style="879" customWidth="1"/>
    <col min="15618" max="15618" width="186.33203125" style="879" customWidth="1"/>
    <col min="15619" max="15627" width="50" style="879" customWidth="1"/>
    <col min="15628" max="15628" width="186.33203125" style="879" customWidth="1"/>
    <col min="15629" max="15629" width="49.83203125" style="879" customWidth="1"/>
    <col min="15630" max="15630" width="44.83203125" style="879" customWidth="1"/>
    <col min="15631" max="15631" width="49.83203125" style="879" customWidth="1"/>
    <col min="15632" max="15632" width="50" style="879" customWidth="1"/>
    <col min="15633" max="15633" width="45" style="879" customWidth="1"/>
    <col min="15634" max="15635" width="50" style="879" customWidth="1"/>
    <col min="15636" max="15636" width="45" style="879" customWidth="1"/>
    <col min="15637" max="15637" width="50" style="879" customWidth="1"/>
    <col min="15638" max="15643" width="49.83203125" style="879" customWidth="1"/>
    <col min="15644" max="15644" width="37.1640625" style="879" customWidth="1"/>
    <col min="15645" max="15645" width="32.83203125" style="879" customWidth="1"/>
    <col min="15646" max="15646" width="40.83203125" style="879" customWidth="1"/>
    <col min="15647" max="15647" width="186.33203125" style="879" customWidth="1"/>
    <col min="15648" max="15863" width="9.33203125" style="879"/>
    <col min="15864" max="15864" width="186.33203125" style="879" customWidth="1"/>
    <col min="15865" max="15873" width="50" style="879" customWidth="1"/>
    <col min="15874" max="15874" width="186.33203125" style="879" customWidth="1"/>
    <col min="15875" max="15883" width="50" style="879" customWidth="1"/>
    <col min="15884" max="15884" width="186.33203125" style="879" customWidth="1"/>
    <col min="15885" max="15885" width="49.83203125" style="879" customWidth="1"/>
    <col min="15886" max="15886" width="44.83203125" style="879" customWidth="1"/>
    <col min="15887" max="15887" width="49.83203125" style="879" customWidth="1"/>
    <col min="15888" max="15888" width="50" style="879" customWidth="1"/>
    <col min="15889" max="15889" width="45" style="879" customWidth="1"/>
    <col min="15890" max="15891" width="50" style="879" customWidth="1"/>
    <col min="15892" max="15892" width="45" style="879" customWidth="1"/>
    <col min="15893" max="15893" width="50" style="879" customWidth="1"/>
    <col min="15894" max="15899" width="49.83203125" style="879" customWidth="1"/>
    <col min="15900" max="15900" width="37.1640625" style="879" customWidth="1"/>
    <col min="15901" max="15901" width="32.83203125" style="879" customWidth="1"/>
    <col min="15902" max="15902" width="40.83203125" style="879" customWidth="1"/>
    <col min="15903" max="15903" width="186.33203125" style="879" customWidth="1"/>
    <col min="15904" max="16119" width="9.33203125" style="879"/>
    <col min="16120" max="16120" width="186.33203125" style="879" customWidth="1"/>
    <col min="16121" max="16129" width="50" style="879" customWidth="1"/>
    <col min="16130" max="16130" width="186.33203125" style="879" customWidth="1"/>
    <col min="16131" max="16139" width="50" style="879" customWidth="1"/>
    <col min="16140" max="16140" width="186.33203125" style="879" customWidth="1"/>
    <col min="16141" max="16141" width="49.83203125" style="879" customWidth="1"/>
    <col min="16142" max="16142" width="44.83203125" style="879" customWidth="1"/>
    <col min="16143" max="16143" width="49.83203125" style="879" customWidth="1"/>
    <col min="16144" max="16144" width="50" style="879" customWidth="1"/>
    <col min="16145" max="16145" width="45" style="879" customWidth="1"/>
    <col min="16146" max="16147" width="50" style="879" customWidth="1"/>
    <col min="16148" max="16148" width="45" style="879" customWidth="1"/>
    <col min="16149" max="16149" width="50" style="879" customWidth="1"/>
    <col min="16150" max="16155" width="49.83203125" style="879" customWidth="1"/>
    <col min="16156" max="16156" width="37.1640625" style="879" customWidth="1"/>
    <col min="16157" max="16157" width="32.83203125" style="879" customWidth="1"/>
    <col min="16158" max="16158" width="40.83203125" style="879" customWidth="1"/>
    <col min="16159" max="16159" width="186.33203125" style="879" customWidth="1"/>
    <col min="16160" max="16384" width="9.33203125" style="879"/>
  </cols>
  <sheetData>
    <row r="1" spans="1:36" ht="38.25" customHeight="1" x14ac:dyDescent="0.6"/>
    <row r="2" spans="1:36" ht="54" customHeight="1" x14ac:dyDescent="0.6">
      <c r="B2" s="1002" t="s">
        <v>389</v>
      </c>
      <c r="C2" s="1002"/>
      <c r="D2" s="1002"/>
      <c r="E2" s="1002"/>
      <c r="F2" s="1002"/>
      <c r="G2" s="1002"/>
      <c r="H2" s="1002"/>
      <c r="I2" s="1002"/>
      <c r="J2" s="1002"/>
      <c r="L2" s="1002" t="s">
        <v>389</v>
      </c>
      <c r="M2" s="1002"/>
      <c r="N2" s="1002"/>
      <c r="O2" s="1002"/>
      <c r="P2" s="1002"/>
      <c r="Q2" s="1002"/>
      <c r="R2" s="1002"/>
      <c r="S2" s="1002"/>
      <c r="T2" s="1002"/>
      <c r="V2" s="1002" t="s">
        <v>389</v>
      </c>
      <c r="W2" s="1002"/>
      <c r="X2" s="1002"/>
      <c r="Y2" s="1002"/>
      <c r="Z2" s="1002"/>
      <c r="AA2" s="1002"/>
      <c r="AB2" s="1002"/>
      <c r="AC2" s="1002"/>
      <c r="AD2" s="1002"/>
      <c r="AE2" s="1002"/>
      <c r="AF2" s="1002"/>
      <c r="AG2" s="1002"/>
      <c r="AH2" s="1002"/>
      <c r="AI2" s="1002"/>
      <c r="AJ2" s="1002"/>
    </row>
    <row r="3" spans="1:36" ht="54" customHeight="1" x14ac:dyDescent="0.6">
      <c r="A3" s="878"/>
      <c r="B3" s="1002" t="s">
        <v>1084</v>
      </c>
      <c r="C3" s="1002"/>
      <c r="D3" s="1002"/>
      <c r="E3" s="1002"/>
      <c r="F3" s="1002"/>
      <c r="G3" s="1002"/>
      <c r="H3" s="1002"/>
      <c r="I3" s="1002"/>
      <c r="J3" s="1002"/>
      <c r="K3" s="878"/>
      <c r="L3" s="1002" t="s">
        <v>1084</v>
      </c>
      <c r="M3" s="1002"/>
      <c r="N3" s="1002"/>
      <c r="O3" s="1002"/>
      <c r="P3" s="1002"/>
      <c r="Q3" s="1002"/>
      <c r="R3" s="1002"/>
      <c r="S3" s="1002"/>
      <c r="T3" s="1002"/>
      <c r="U3" s="878"/>
      <c r="V3" s="1002" t="s">
        <v>1084</v>
      </c>
      <c r="W3" s="1002"/>
      <c r="X3" s="1002"/>
      <c r="Y3" s="1002"/>
      <c r="Z3" s="1002"/>
      <c r="AA3" s="1002"/>
      <c r="AB3" s="1002"/>
      <c r="AC3" s="1002"/>
      <c r="AD3" s="1002"/>
      <c r="AE3" s="1002"/>
      <c r="AF3" s="1002"/>
      <c r="AG3" s="1002"/>
      <c r="AH3" s="1002"/>
      <c r="AI3" s="1002"/>
      <c r="AJ3" s="1002"/>
    </row>
    <row r="4" spans="1:36" ht="62.25" customHeight="1" thickBot="1" x14ac:dyDescent="0.65">
      <c r="A4" s="878"/>
      <c r="K4" s="878"/>
      <c r="U4" s="878"/>
    </row>
    <row r="5" spans="1:36" s="880" customFormat="1" ht="55.5" customHeight="1" x14ac:dyDescent="0.6">
      <c r="A5" s="991" t="s">
        <v>1085</v>
      </c>
      <c r="B5" s="993" t="s">
        <v>430</v>
      </c>
      <c r="C5" s="994"/>
      <c r="D5" s="995"/>
      <c r="E5" s="993" t="s">
        <v>431</v>
      </c>
      <c r="F5" s="994"/>
      <c r="G5" s="995"/>
      <c r="H5" s="993" t="s">
        <v>432</v>
      </c>
      <c r="I5" s="994"/>
      <c r="J5" s="995"/>
      <c r="K5" s="991" t="s">
        <v>1085</v>
      </c>
      <c r="L5" s="993" t="s">
        <v>433</v>
      </c>
      <c r="M5" s="994"/>
      <c r="N5" s="995"/>
      <c r="O5" s="993" t="s">
        <v>614</v>
      </c>
      <c r="P5" s="994"/>
      <c r="Q5" s="995"/>
      <c r="R5" s="993" t="s">
        <v>412</v>
      </c>
      <c r="S5" s="994"/>
      <c r="T5" s="995"/>
      <c r="U5" s="991" t="s">
        <v>1085</v>
      </c>
      <c r="V5" s="982" t="s">
        <v>1086</v>
      </c>
      <c r="W5" s="983"/>
      <c r="X5" s="984"/>
      <c r="Y5" s="982" t="s">
        <v>1087</v>
      </c>
      <c r="Z5" s="983"/>
      <c r="AA5" s="984"/>
      <c r="AB5" s="982" t="s">
        <v>436</v>
      </c>
      <c r="AC5" s="983"/>
      <c r="AD5" s="984"/>
      <c r="AE5" s="982" t="s">
        <v>413</v>
      </c>
      <c r="AF5" s="983"/>
      <c r="AG5" s="984"/>
      <c r="AH5" s="982" t="s">
        <v>1088</v>
      </c>
      <c r="AI5" s="983"/>
      <c r="AJ5" s="984"/>
    </row>
    <row r="6" spans="1:36" s="880" customFormat="1" ht="54" customHeight="1" x14ac:dyDescent="0.6">
      <c r="A6" s="992"/>
      <c r="B6" s="996"/>
      <c r="C6" s="997"/>
      <c r="D6" s="998"/>
      <c r="E6" s="996"/>
      <c r="F6" s="997"/>
      <c r="G6" s="998"/>
      <c r="H6" s="996"/>
      <c r="I6" s="997"/>
      <c r="J6" s="998"/>
      <c r="K6" s="992"/>
      <c r="L6" s="996"/>
      <c r="M6" s="997"/>
      <c r="N6" s="998"/>
      <c r="O6" s="996"/>
      <c r="P6" s="997"/>
      <c r="Q6" s="998"/>
      <c r="R6" s="996"/>
      <c r="S6" s="997"/>
      <c r="T6" s="998"/>
      <c r="U6" s="992"/>
      <c r="V6" s="985"/>
      <c r="W6" s="986"/>
      <c r="X6" s="987"/>
      <c r="Y6" s="985"/>
      <c r="Z6" s="986"/>
      <c r="AA6" s="987"/>
      <c r="AB6" s="985"/>
      <c r="AC6" s="986"/>
      <c r="AD6" s="987"/>
      <c r="AE6" s="985"/>
      <c r="AF6" s="986"/>
      <c r="AG6" s="987"/>
      <c r="AH6" s="985"/>
      <c r="AI6" s="986"/>
      <c r="AJ6" s="987"/>
    </row>
    <row r="7" spans="1:36" s="881" customFormat="1" ht="94.5" customHeight="1" thickBot="1" x14ac:dyDescent="0.65">
      <c r="A7" s="852" t="s">
        <v>1072</v>
      </c>
      <c r="B7" s="999"/>
      <c r="C7" s="1000"/>
      <c r="D7" s="1001"/>
      <c r="E7" s="999"/>
      <c r="F7" s="1000"/>
      <c r="G7" s="1001"/>
      <c r="H7" s="999"/>
      <c r="I7" s="1000"/>
      <c r="J7" s="1001"/>
      <c r="K7" s="852" t="s">
        <v>1072</v>
      </c>
      <c r="L7" s="999"/>
      <c r="M7" s="1000"/>
      <c r="N7" s="1001"/>
      <c r="O7" s="999"/>
      <c r="P7" s="1000"/>
      <c r="Q7" s="1001"/>
      <c r="R7" s="999"/>
      <c r="S7" s="1000"/>
      <c r="T7" s="1001"/>
      <c r="U7" s="852" t="s">
        <v>1072</v>
      </c>
      <c r="V7" s="988"/>
      <c r="W7" s="989"/>
      <c r="X7" s="990"/>
      <c r="Y7" s="988"/>
      <c r="Z7" s="989"/>
      <c r="AA7" s="990"/>
      <c r="AB7" s="988"/>
      <c r="AC7" s="989"/>
      <c r="AD7" s="990"/>
      <c r="AE7" s="988"/>
      <c r="AF7" s="989"/>
      <c r="AG7" s="990"/>
      <c r="AH7" s="988"/>
      <c r="AI7" s="989"/>
      <c r="AJ7" s="990"/>
    </row>
    <row r="8" spans="1:36" s="881" customFormat="1" ht="148.5" customHeight="1" thickBot="1" x14ac:dyDescent="0.65">
      <c r="A8" s="882"/>
      <c r="B8" s="835" t="s">
        <v>1013</v>
      </c>
      <c r="C8" s="835" t="s">
        <v>1014</v>
      </c>
      <c r="D8" s="835" t="s">
        <v>1015</v>
      </c>
      <c r="E8" s="835" t="s">
        <v>1013</v>
      </c>
      <c r="F8" s="835" t="s">
        <v>1014</v>
      </c>
      <c r="G8" s="835" t="s">
        <v>1015</v>
      </c>
      <c r="H8" s="835" t="s">
        <v>1013</v>
      </c>
      <c r="I8" s="835" t="s">
        <v>1014</v>
      </c>
      <c r="J8" s="835" t="s">
        <v>1015</v>
      </c>
      <c r="K8" s="882"/>
      <c r="L8" s="835" t="s">
        <v>1013</v>
      </c>
      <c r="M8" s="835" t="s">
        <v>1014</v>
      </c>
      <c r="N8" s="835" t="s">
        <v>1015</v>
      </c>
      <c r="O8" s="835" t="s">
        <v>1013</v>
      </c>
      <c r="P8" s="835" t="s">
        <v>1014</v>
      </c>
      <c r="Q8" s="835" t="s">
        <v>1015</v>
      </c>
      <c r="R8" s="835" t="s">
        <v>1013</v>
      </c>
      <c r="S8" s="835" t="s">
        <v>1014</v>
      </c>
      <c r="T8" s="835" t="s">
        <v>1015</v>
      </c>
      <c r="U8" s="882"/>
      <c r="V8" s="835" t="s">
        <v>1013</v>
      </c>
      <c r="W8" s="835" t="s">
        <v>1014</v>
      </c>
      <c r="X8" s="835" t="s">
        <v>1015</v>
      </c>
      <c r="Y8" s="835" t="s">
        <v>1013</v>
      </c>
      <c r="Z8" s="835" t="s">
        <v>1014</v>
      </c>
      <c r="AA8" s="835" t="s">
        <v>1015</v>
      </c>
      <c r="AB8" s="835" t="s">
        <v>1013</v>
      </c>
      <c r="AC8" s="835" t="s">
        <v>1014</v>
      </c>
      <c r="AD8" s="835" t="s">
        <v>1015</v>
      </c>
      <c r="AE8" s="835" t="s">
        <v>1013</v>
      </c>
      <c r="AF8" s="835" t="s">
        <v>1014</v>
      </c>
      <c r="AG8" s="835" t="s">
        <v>1015</v>
      </c>
      <c r="AH8" s="835" t="s">
        <v>1013</v>
      </c>
      <c r="AI8" s="835" t="s">
        <v>1014</v>
      </c>
      <c r="AJ8" s="835" t="s">
        <v>1015</v>
      </c>
    </row>
    <row r="9" spans="1:36" s="878" customFormat="1" ht="45.75" customHeight="1" x14ac:dyDescent="0.6">
      <c r="A9" s="836" t="s">
        <v>1075</v>
      </c>
      <c r="B9" s="883"/>
      <c r="C9" s="883"/>
      <c r="D9" s="883"/>
      <c r="E9" s="883"/>
      <c r="F9" s="883"/>
      <c r="G9" s="883"/>
      <c r="H9" s="883"/>
      <c r="I9" s="883"/>
      <c r="J9" s="883"/>
      <c r="K9" s="836" t="s">
        <v>1075</v>
      </c>
      <c r="L9" s="883"/>
      <c r="M9" s="883"/>
      <c r="N9" s="883"/>
      <c r="O9" s="883"/>
      <c r="P9" s="883"/>
      <c r="Q9" s="883"/>
      <c r="R9" s="883"/>
      <c r="S9" s="883"/>
      <c r="T9" s="883"/>
      <c r="U9" s="836" t="s">
        <v>1075</v>
      </c>
      <c r="V9" s="884"/>
      <c r="W9" s="884"/>
      <c r="X9" s="884"/>
      <c r="Y9" s="884"/>
      <c r="Z9" s="884"/>
      <c r="AA9" s="884"/>
      <c r="AB9" s="883"/>
      <c r="AC9" s="883"/>
      <c r="AD9" s="883"/>
      <c r="AE9" s="884"/>
      <c r="AF9" s="884"/>
      <c r="AG9" s="884"/>
      <c r="AH9" s="884"/>
      <c r="AI9" s="884"/>
      <c r="AJ9" s="884"/>
    </row>
    <row r="10" spans="1:36" s="878" customFormat="1" ht="48.75" customHeight="1" x14ac:dyDescent="0.6">
      <c r="A10" s="839" t="s">
        <v>1022</v>
      </c>
      <c r="B10" s="885">
        <f>'[4]int.kiadások RM II'!D10</f>
        <v>125118</v>
      </c>
      <c r="C10" s="886">
        <f>-69+214</f>
        <v>145</v>
      </c>
      <c r="D10" s="885">
        <f>SUM(B10:C10)</f>
        <v>125263</v>
      </c>
      <c r="E10" s="885">
        <f>'[4]int.kiadások RM II'!G10</f>
        <v>26813</v>
      </c>
      <c r="F10" s="885">
        <v>-973</v>
      </c>
      <c r="G10" s="885">
        <f t="shared" ref="G10:G27" si="0">SUM(E10:F10)</f>
        <v>25840</v>
      </c>
      <c r="H10" s="885">
        <f>'[4]int.kiadások RM II'!J10</f>
        <v>4546</v>
      </c>
      <c r="I10" s="885">
        <v>165</v>
      </c>
      <c r="J10" s="885">
        <f>SUM(H10:I10)</f>
        <v>4711</v>
      </c>
      <c r="K10" s="839" t="s">
        <v>1022</v>
      </c>
      <c r="L10" s="885">
        <f>'[4]int.kiadások RM II'!N10</f>
        <v>0</v>
      </c>
      <c r="M10" s="885"/>
      <c r="N10" s="885">
        <f>SUM(L10:M10)</f>
        <v>0</v>
      </c>
      <c r="O10" s="885">
        <f>'[4]int.kiadások RM II'!Q10</f>
        <v>0</v>
      </c>
      <c r="P10" s="885"/>
      <c r="Q10" s="885">
        <f>SUM(O10:P10)</f>
        <v>0</v>
      </c>
      <c r="R10" s="885">
        <f>B10+E10+H10+L10+O10</f>
        <v>156477</v>
      </c>
      <c r="S10" s="885">
        <f>C10+F10+I10+M10+P10</f>
        <v>-663</v>
      </c>
      <c r="T10" s="885">
        <f>D10+G10+J10+N10+Q10</f>
        <v>155814</v>
      </c>
      <c r="U10" s="839" t="s">
        <v>1022</v>
      </c>
      <c r="V10" s="885">
        <f>'[4]int.kiadások RM II'!X10</f>
        <v>11401</v>
      </c>
      <c r="W10" s="885">
        <f>445+100</f>
        <v>545</v>
      </c>
      <c r="X10" s="885">
        <f>SUM(V10:W10)</f>
        <v>11946</v>
      </c>
      <c r="Y10" s="885">
        <f>'[4]int.kiadások RM II'!AA10</f>
        <v>0</v>
      </c>
      <c r="Z10" s="885"/>
      <c r="AA10" s="885">
        <f>SUM(Y10:Z10)</f>
        <v>0</v>
      </c>
      <c r="AB10" s="885">
        <f>'[4]int.kiadások RM II'!AD10</f>
        <v>0</v>
      </c>
      <c r="AC10" s="885"/>
      <c r="AD10" s="885">
        <f>SUM(AB10:AC10)</f>
        <v>0</v>
      </c>
      <c r="AE10" s="885">
        <f>V10+Y10+AB10</f>
        <v>11401</v>
      </c>
      <c r="AF10" s="885">
        <f>W10+Z10+AC10</f>
        <v>545</v>
      </c>
      <c r="AG10" s="885">
        <f>X10+AA10+AD10</f>
        <v>11946</v>
      </c>
      <c r="AH10" s="885">
        <f t="shared" ref="AH10:AJ29" si="1">R10+AE10</f>
        <v>167878</v>
      </c>
      <c r="AI10" s="885">
        <f t="shared" si="1"/>
        <v>-118</v>
      </c>
      <c r="AJ10" s="885">
        <f t="shared" si="1"/>
        <v>167760</v>
      </c>
    </row>
    <row r="11" spans="1:36" s="878" customFormat="1" ht="48.75" customHeight="1" x14ac:dyDescent="0.6">
      <c r="A11" s="841" t="s">
        <v>1023</v>
      </c>
      <c r="B11" s="885">
        <f>'[4]int.kiadások RM II'!D11</f>
        <v>86802</v>
      </c>
      <c r="C11" s="885">
        <f>-496+240</f>
        <v>-256</v>
      </c>
      <c r="D11" s="885">
        <f t="shared" ref="D11:D37" si="2">SUM(B11:C11)</f>
        <v>86546</v>
      </c>
      <c r="E11" s="885">
        <f>'[4]int.kiadások RM II'!G11</f>
        <v>17215</v>
      </c>
      <c r="F11" s="885">
        <f>-87-674</f>
        <v>-761</v>
      </c>
      <c r="G11" s="885">
        <f t="shared" si="0"/>
        <v>16454</v>
      </c>
      <c r="H11" s="885">
        <f>'[4]int.kiadások RM II'!J11</f>
        <v>3262</v>
      </c>
      <c r="I11" s="885">
        <v>906</v>
      </c>
      <c r="J11" s="885">
        <f t="shared" ref="J11:J27" si="3">SUM(H11:I11)</f>
        <v>4168</v>
      </c>
      <c r="K11" s="841" t="s">
        <v>1023</v>
      </c>
      <c r="L11" s="885">
        <f>'[4]int.kiadások RM II'!N11</f>
        <v>0</v>
      </c>
      <c r="M11" s="885"/>
      <c r="N11" s="885">
        <f t="shared" ref="N11:N27" si="4">SUM(L11:M11)</f>
        <v>0</v>
      </c>
      <c r="O11" s="885">
        <f>'[4]int.kiadások RM II'!Q11</f>
        <v>0</v>
      </c>
      <c r="P11" s="885"/>
      <c r="Q11" s="885">
        <f t="shared" ref="Q11:Q27" si="5">SUM(O11:P11)</f>
        <v>0</v>
      </c>
      <c r="R11" s="885">
        <f t="shared" ref="R11:T27" si="6">B11+E11+H11+L11+O11</f>
        <v>107279</v>
      </c>
      <c r="S11" s="885">
        <f t="shared" si="6"/>
        <v>-111</v>
      </c>
      <c r="T11" s="885">
        <f t="shared" si="6"/>
        <v>107168</v>
      </c>
      <c r="U11" s="841" t="s">
        <v>1023</v>
      </c>
      <c r="V11" s="885">
        <f>'[4]int.kiadások RM II'!X11</f>
        <v>300</v>
      </c>
      <c r="W11" s="885">
        <f>86+100</f>
        <v>186</v>
      </c>
      <c r="X11" s="885">
        <f t="shared" ref="X11:X29" si="7">SUM(V11:W11)</f>
        <v>486</v>
      </c>
      <c r="Y11" s="885">
        <f>'[4]int.kiadások RM II'!AA11</f>
        <v>3528</v>
      </c>
      <c r="Z11" s="885">
        <v>1</v>
      </c>
      <c r="AA11" s="885">
        <f t="shared" ref="AA11:AA27" si="8">SUM(Y11:Z11)</f>
        <v>3529</v>
      </c>
      <c r="AB11" s="885">
        <f>'[4]int.kiadások RM II'!AD11</f>
        <v>0</v>
      </c>
      <c r="AC11" s="885"/>
      <c r="AD11" s="885">
        <f t="shared" ref="AD11:AD27" si="9">SUM(AB11:AC11)</f>
        <v>0</v>
      </c>
      <c r="AE11" s="885">
        <f t="shared" ref="AE11:AG27" si="10">V11+Y11+AB11</f>
        <v>3828</v>
      </c>
      <c r="AF11" s="885">
        <f t="shared" si="10"/>
        <v>187</v>
      </c>
      <c r="AG11" s="885">
        <f t="shared" si="10"/>
        <v>4015</v>
      </c>
      <c r="AH11" s="885">
        <f t="shared" si="1"/>
        <v>111107</v>
      </c>
      <c r="AI11" s="885">
        <f t="shared" si="1"/>
        <v>76</v>
      </c>
      <c r="AJ11" s="885">
        <f t="shared" si="1"/>
        <v>111183</v>
      </c>
    </row>
    <row r="12" spans="1:36" s="878" customFormat="1" ht="48.75" customHeight="1" x14ac:dyDescent="0.6">
      <c r="A12" s="841" t="s">
        <v>1024</v>
      </c>
      <c r="B12" s="885">
        <f>'[4]int.kiadások RM II'!D12</f>
        <v>80999</v>
      </c>
      <c r="C12" s="885">
        <v>-873</v>
      </c>
      <c r="D12" s="885">
        <f t="shared" si="2"/>
        <v>80126</v>
      </c>
      <c r="E12" s="885">
        <f>'[4]int.kiadások RM II'!G12</f>
        <v>15900</v>
      </c>
      <c r="F12" s="885">
        <f>-153-624</f>
        <v>-777</v>
      </c>
      <c r="G12" s="885">
        <f t="shared" si="0"/>
        <v>15123</v>
      </c>
      <c r="H12" s="885">
        <f>'[4]int.kiadások RM II'!J12</f>
        <v>3928</v>
      </c>
      <c r="I12" s="885">
        <f>1352+120</f>
        <v>1472</v>
      </c>
      <c r="J12" s="885">
        <f t="shared" si="3"/>
        <v>5400</v>
      </c>
      <c r="K12" s="841" t="s">
        <v>1024</v>
      </c>
      <c r="L12" s="885">
        <f>'[4]int.kiadások RM II'!N12</f>
        <v>0</v>
      </c>
      <c r="M12" s="885"/>
      <c r="N12" s="885">
        <f t="shared" si="4"/>
        <v>0</v>
      </c>
      <c r="O12" s="885">
        <f>'[4]int.kiadások RM II'!Q12</f>
        <v>0</v>
      </c>
      <c r="P12" s="885"/>
      <c r="Q12" s="885">
        <f t="shared" si="5"/>
        <v>0</v>
      </c>
      <c r="R12" s="885">
        <f t="shared" si="6"/>
        <v>100827</v>
      </c>
      <c r="S12" s="885">
        <f t="shared" si="6"/>
        <v>-178</v>
      </c>
      <c r="T12" s="885">
        <f t="shared" si="6"/>
        <v>100649</v>
      </c>
      <c r="U12" s="841" t="s">
        <v>1024</v>
      </c>
      <c r="V12" s="885">
        <f>'[4]int.kiadások RM II'!X12</f>
        <v>203</v>
      </c>
      <c r="W12" s="885">
        <f>80+100</f>
        <v>180</v>
      </c>
      <c r="X12" s="885">
        <f t="shared" si="7"/>
        <v>383</v>
      </c>
      <c r="Y12" s="885">
        <f>'[4]int.kiadások RM II'!AA12</f>
        <v>3077</v>
      </c>
      <c r="Z12" s="885">
        <v>-107</v>
      </c>
      <c r="AA12" s="885">
        <f t="shared" si="8"/>
        <v>2970</v>
      </c>
      <c r="AB12" s="885">
        <f>'[4]int.kiadások RM II'!AD12</f>
        <v>0</v>
      </c>
      <c r="AC12" s="885"/>
      <c r="AD12" s="885">
        <f t="shared" si="9"/>
        <v>0</v>
      </c>
      <c r="AE12" s="885">
        <f t="shared" si="10"/>
        <v>3280</v>
      </c>
      <c r="AF12" s="885">
        <f t="shared" si="10"/>
        <v>73</v>
      </c>
      <c r="AG12" s="885">
        <f t="shared" si="10"/>
        <v>3353</v>
      </c>
      <c r="AH12" s="885">
        <f t="shared" si="1"/>
        <v>104107</v>
      </c>
      <c r="AI12" s="885">
        <f t="shared" si="1"/>
        <v>-105</v>
      </c>
      <c r="AJ12" s="885">
        <f t="shared" si="1"/>
        <v>104002</v>
      </c>
    </row>
    <row r="13" spans="1:36" s="878" customFormat="1" ht="48.75" customHeight="1" x14ac:dyDescent="0.6">
      <c r="A13" s="841" t="s">
        <v>1025</v>
      </c>
      <c r="B13" s="885">
        <f>'[4]int.kiadások RM II'!D13</f>
        <v>110489</v>
      </c>
      <c r="C13" s="885">
        <f>-1449+79</f>
        <v>-1370</v>
      </c>
      <c r="D13" s="885">
        <f t="shared" si="2"/>
        <v>109119</v>
      </c>
      <c r="E13" s="885">
        <f>'[4]int.kiadások RM II'!G13</f>
        <v>23888</v>
      </c>
      <c r="F13" s="885">
        <f>-254-900</f>
        <v>-1154</v>
      </c>
      <c r="G13" s="885">
        <f t="shared" si="0"/>
        <v>22734</v>
      </c>
      <c r="H13" s="885">
        <f>'[4]int.kiadások RM II'!J13</f>
        <v>8646</v>
      </c>
      <c r="I13" s="885">
        <f>751+250</f>
        <v>1001</v>
      </c>
      <c r="J13" s="885">
        <f t="shared" si="3"/>
        <v>9647</v>
      </c>
      <c r="K13" s="841" t="s">
        <v>1025</v>
      </c>
      <c r="L13" s="885">
        <f>'[4]int.kiadások RM II'!N13</f>
        <v>0</v>
      </c>
      <c r="M13" s="885"/>
      <c r="N13" s="885">
        <f t="shared" si="4"/>
        <v>0</v>
      </c>
      <c r="O13" s="885">
        <f>'[4]int.kiadások RM II'!Q13</f>
        <v>0</v>
      </c>
      <c r="P13" s="885"/>
      <c r="Q13" s="885">
        <f t="shared" si="5"/>
        <v>0</v>
      </c>
      <c r="R13" s="885">
        <f t="shared" si="6"/>
        <v>143023</v>
      </c>
      <c r="S13" s="885">
        <f t="shared" si="6"/>
        <v>-1523</v>
      </c>
      <c r="T13" s="885">
        <f t="shared" si="6"/>
        <v>141500</v>
      </c>
      <c r="U13" s="841" t="s">
        <v>1025</v>
      </c>
      <c r="V13" s="885">
        <f>'[4]int.kiadások RM II'!X13</f>
        <v>0</v>
      </c>
      <c r="W13" s="885">
        <f>1035+100</f>
        <v>1135</v>
      </c>
      <c r="X13" s="885">
        <f t="shared" si="7"/>
        <v>1135</v>
      </c>
      <c r="Y13" s="885">
        <f>'[4]int.kiadások RM II'!AA13</f>
        <v>2979</v>
      </c>
      <c r="Z13" s="885">
        <v>10</v>
      </c>
      <c r="AA13" s="885">
        <f t="shared" si="8"/>
        <v>2989</v>
      </c>
      <c r="AB13" s="885">
        <f>'[4]int.kiadások RM II'!AD13</f>
        <v>0</v>
      </c>
      <c r="AC13" s="885"/>
      <c r="AD13" s="885">
        <f t="shared" si="9"/>
        <v>0</v>
      </c>
      <c r="AE13" s="885">
        <f t="shared" si="10"/>
        <v>2979</v>
      </c>
      <c r="AF13" s="885">
        <f t="shared" si="10"/>
        <v>1145</v>
      </c>
      <c r="AG13" s="885">
        <f t="shared" si="10"/>
        <v>4124</v>
      </c>
      <c r="AH13" s="885">
        <f t="shared" si="1"/>
        <v>146002</v>
      </c>
      <c r="AI13" s="885">
        <f t="shared" si="1"/>
        <v>-378</v>
      </c>
      <c r="AJ13" s="885">
        <f t="shared" si="1"/>
        <v>145624</v>
      </c>
    </row>
    <row r="14" spans="1:36" s="878" customFormat="1" ht="48.75" customHeight="1" x14ac:dyDescent="0.6">
      <c r="A14" s="841" t="s">
        <v>1026</v>
      </c>
      <c r="B14" s="885">
        <f>'[4]int.kiadások RM II'!D14</f>
        <v>91771</v>
      </c>
      <c r="C14" s="885">
        <f>-29+229</f>
        <v>200</v>
      </c>
      <c r="D14" s="885">
        <f t="shared" si="2"/>
        <v>91971</v>
      </c>
      <c r="E14" s="885">
        <f>'[4]int.kiadások RM II'!G14</f>
        <v>19871</v>
      </c>
      <c r="F14" s="885">
        <v>-714</v>
      </c>
      <c r="G14" s="885">
        <f t="shared" si="0"/>
        <v>19157</v>
      </c>
      <c r="H14" s="885">
        <f>'[4]int.kiadások RM II'!J14</f>
        <v>8494</v>
      </c>
      <c r="I14" s="885">
        <v>-1561</v>
      </c>
      <c r="J14" s="885">
        <f t="shared" si="3"/>
        <v>6933</v>
      </c>
      <c r="K14" s="841" t="s">
        <v>1026</v>
      </c>
      <c r="L14" s="885">
        <f>'[4]int.kiadások RM II'!N14</f>
        <v>0</v>
      </c>
      <c r="M14" s="885"/>
      <c r="N14" s="885">
        <f t="shared" si="4"/>
        <v>0</v>
      </c>
      <c r="O14" s="885">
        <f>'[4]int.kiadások RM II'!Q14</f>
        <v>0</v>
      </c>
      <c r="P14" s="885"/>
      <c r="Q14" s="885">
        <f t="shared" si="5"/>
        <v>0</v>
      </c>
      <c r="R14" s="885">
        <f t="shared" si="6"/>
        <v>120136</v>
      </c>
      <c r="S14" s="885">
        <f t="shared" si="6"/>
        <v>-2075</v>
      </c>
      <c r="T14" s="885">
        <f t="shared" si="6"/>
        <v>118061</v>
      </c>
      <c r="U14" s="841" t="s">
        <v>1026</v>
      </c>
      <c r="V14" s="885">
        <f>'[4]int.kiadások RM II'!X14</f>
        <v>917</v>
      </c>
      <c r="W14" s="885">
        <f>1920+827</f>
        <v>2747</v>
      </c>
      <c r="X14" s="885">
        <f t="shared" si="7"/>
        <v>3664</v>
      </c>
      <c r="Y14" s="885">
        <f>'[4]int.kiadások RM II'!AA14</f>
        <v>1140</v>
      </c>
      <c r="Z14" s="885">
        <v>447</v>
      </c>
      <c r="AA14" s="885">
        <f t="shared" si="8"/>
        <v>1587</v>
      </c>
      <c r="AB14" s="885">
        <f>'[4]int.kiadások RM II'!AD14</f>
        <v>0</v>
      </c>
      <c r="AC14" s="885"/>
      <c r="AD14" s="885">
        <f t="shared" si="9"/>
        <v>0</v>
      </c>
      <c r="AE14" s="885">
        <f t="shared" si="10"/>
        <v>2057</v>
      </c>
      <c r="AF14" s="885">
        <f t="shared" si="10"/>
        <v>3194</v>
      </c>
      <c r="AG14" s="885">
        <f t="shared" si="10"/>
        <v>5251</v>
      </c>
      <c r="AH14" s="885">
        <f t="shared" si="1"/>
        <v>122193</v>
      </c>
      <c r="AI14" s="885">
        <f t="shared" si="1"/>
        <v>1119</v>
      </c>
      <c r="AJ14" s="885">
        <f t="shared" si="1"/>
        <v>123312</v>
      </c>
    </row>
    <row r="15" spans="1:36" s="878" customFormat="1" ht="48.75" customHeight="1" x14ac:dyDescent="0.6">
      <c r="A15" s="841" t="s">
        <v>1027</v>
      </c>
      <c r="B15" s="885">
        <f>'[4]int.kiadások RM II'!D15</f>
        <v>80019</v>
      </c>
      <c r="C15" s="885">
        <v>50</v>
      </c>
      <c r="D15" s="885">
        <f t="shared" si="2"/>
        <v>80069</v>
      </c>
      <c r="E15" s="885">
        <f>'[4]int.kiadások RM II'!G15</f>
        <v>16279</v>
      </c>
      <c r="F15" s="885">
        <v>-631</v>
      </c>
      <c r="G15" s="885">
        <f t="shared" si="0"/>
        <v>15648</v>
      </c>
      <c r="H15" s="885">
        <f>'[4]int.kiadások RM II'!J15</f>
        <v>4158</v>
      </c>
      <c r="I15" s="885">
        <f>1322+150</f>
        <v>1472</v>
      </c>
      <c r="J15" s="885">
        <f t="shared" si="3"/>
        <v>5630</v>
      </c>
      <c r="K15" s="841" t="s">
        <v>1027</v>
      </c>
      <c r="L15" s="885">
        <f>'[4]int.kiadások RM II'!N15</f>
        <v>0</v>
      </c>
      <c r="M15" s="885"/>
      <c r="N15" s="885">
        <f t="shared" si="4"/>
        <v>0</v>
      </c>
      <c r="O15" s="885">
        <f>'[4]int.kiadások RM II'!Q15</f>
        <v>0</v>
      </c>
      <c r="P15" s="885"/>
      <c r="Q15" s="885">
        <f t="shared" si="5"/>
        <v>0</v>
      </c>
      <c r="R15" s="885">
        <f t="shared" si="6"/>
        <v>100456</v>
      </c>
      <c r="S15" s="885">
        <f t="shared" si="6"/>
        <v>891</v>
      </c>
      <c r="T15" s="885">
        <f t="shared" si="6"/>
        <v>101347</v>
      </c>
      <c r="U15" s="841" t="s">
        <v>1027</v>
      </c>
      <c r="V15" s="885">
        <f>'[4]int.kiadások RM II'!X15</f>
        <v>309</v>
      </c>
      <c r="W15" s="885">
        <f>80+100</f>
        <v>180</v>
      </c>
      <c r="X15" s="885">
        <f t="shared" si="7"/>
        <v>489</v>
      </c>
      <c r="Y15" s="885">
        <f>'[4]int.kiadások RM II'!AA15</f>
        <v>1894</v>
      </c>
      <c r="Z15" s="885">
        <v>7059</v>
      </c>
      <c r="AA15" s="885">
        <f t="shared" si="8"/>
        <v>8953</v>
      </c>
      <c r="AB15" s="885">
        <f>'[4]int.kiadások RM II'!AD15</f>
        <v>0</v>
      </c>
      <c r="AC15" s="885"/>
      <c r="AD15" s="885">
        <f t="shared" si="9"/>
        <v>0</v>
      </c>
      <c r="AE15" s="885">
        <f t="shared" si="10"/>
        <v>2203</v>
      </c>
      <c r="AF15" s="885">
        <f t="shared" si="10"/>
        <v>7239</v>
      </c>
      <c r="AG15" s="885">
        <f t="shared" si="10"/>
        <v>9442</v>
      </c>
      <c r="AH15" s="885">
        <f t="shared" si="1"/>
        <v>102659</v>
      </c>
      <c r="AI15" s="885">
        <f t="shared" si="1"/>
        <v>8130</v>
      </c>
      <c r="AJ15" s="885">
        <f t="shared" si="1"/>
        <v>110789</v>
      </c>
    </row>
    <row r="16" spans="1:36" s="878" customFormat="1" ht="48.75" customHeight="1" x14ac:dyDescent="0.6">
      <c r="A16" s="841" t="s">
        <v>1029</v>
      </c>
      <c r="B16" s="885">
        <f>'[4]int.kiadások RM II'!D16</f>
        <v>65490</v>
      </c>
      <c r="C16" s="885">
        <f>-443+210</f>
        <v>-233</v>
      </c>
      <c r="D16" s="885">
        <f t="shared" si="2"/>
        <v>65257</v>
      </c>
      <c r="E16" s="885">
        <f>'[4]int.kiadások RM II'!G16</f>
        <v>12948</v>
      </c>
      <c r="F16" s="885">
        <v>-474</v>
      </c>
      <c r="G16" s="885">
        <f t="shared" si="0"/>
        <v>12474</v>
      </c>
      <c r="H16" s="885">
        <f>'[4]int.kiadások RM II'!J16</f>
        <v>2780</v>
      </c>
      <c r="I16" s="885">
        <v>778</v>
      </c>
      <c r="J16" s="885">
        <f t="shared" si="3"/>
        <v>3558</v>
      </c>
      <c r="K16" s="841" t="s">
        <v>1029</v>
      </c>
      <c r="L16" s="885">
        <f>'[4]int.kiadások RM II'!N16</f>
        <v>0</v>
      </c>
      <c r="M16" s="885"/>
      <c r="N16" s="885">
        <f t="shared" si="4"/>
        <v>0</v>
      </c>
      <c r="O16" s="885">
        <f>'[4]int.kiadások RM II'!Q16</f>
        <v>0</v>
      </c>
      <c r="P16" s="885"/>
      <c r="Q16" s="885">
        <f t="shared" si="5"/>
        <v>0</v>
      </c>
      <c r="R16" s="885">
        <f t="shared" si="6"/>
        <v>81218</v>
      </c>
      <c r="S16" s="885">
        <f t="shared" si="6"/>
        <v>71</v>
      </c>
      <c r="T16" s="885">
        <f t="shared" si="6"/>
        <v>81289</v>
      </c>
      <c r="U16" s="841" t="s">
        <v>1029</v>
      </c>
      <c r="V16" s="885">
        <f>'[4]int.kiadások RM II'!X16</f>
        <v>121</v>
      </c>
      <c r="W16" s="885">
        <v>591</v>
      </c>
      <c r="X16" s="885">
        <f t="shared" si="7"/>
        <v>712</v>
      </c>
      <c r="Y16" s="885">
        <f>'[4]int.kiadások RM II'!AA16</f>
        <v>0</v>
      </c>
      <c r="Z16" s="885">
        <v>2831</v>
      </c>
      <c r="AA16" s="885">
        <f t="shared" si="8"/>
        <v>2831</v>
      </c>
      <c r="AB16" s="885">
        <f>'[4]int.kiadások RM II'!AD16</f>
        <v>0</v>
      </c>
      <c r="AC16" s="885"/>
      <c r="AD16" s="885">
        <f t="shared" si="9"/>
        <v>0</v>
      </c>
      <c r="AE16" s="885">
        <f t="shared" si="10"/>
        <v>121</v>
      </c>
      <c r="AF16" s="885">
        <f t="shared" si="10"/>
        <v>3422</v>
      </c>
      <c r="AG16" s="885">
        <f t="shared" si="10"/>
        <v>3543</v>
      </c>
      <c r="AH16" s="885">
        <f t="shared" si="1"/>
        <v>81339</v>
      </c>
      <c r="AI16" s="885">
        <f t="shared" si="1"/>
        <v>3493</v>
      </c>
      <c r="AJ16" s="885">
        <f t="shared" si="1"/>
        <v>84832</v>
      </c>
    </row>
    <row r="17" spans="1:36" s="878" customFormat="1" ht="48.75" customHeight="1" x14ac:dyDescent="0.6">
      <c r="A17" s="841" t="s">
        <v>1030</v>
      </c>
      <c r="B17" s="885">
        <f>'[4]int.kiadások RM II'!D17</f>
        <v>69207</v>
      </c>
      <c r="C17" s="885">
        <f>-642+210</f>
        <v>-432</v>
      </c>
      <c r="D17" s="885">
        <f t="shared" si="2"/>
        <v>68775</v>
      </c>
      <c r="E17" s="885">
        <f>'[4]int.kiadások RM II'!G17</f>
        <v>13761</v>
      </c>
      <c r="F17" s="885">
        <v>-522</v>
      </c>
      <c r="G17" s="885">
        <f t="shared" si="0"/>
        <v>13239</v>
      </c>
      <c r="H17" s="885">
        <f>'[4]int.kiadások RM II'!J17</f>
        <v>5193</v>
      </c>
      <c r="I17" s="885">
        <f>673+120</f>
        <v>793</v>
      </c>
      <c r="J17" s="885">
        <f t="shared" si="3"/>
        <v>5986</v>
      </c>
      <c r="K17" s="841" t="s">
        <v>1030</v>
      </c>
      <c r="L17" s="885">
        <f>'[4]int.kiadások RM II'!N17</f>
        <v>0</v>
      </c>
      <c r="M17" s="885"/>
      <c r="N17" s="885">
        <f t="shared" si="4"/>
        <v>0</v>
      </c>
      <c r="O17" s="885">
        <f>'[4]int.kiadások RM II'!Q17</f>
        <v>0</v>
      </c>
      <c r="P17" s="885"/>
      <c r="Q17" s="885">
        <f t="shared" si="5"/>
        <v>0</v>
      </c>
      <c r="R17" s="885">
        <f t="shared" si="6"/>
        <v>88161</v>
      </c>
      <c r="S17" s="885">
        <f t="shared" si="6"/>
        <v>-161</v>
      </c>
      <c r="T17" s="885">
        <f t="shared" si="6"/>
        <v>88000</v>
      </c>
      <c r="U17" s="841" t="s">
        <v>1030</v>
      </c>
      <c r="V17" s="885">
        <f>'[4]int.kiadások RM II'!X17</f>
        <v>6411</v>
      </c>
      <c r="W17" s="885">
        <f>1+100</f>
        <v>101</v>
      </c>
      <c r="X17" s="885">
        <f t="shared" si="7"/>
        <v>6512</v>
      </c>
      <c r="Y17" s="885">
        <f>'[4]int.kiadások RM II'!AA17</f>
        <v>8947</v>
      </c>
      <c r="Z17" s="885">
        <v>1</v>
      </c>
      <c r="AA17" s="885">
        <f t="shared" si="8"/>
        <v>8948</v>
      </c>
      <c r="AB17" s="885">
        <f>'[4]int.kiadások RM II'!AD17</f>
        <v>0</v>
      </c>
      <c r="AC17" s="885"/>
      <c r="AD17" s="885">
        <f t="shared" si="9"/>
        <v>0</v>
      </c>
      <c r="AE17" s="885">
        <f t="shared" si="10"/>
        <v>15358</v>
      </c>
      <c r="AF17" s="885">
        <f t="shared" si="10"/>
        <v>102</v>
      </c>
      <c r="AG17" s="885">
        <f t="shared" si="10"/>
        <v>15460</v>
      </c>
      <c r="AH17" s="885">
        <f t="shared" si="1"/>
        <v>103519</v>
      </c>
      <c r="AI17" s="885">
        <f t="shared" si="1"/>
        <v>-59</v>
      </c>
      <c r="AJ17" s="885">
        <f t="shared" si="1"/>
        <v>103460</v>
      </c>
    </row>
    <row r="18" spans="1:36" s="878" customFormat="1" ht="48.75" customHeight="1" x14ac:dyDescent="0.6">
      <c r="A18" s="841" t="s">
        <v>1032</v>
      </c>
      <c r="B18" s="885">
        <f>'[4]int.kiadások RM II'!D18</f>
        <v>100106</v>
      </c>
      <c r="C18" s="885">
        <f>-199+27</f>
        <v>-172</v>
      </c>
      <c r="D18" s="885">
        <f t="shared" si="2"/>
        <v>99934</v>
      </c>
      <c r="E18" s="885">
        <f>'[4]int.kiadások RM II'!G18</f>
        <v>21512</v>
      </c>
      <c r="F18" s="885">
        <v>-816</v>
      </c>
      <c r="G18" s="885">
        <f t="shared" si="0"/>
        <v>20696</v>
      </c>
      <c r="H18" s="885">
        <f>'[4]int.kiadások RM II'!J18</f>
        <v>4185</v>
      </c>
      <c r="I18" s="885">
        <f>506+1634</f>
        <v>2140</v>
      </c>
      <c r="J18" s="885">
        <f t="shared" si="3"/>
        <v>6325</v>
      </c>
      <c r="K18" s="841" t="s">
        <v>1032</v>
      </c>
      <c r="L18" s="885">
        <f>'[4]int.kiadások RM II'!N18</f>
        <v>0</v>
      </c>
      <c r="M18" s="885"/>
      <c r="N18" s="885">
        <f t="shared" si="4"/>
        <v>0</v>
      </c>
      <c r="O18" s="885">
        <f>'[4]int.kiadások RM II'!Q18</f>
        <v>0</v>
      </c>
      <c r="P18" s="885"/>
      <c r="Q18" s="885">
        <f t="shared" si="5"/>
        <v>0</v>
      </c>
      <c r="R18" s="885">
        <f t="shared" si="6"/>
        <v>125803</v>
      </c>
      <c r="S18" s="885">
        <f t="shared" si="6"/>
        <v>1152</v>
      </c>
      <c r="T18" s="885">
        <f t="shared" si="6"/>
        <v>126955</v>
      </c>
      <c r="U18" s="841" t="s">
        <v>1032</v>
      </c>
      <c r="V18" s="885">
        <f>'[4]int.kiadások RM II'!X18</f>
        <v>0</v>
      </c>
      <c r="W18" s="885">
        <f>-926+1763</f>
        <v>837</v>
      </c>
      <c r="X18" s="885">
        <f t="shared" si="7"/>
        <v>837</v>
      </c>
      <c r="Y18" s="885">
        <f>'[4]int.kiadások RM II'!AA18</f>
        <v>0</v>
      </c>
      <c r="Z18" s="885">
        <f>634+2345</f>
        <v>2979</v>
      </c>
      <c r="AA18" s="885">
        <f t="shared" si="8"/>
        <v>2979</v>
      </c>
      <c r="AB18" s="885">
        <f>'[4]int.kiadások RM II'!AD18</f>
        <v>0</v>
      </c>
      <c r="AC18" s="885"/>
      <c r="AD18" s="885">
        <f t="shared" si="9"/>
        <v>0</v>
      </c>
      <c r="AE18" s="885">
        <f t="shared" si="10"/>
        <v>0</v>
      </c>
      <c r="AF18" s="885">
        <f t="shared" si="10"/>
        <v>3816</v>
      </c>
      <c r="AG18" s="885">
        <f t="shared" si="10"/>
        <v>3816</v>
      </c>
      <c r="AH18" s="885">
        <f t="shared" si="1"/>
        <v>125803</v>
      </c>
      <c r="AI18" s="885">
        <f t="shared" si="1"/>
        <v>4968</v>
      </c>
      <c r="AJ18" s="885">
        <f t="shared" si="1"/>
        <v>130771</v>
      </c>
    </row>
    <row r="19" spans="1:36" s="878" customFormat="1" ht="48.75" customHeight="1" x14ac:dyDescent="0.6">
      <c r="A19" s="841" t="s">
        <v>1033</v>
      </c>
      <c r="B19" s="885">
        <f>'[4]int.kiadások RM II'!D19</f>
        <v>109151</v>
      </c>
      <c r="C19" s="885">
        <f>-346+245</f>
        <v>-101</v>
      </c>
      <c r="D19" s="885">
        <f t="shared" si="2"/>
        <v>109050</v>
      </c>
      <c r="E19" s="885">
        <f>'[4]int.kiadások RM II'!G19</f>
        <v>23488</v>
      </c>
      <c r="F19" s="885">
        <f>-60-801</f>
        <v>-861</v>
      </c>
      <c r="G19" s="885">
        <f t="shared" si="0"/>
        <v>22627</v>
      </c>
      <c r="H19" s="885">
        <f>'[4]int.kiadások RM II'!J19</f>
        <v>4906</v>
      </c>
      <c r="I19" s="885">
        <v>844</v>
      </c>
      <c r="J19" s="885">
        <f t="shared" si="3"/>
        <v>5750</v>
      </c>
      <c r="K19" s="841" t="s">
        <v>1033</v>
      </c>
      <c r="L19" s="885">
        <f>'[4]int.kiadások RM II'!N19</f>
        <v>0</v>
      </c>
      <c r="M19" s="885"/>
      <c r="N19" s="885">
        <f t="shared" si="4"/>
        <v>0</v>
      </c>
      <c r="O19" s="885">
        <f>'[4]int.kiadások RM II'!Q19</f>
        <v>0</v>
      </c>
      <c r="P19" s="885"/>
      <c r="Q19" s="885">
        <f t="shared" si="5"/>
        <v>0</v>
      </c>
      <c r="R19" s="885">
        <f t="shared" si="6"/>
        <v>137545</v>
      </c>
      <c r="S19" s="885">
        <f t="shared" si="6"/>
        <v>-118</v>
      </c>
      <c r="T19" s="885">
        <f t="shared" si="6"/>
        <v>137427</v>
      </c>
      <c r="U19" s="841" t="s">
        <v>1033</v>
      </c>
      <c r="V19" s="885">
        <f>'[4]int.kiadások RM II'!X19</f>
        <v>435</v>
      </c>
      <c r="W19" s="885">
        <f>44+100</f>
        <v>144</v>
      </c>
      <c r="X19" s="885">
        <f t="shared" si="7"/>
        <v>579</v>
      </c>
      <c r="Y19" s="885">
        <f>'[4]int.kiadások RM II'!AA19</f>
        <v>21791</v>
      </c>
      <c r="Z19" s="885"/>
      <c r="AA19" s="885">
        <f t="shared" si="8"/>
        <v>21791</v>
      </c>
      <c r="AB19" s="885">
        <f>'[4]int.kiadások RM II'!AD19</f>
        <v>0</v>
      </c>
      <c r="AC19" s="885"/>
      <c r="AD19" s="885">
        <f t="shared" si="9"/>
        <v>0</v>
      </c>
      <c r="AE19" s="885">
        <f t="shared" si="10"/>
        <v>22226</v>
      </c>
      <c r="AF19" s="885">
        <f t="shared" si="10"/>
        <v>144</v>
      </c>
      <c r="AG19" s="885">
        <f t="shared" si="10"/>
        <v>22370</v>
      </c>
      <c r="AH19" s="885">
        <f t="shared" si="1"/>
        <v>159771</v>
      </c>
      <c r="AI19" s="885">
        <f t="shared" si="1"/>
        <v>26</v>
      </c>
      <c r="AJ19" s="885">
        <f t="shared" si="1"/>
        <v>159797</v>
      </c>
    </row>
    <row r="20" spans="1:36" s="878" customFormat="1" ht="48.75" customHeight="1" x14ac:dyDescent="0.6">
      <c r="A20" s="841" t="s">
        <v>1034</v>
      </c>
      <c r="B20" s="885">
        <f>'[4]int.kiadások RM II'!D20</f>
        <v>59200</v>
      </c>
      <c r="C20" s="885">
        <v>-234</v>
      </c>
      <c r="D20" s="885">
        <f t="shared" si="2"/>
        <v>58966</v>
      </c>
      <c r="E20" s="885">
        <f>'[4]int.kiadások RM II'!G20</f>
        <v>11517</v>
      </c>
      <c r="F20" s="885">
        <v>-454</v>
      </c>
      <c r="G20" s="885">
        <f t="shared" si="0"/>
        <v>11063</v>
      </c>
      <c r="H20" s="885">
        <f>'[4]int.kiadások RM II'!J20</f>
        <v>2583</v>
      </c>
      <c r="I20" s="885">
        <v>471</v>
      </c>
      <c r="J20" s="885">
        <f t="shared" si="3"/>
        <v>3054</v>
      </c>
      <c r="K20" s="841" t="s">
        <v>1034</v>
      </c>
      <c r="L20" s="885">
        <f>'[4]int.kiadások RM II'!N20</f>
        <v>0</v>
      </c>
      <c r="M20" s="885"/>
      <c r="N20" s="885">
        <f t="shared" si="4"/>
        <v>0</v>
      </c>
      <c r="O20" s="885">
        <f>'[4]int.kiadások RM II'!Q20</f>
        <v>0</v>
      </c>
      <c r="P20" s="885"/>
      <c r="Q20" s="885">
        <f t="shared" si="5"/>
        <v>0</v>
      </c>
      <c r="R20" s="885">
        <f t="shared" si="6"/>
        <v>73300</v>
      </c>
      <c r="S20" s="885">
        <f t="shared" si="6"/>
        <v>-217</v>
      </c>
      <c r="T20" s="885">
        <f t="shared" si="6"/>
        <v>73083</v>
      </c>
      <c r="U20" s="841" t="s">
        <v>1034</v>
      </c>
      <c r="V20" s="885">
        <f>'[4]int.kiadások RM II'!X20</f>
        <v>10</v>
      </c>
      <c r="W20" s="885">
        <f>9+975</f>
        <v>984</v>
      </c>
      <c r="X20" s="885">
        <f t="shared" si="7"/>
        <v>994</v>
      </c>
      <c r="Y20" s="885">
        <f>'[4]int.kiadások RM II'!AA20</f>
        <v>0</v>
      </c>
      <c r="Z20" s="885"/>
      <c r="AA20" s="885">
        <f t="shared" si="8"/>
        <v>0</v>
      </c>
      <c r="AB20" s="885">
        <f>'[4]int.kiadások RM II'!AD20</f>
        <v>0</v>
      </c>
      <c r="AC20" s="885"/>
      <c r="AD20" s="885">
        <f t="shared" si="9"/>
        <v>0</v>
      </c>
      <c r="AE20" s="885">
        <f t="shared" si="10"/>
        <v>10</v>
      </c>
      <c r="AF20" s="885">
        <f t="shared" si="10"/>
        <v>984</v>
      </c>
      <c r="AG20" s="885">
        <f t="shared" si="10"/>
        <v>994</v>
      </c>
      <c r="AH20" s="885">
        <f t="shared" si="1"/>
        <v>73310</v>
      </c>
      <c r="AI20" s="885">
        <f t="shared" si="1"/>
        <v>767</v>
      </c>
      <c r="AJ20" s="885">
        <f t="shared" si="1"/>
        <v>74077</v>
      </c>
    </row>
    <row r="21" spans="1:36" s="878" customFormat="1" ht="48.75" customHeight="1" x14ac:dyDescent="0.6">
      <c r="A21" s="841" t="s">
        <v>1035</v>
      </c>
      <c r="B21" s="885">
        <f>'[4]int.kiadások RM II'!D21</f>
        <v>43098</v>
      </c>
      <c r="C21" s="885">
        <f>-1222+211</f>
        <v>-1011</v>
      </c>
      <c r="D21" s="885">
        <f t="shared" si="2"/>
        <v>42087</v>
      </c>
      <c r="E21" s="885">
        <f>'[4]int.kiadások RM II'!G21</f>
        <v>8504</v>
      </c>
      <c r="F21" s="885">
        <f>-214-299</f>
        <v>-513</v>
      </c>
      <c r="G21" s="885">
        <f t="shared" si="0"/>
        <v>7991</v>
      </c>
      <c r="H21" s="885">
        <f>'[4]int.kiadások RM II'!J21</f>
        <v>2881</v>
      </c>
      <c r="I21" s="885">
        <f>2380+3454</f>
        <v>5834</v>
      </c>
      <c r="J21" s="885">
        <f t="shared" si="3"/>
        <v>8715</v>
      </c>
      <c r="K21" s="841" t="s">
        <v>1035</v>
      </c>
      <c r="L21" s="885">
        <f>'[4]int.kiadások RM II'!N21</f>
        <v>0</v>
      </c>
      <c r="M21" s="885"/>
      <c r="N21" s="885">
        <f t="shared" si="4"/>
        <v>0</v>
      </c>
      <c r="O21" s="885">
        <f>'[4]int.kiadások RM II'!Q21</f>
        <v>0</v>
      </c>
      <c r="P21" s="885"/>
      <c r="Q21" s="885">
        <f t="shared" si="5"/>
        <v>0</v>
      </c>
      <c r="R21" s="885">
        <f t="shared" si="6"/>
        <v>54483</v>
      </c>
      <c r="S21" s="885">
        <f t="shared" si="6"/>
        <v>4310</v>
      </c>
      <c r="T21" s="885">
        <f t="shared" si="6"/>
        <v>58793</v>
      </c>
      <c r="U21" s="841" t="s">
        <v>1035</v>
      </c>
      <c r="V21" s="885">
        <f>'[4]int.kiadások RM II'!X21</f>
        <v>53</v>
      </c>
      <c r="W21" s="885">
        <f>902+3109</f>
        <v>4011</v>
      </c>
      <c r="X21" s="885">
        <f t="shared" si="7"/>
        <v>4064</v>
      </c>
      <c r="Y21" s="885">
        <f>'[4]int.kiadások RM II'!AA21</f>
        <v>9754</v>
      </c>
      <c r="Z21" s="885">
        <f>-1461+644</f>
        <v>-817</v>
      </c>
      <c r="AA21" s="885">
        <f t="shared" si="8"/>
        <v>8937</v>
      </c>
      <c r="AB21" s="885">
        <f>'[4]int.kiadások RM II'!AD21</f>
        <v>0</v>
      </c>
      <c r="AC21" s="885"/>
      <c r="AD21" s="885">
        <f t="shared" si="9"/>
        <v>0</v>
      </c>
      <c r="AE21" s="885">
        <f t="shared" si="10"/>
        <v>9807</v>
      </c>
      <c r="AF21" s="885">
        <f t="shared" si="10"/>
        <v>3194</v>
      </c>
      <c r="AG21" s="885">
        <f t="shared" si="10"/>
        <v>13001</v>
      </c>
      <c r="AH21" s="885">
        <f t="shared" si="1"/>
        <v>64290</v>
      </c>
      <c r="AI21" s="885">
        <f t="shared" si="1"/>
        <v>7504</v>
      </c>
      <c r="AJ21" s="885">
        <f t="shared" si="1"/>
        <v>71794</v>
      </c>
    </row>
    <row r="22" spans="1:36" s="878" customFormat="1" ht="48.75" customHeight="1" x14ac:dyDescent="0.6">
      <c r="A22" s="841" t="s">
        <v>1036</v>
      </c>
      <c r="B22" s="885">
        <f>'[4]int.kiadások RM II'!D22</f>
        <v>62666</v>
      </c>
      <c r="C22" s="885">
        <f>-1680+34</f>
        <v>-1646</v>
      </c>
      <c r="D22" s="885">
        <f t="shared" si="2"/>
        <v>61020</v>
      </c>
      <c r="E22" s="885">
        <f>'[4]int.kiadások RM II'!G22</f>
        <v>12568</v>
      </c>
      <c r="F22" s="885">
        <f>262-507</f>
        <v>-245</v>
      </c>
      <c r="G22" s="885">
        <f t="shared" si="0"/>
        <v>12323</v>
      </c>
      <c r="H22" s="885">
        <f>'[4]int.kiadások RM II'!J22</f>
        <v>2772</v>
      </c>
      <c r="I22" s="885">
        <f>1422+230</f>
        <v>1652</v>
      </c>
      <c r="J22" s="885">
        <f t="shared" si="3"/>
        <v>4424</v>
      </c>
      <c r="K22" s="841" t="s">
        <v>1036</v>
      </c>
      <c r="L22" s="885">
        <f>'[4]int.kiadások RM II'!N22</f>
        <v>0</v>
      </c>
      <c r="M22" s="885"/>
      <c r="N22" s="885">
        <f t="shared" si="4"/>
        <v>0</v>
      </c>
      <c r="O22" s="885">
        <f>'[4]int.kiadások RM II'!Q22</f>
        <v>0</v>
      </c>
      <c r="P22" s="885"/>
      <c r="Q22" s="885">
        <f t="shared" si="5"/>
        <v>0</v>
      </c>
      <c r="R22" s="885">
        <f t="shared" si="6"/>
        <v>78006</v>
      </c>
      <c r="S22" s="885">
        <f t="shared" si="6"/>
        <v>-239</v>
      </c>
      <c r="T22" s="885">
        <f t="shared" si="6"/>
        <v>77767</v>
      </c>
      <c r="U22" s="841" t="s">
        <v>1036</v>
      </c>
      <c r="V22" s="885">
        <f>'[4]int.kiadások RM II'!X22</f>
        <v>951</v>
      </c>
      <c r="W22" s="885">
        <v>631</v>
      </c>
      <c r="X22" s="885">
        <f t="shared" si="7"/>
        <v>1582</v>
      </c>
      <c r="Y22" s="885">
        <f>'[4]int.kiadások RM II'!AA22</f>
        <v>16272</v>
      </c>
      <c r="Z22" s="885">
        <v>2638</v>
      </c>
      <c r="AA22" s="885">
        <f t="shared" si="8"/>
        <v>18910</v>
      </c>
      <c r="AB22" s="885">
        <f>'[4]int.kiadások RM II'!AD22</f>
        <v>0</v>
      </c>
      <c r="AC22" s="885"/>
      <c r="AD22" s="885">
        <f t="shared" si="9"/>
        <v>0</v>
      </c>
      <c r="AE22" s="885">
        <f t="shared" si="10"/>
        <v>17223</v>
      </c>
      <c r="AF22" s="885">
        <f t="shared" si="10"/>
        <v>3269</v>
      </c>
      <c r="AG22" s="885">
        <f t="shared" si="10"/>
        <v>20492</v>
      </c>
      <c r="AH22" s="885">
        <f t="shared" si="1"/>
        <v>95229</v>
      </c>
      <c r="AI22" s="885">
        <f t="shared" si="1"/>
        <v>3030</v>
      </c>
      <c r="AJ22" s="885">
        <f t="shared" si="1"/>
        <v>98259</v>
      </c>
    </row>
    <row r="23" spans="1:36" s="878" customFormat="1" ht="48.75" customHeight="1" x14ac:dyDescent="0.6">
      <c r="A23" s="841" t="s">
        <v>1037</v>
      </c>
      <c r="B23" s="885">
        <f>'[4]int.kiadások RM II'!D23</f>
        <v>79944</v>
      </c>
      <c r="C23" s="885">
        <f>-428+714</f>
        <v>286</v>
      </c>
      <c r="D23" s="885">
        <f t="shared" si="2"/>
        <v>80230</v>
      </c>
      <c r="E23" s="885">
        <f>'[4]int.kiadások RM II'!G23</f>
        <v>15774</v>
      </c>
      <c r="F23" s="885">
        <f>-75-476</f>
        <v>-551</v>
      </c>
      <c r="G23" s="885">
        <f t="shared" si="0"/>
        <v>15223</v>
      </c>
      <c r="H23" s="885">
        <f>'[4]int.kiadások RM II'!J23</f>
        <v>3426</v>
      </c>
      <c r="I23" s="885">
        <f>1150+90</f>
        <v>1240</v>
      </c>
      <c r="J23" s="885">
        <f t="shared" si="3"/>
        <v>4666</v>
      </c>
      <c r="K23" s="841" t="s">
        <v>1037</v>
      </c>
      <c r="L23" s="885">
        <f>'[4]int.kiadások RM II'!N23</f>
        <v>0</v>
      </c>
      <c r="M23" s="885"/>
      <c r="N23" s="885">
        <f t="shared" si="4"/>
        <v>0</v>
      </c>
      <c r="O23" s="885">
        <f>'[4]int.kiadások RM II'!Q23</f>
        <v>0</v>
      </c>
      <c r="P23" s="885"/>
      <c r="Q23" s="885">
        <f t="shared" si="5"/>
        <v>0</v>
      </c>
      <c r="R23" s="885">
        <f t="shared" si="6"/>
        <v>99144</v>
      </c>
      <c r="S23" s="885">
        <f t="shared" si="6"/>
        <v>975</v>
      </c>
      <c r="T23" s="885">
        <f t="shared" si="6"/>
        <v>100119</v>
      </c>
      <c r="U23" s="841" t="s">
        <v>1037</v>
      </c>
      <c r="V23" s="885">
        <f>'[4]int.kiadások RM II'!X23</f>
        <v>17</v>
      </c>
      <c r="W23" s="885">
        <f>123+100</f>
        <v>223</v>
      </c>
      <c r="X23" s="885">
        <f t="shared" si="7"/>
        <v>240</v>
      </c>
      <c r="Y23" s="885">
        <f>'[4]int.kiadások RM II'!AA23</f>
        <v>0</v>
      </c>
      <c r="Z23" s="885"/>
      <c r="AA23" s="885">
        <f t="shared" si="8"/>
        <v>0</v>
      </c>
      <c r="AB23" s="885">
        <f>'[4]int.kiadások RM II'!AD23</f>
        <v>0</v>
      </c>
      <c r="AC23" s="885"/>
      <c r="AD23" s="885">
        <f t="shared" si="9"/>
        <v>0</v>
      </c>
      <c r="AE23" s="885">
        <f t="shared" si="10"/>
        <v>17</v>
      </c>
      <c r="AF23" s="885">
        <f t="shared" si="10"/>
        <v>223</v>
      </c>
      <c r="AG23" s="885">
        <f t="shared" si="10"/>
        <v>240</v>
      </c>
      <c r="AH23" s="885">
        <f t="shared" si="1"/>
        <v>99161</v>
      </c>
      <c r="AI23" s="885">
        <f t="shared" si="1"/>
        <v>1198</v>
      </c>
      <c r="AJ23" s="885">
        <f t="shared" si="1"/>
        <v>100359</v>
      </c>
    </row>
    <row r="24" spans="1:36" s="878" customFormat="1" ht="48.75" customHeight="1" x14ac:dyDescent="0.6">
      <c r="A24" s="841" t="s">
        <v>1038</v>
      </c>
      <c r="B24" s="885">
        <f>'[4]int.kiadások RM II'!D24</f>
        <v>97856</v>
      </c>
      <c r="C24" s="885">
        <v>211</v>
      </c>
      <c r="D24" s="885">
        <f t="shared" si="2"/>
        <v>98067</v>
      </c>
      <c r="E24" s="885">
        <f>'[4]int.kiadások RM II'!G24</f>
        <v>21316</v>
      </c>
      <c r="F24" s="885">
        <v>-752</v>
      </c>
      <c r="G24" s="885">
        <f t="shared" si="0"/>
        <v>20564</v>
      </c>
      <c r="H24" s="885">
        <f>'[4]int.kiadások RM II'!J24</f>
        <v>4947</v>
      </c>
      <c r="I24" s="885">
        <f>243+150</f>
        <v>393</v>
      </c>
      <c r="J24" s="885">
        <f t="shared" si="3"/>
        <v>5340</v>
      </c>
      <c r="K24" s="841" t="s">
        <v>1038</v>
      </c>
      <c r="L24" s="885">
        <f>'[4]int.kiadások RM II'!N24</f>
        <v>0</v>
      </c>
      <c r="M24" s="885"/>
      <c r="N24" s="885">
        <f t="shared" si="4"/>
        <v>0</v>
      </c>
      <c r="O24" s="885">
        <f>'[4]int.kiadások RM II'!Q24</f>
        <v>0</v>
      </c>
      <c r="P24" s="885"/>
      <c r="Q24" s="885">
        <f t="shared" si="5"/>
        <v>0</v>
      </c>
      <c r="R24" s="885">
        <f t="shared" si="6"/>
        <v>124119</v>
      </c>
      <c r="S24" s="885">
        <f t="shared" si="6"/>
        <v>-148</v>
      </c>
      <c r="T24" s="885">
        <f t="shared" si="6"/>
        <v>123971</v>
      </c>
      <c r="U24" s="841" t="s">
        <v>1038</v>
      </c>
      <c r="V24" s="885">
        <f>'[4]int.kiadások RM II'!X24</f>
        <v>530</v>
      </c>
      <c r="W24" s="885">
        <f>25+910</f>
        <v>935</v>
      </c>
      <c r="X24" s="885">
        <f t="shared" si="7"/>
        <v>1465</v>
      </c>
      <c r="Y24" s="885">
        <f>'[4]int.kiadások RM II'!AA24</f>
        <v>0</v>
      </c>
      <c r="Z24" s="885"/>
      <c r="AA24" s="885">
        <f t="shared" si="8"/>
        <v>0</v>
      </c>
      <c r="AB24" s="885">
        <f>'[4]int.kiadások RM II'!AD24</f>
        <v>0</v>
      </c>
      <c r="AC24" s="885"/>
      <c r="AD24" s="885">
        <f t="shared" si="9"/>
        <v>0</v>
      </c>
      <c r="AE24" s="885">
        <f t="shared" si="10"/>
        <v>530</v>
      </c>
      <c r="AF24" s="885">
        <f t="shared" si="10"/>
        <v>935</v>
      </c>
      <c r="AG24" s="885">
        <f t="shared" si="10"/>
        <v>1465</v>
      </c>
      <c r="AH24" s="885">
        <f t="shared" si="1"/>
        <v>124649</v>
      </c>
      <c r="AI24" s="885">
        <f t="shared" si="1"/>
        <v>787</v>
      </c>
      <c r="AJ24" s="885">
        <f t="shared" si="1"/>
        <v>125436</v>
      </c>
    </row>
    <row r="25" spans="1:36" s="878" customFormat="1" ht="48.75" customHeight="1" x14ac:dyDescent="0.6">
      <c r="A25" s="841" t="s">
        <v>1039</v>
      </c>
      <c r="B25" s="885">
        <f>'[4]int.kiadások RM II'!D25</f>
        <v>94895</v>
      </c>
      <c r="C25" s="885">
        <v>232</v>
      </c>
      <c r="D25" s="885">
        <f t="shared" si="2"/>
        <v>95127</v>
      </c>
      <c r="E25" s="885">
        <f>'[4]int.kiadások RM II'!G25</f>
        <v>18721</v>
      </c>
      <c r="F25" s="885">
        <v>-681</v>
      </c>
      <c r="G25" s="885">
        <f t="shared" si="0"/>
        <v>18040</v>
      </c>
      <c r="H25" s="885">
        <f>'[4]int.kiadások RM II'!J25</f>
        <v>4442</v>
      </c>
      <c r="I25" s="885">
        <f>-224+2175</f>
        <v>1951</v>
      </c>
      <c r="J25" s="885">
        <f t="shared" si="3"/>
        <v>6393</v>
      </c>
      <c r="K25" s="841" t="s">
        <v>1039</v>
      </c>
      <c r="L25" s="885">
        <f>'[4]int.kiadások RM II'!N25</f>
        <v>0</v>
      </c>
      <c r="M25" s="885"/>
      <c r="N25" s="885">
        <f t="shared" si="4"/>
        <v>0</v>
      </c>
      <c r="O25" s="885">
        <f>'[4]int.kiadások RM II'!Q25</f>
        <v>0</v>
      </c>
      <c r="P25" s="885"/>
      <c r="Q25" s="885">
        <f t="shared" si="5"/>
        <v>0</v>
      </c>
      <c r="R25" s="885">
        <f t="shared" si="6"/>
        <v>118058</v>
      </c>
      <c r="S25" s="885">
        <f t="shared" si="6"/>
        <v>1502</v>
      </c>
      <c r="T25" s="885">
        <f t="shared" si="6"/>
        <v>119560</v>
      </c>
      <c r="U25" s="841" t="s">
        <v>1039</v>
      </c>
      <c r="V25" s="885">
        <f>'[4]int.kiadások RM II'!X25</f>
        <v>220</v>
      </c>
      <c r="W25" s="885">
        <f>258+788</f>
        <v>1046</v>
      </c>
      <c r="X25" s="885">
        <f t="shared" si="7"/>
        <v>1266</v>
      </c>
      <c r="Y25" s="885">
        <f>'[4]int.kiadások RM II'!AA25</f>
        <v>0</v>
      </c>
      <c r="Z25" s="885">
        <v>3386</v>
      </c>
      <c r="AA25" s="885">
        <f t="shared" si="8"/>
        <v>3386</v>
      </c>
      <c r="AB25" s="885">
        <f>'[4]int.kiadások RM II'!AD25</f>
        <v>0</v>
      </c>
      <c r="AC25" s="885"/>
      <c r="AD25" s="885">
        <f t="shared" si="9"/>
        <v>0</v>
      </c>
      <c r="AE25" s="885">
        <f t="shared" si="10"/>
        <v>220</v>
      </c>
      <c r="AF25" s="885">
        <f t="shared" si="10"/>
        <v>4432</v>
      </c>
      <c r="AG25" s="885">
        <f t="shared" si="10"/>
        <v>4652</v>
      </c>
      <c r="AH25" s="885">
        <f t="shared" si="1"/>
        <v>118278</v>
      </c>
      <c r="AI25" s="885">
        <f t="shared" si="1"/>
        <v>5934</v>
      </c>
      <c r="AJ25" s="885">
        <f t="shared" si="1"/>
        <v>124212</v>
      </c>
    </row>
    <row r="26" spans="1:36" s="878" customFormat="1" ht="48.75" customHeight="1" x14ac:dyDescent="0.6">
      <c r="A26" s="839" t="s">
        <v>1040</v>
      </c>
      <c r="B26" s="885">
        <f>'[4]int.kiadások RM II'!D26</f>
        <v>63467</v>
      </c>
      <c r="C26" s="885">
        <f>-499+181</f>
        <v>-318</v>
      </c>
      <c r="D26" s="885">
        <f t="shared" si="2"/>
        <v>63149</v>
      </c>
      <c r="E26" s="885">
        <f>'[4]int.kiadások RM II'!G26</f>
        <v>12500</v>
      </c>
      <c r="F26" s="885">
        <f>-87-458</f>
        <v>-545</v>
      </c>
      <c r="G26" s="885">
        <f t="shared" si="0"/>
        <v>11955</v>
      </c>
      <c r="H26" s="885">
        <f>'[4]int.kiadások RM II'!J26</f>
        <v>3078</v>
      </c>
      <c r="I26" s="885">
        <f>1278+70</f>
        <v>1348</v>
      </c>
      <c r="J26" s="885">
        <f t="shared" si="3"/>
        <v>4426</v>
      </c>
      <c r="K26" s="839" t="s">
        <v>1040</v>
      </c>
      <c r="L26" s="885">
        <f>'[4]int.kiadások RM II'!N26</f>
        <v>0</v>
      </c>
      <c r="M26" s="885"/>
      <c r="N26" s="885">
        <f t="shared" si="4"/>
        <v>0</v>
      </c>
      <c r="O26" s="885">
        <f>'[4]int.kiadások RM II'!Q26</f>
        <v>0</v>
      </c>
      <c r="P26" s="885"/>
      <c r="Q26" s="885">
        <f t="shared" si="5"/>
        <v>0</v>
      </c>
      <c r="R26" s="885">
        <f t="shared" si="6"/>
        <v>79045</v>
      </c>
      <c r="S26" s="885">
        <f t="shared" si="6"/>
        <v>485</v>
      </c>
      <c r="T26" s="885">
        <f t="shared" si="6"/>
        <v>79530</v>
      </c>
      <c r="U26" s="839" t="s">
        <v>1040</v>
      </c>
      <c r="V26" s="885">
        <f>'[4]int.kiadások RM II'!X26</f>
        <v>7373</v>
      </c>
      <c r="W26" s="885">
        <f>-5473+100</f>
        <v>-5373</v>
      </c>
      <c r="X26" s="885">
        <f t="shared" si="7"/>
        <v>2000</v>
      </c>
      <c r="Y26" s="885">
        <f>'[4]int.kiadások RM II'!AA26</f>
        <v>8864</v>
      </c>
      <c r="Z26" s="885">
        <v>6237</v>
      </c>
      <c r="AA26" s="885">
        <f t="shared" si="8"/>
        <v>15101</v>
      </c>
      <c r="AB26" s="885">
        <f>'[4]int.kiadások RM II'!AD26</f>
        <v>0</v>
      </c>
      <c r="AC26" s="885"/>
      <c r="AD26" s="885">
        <f t="shared" si="9"/>
        <v>0</v>
      </c>
      <c r="AE26" s="885">
        <f t="shared" si="10"/>
        <v>16237</v>
      </c>
      <c r="AF26" s="885">
        <f t="shared" si="10"/>
        <v>864</v>
      </c>
      <c r="AG26" s="885">
        <f t="shared" si="10"/>
        <v>17101</v>
      </c>
      <c r="AH26" s="885">
        <f t="shared" si="1"/>
        <v>95282</v>
      </c>
      <c r="AI26" s="885">
        <f t="shared" si="1"/>
        <v>1349</v>
      </c>
      <c r="AJ26" s="885">
        <f t="shared" si="1"/>
        <v>96631</v>
      </c>
    </row>
    <row r="27" spans="1:36" s="878" customFormat="1" ht="48.75" customHeight="1" thickBot="1" x14ac:dyDescent="0.65">
      <c r="A27" s="844" t="s">
        <v>1041</v>
      </c>
      <c r="B27" s="885">
        <f>'[4]int.kiadások RM II'!D27</f>
        <v>45656</v>
      </c>
      <c r="C27" s="885">
        <f>-216+199</f>
        <v>-17</v>
      </c>
      <c r="D27" s="887">
        <f>SUM(B27:C27)</f>
        <v>45639</v>
      </c>
      <c r="E27" s="885">
        <f>'[4]int.kiadások RM II'!G27</f>
        <v>8862</v>
      </c>
      <c r="F27" s="887">
        <f>-38-326</f>
        <v>-364</v>
      </c>
      <c r="G27" s="887">
        <f t="shared" si="0"/>
        <v>8498</v>
      </c>
      <c r="H27" s="885">
        <f>'[4]int.kiadások RM II'!J27</f>
        <v>2161</v>
      </c>
      <c r="I27" s="887">
        <f>325+1030</f>
        <v>1355</v>
      </c>
      <c r="J27" s="887">
        <f t="shared" si="3"/>
        <v>3516</v>
      </c>
      <c r="K27" s="844" t="s">
        <v>1041</v>
      </c>
      <c r="L27" s="887">
        <f>'[4]int.kiadások RM II'!N27</f>
        <v>0</v>
      </c>
      <c r="M27" s="887"/>
      <c r="N27" s="887">
        <f t="shared" si="4"/>
        <v>0</v>
      </c>
      <c r="O27" s="887">
        <f>'[4]int.kiadások RM II'!Q27</f>
        <v>0</v>
      </c>
      <c r="P27" s="887"/>
      <c r="Q27" s="887">
        <f t="shared" si="5"/>
        <v>0</v>
      </c>
      <c r="R27" s="885">
        <f t="shared" si="6"/>
        <v>56679</v>
      </c>
      <c r="S27" s="885">
        <f t="shared" si="6"/>
        <v>974</v>
      </c>
      <c r="T27" s="885">
        <f t="shared" si="6"/>
        <v>57653</v>
      </c>
      <c r="U27" s="844" t="s">
        <v>1041</v>
      </c>
      <c r="V27" s="887">
        <f>'[4]int.kiadások RM II'!X27</f>
        <v>214</v>
      </c>
      <c r="W27" s="887">
        <f>92+1636</f>
        <v>1728</v>
      </c>
      <c r="X27" s="885">
        <f t="shared" si="7"/>
        <v>1942</v>
      </c>
      <c r="Y27" s="887">
        <f>'[4]int.kiadások RM II'!AA27</f>
        <v>0</v>
      </c>
      <c r="Z27" s="887"/>
      <c r="AA27" s="887">
        <f t="shared" si="8"/>
        <v>0</v>
      </c>
      <c r="AB27" s="887">
        <f>'[4]int.kiadások RM II'!AD27</f>
        <v>0</v>
      </c>
      <c r="AC27" s="887"/>
      <c r="AD27" s="887">
        <f t="shared" si="9"/>
        <v>0</v>
      </c>
      <c r="AE27" s="885">
        <f t="shared" si="10"/>
        <v>214</v>
      </c>
      <c r="AF27" s="885">
        <f t="shared" si="10"/>
        <v>1728</v>
      </c>
      <c r="AG27" s="888">
        <f t="shared" si="10"/>
        <v>1942</v>
      </c>
      <c r="AH27" s="885">
        <f t="shared" si="1"/>
        <v>56893</v>
      </c>
      <c r="AI27" s="885">
        <f t="shared" si="1"/>
        <v>2702</v>
      </c>
      <c r="AJ27" s="885">
        <f t="shared" si="1"/>
        <v>59595</v>
      </c>
    </row>
    <row r="28" spans="1:36" s="878" customFormat="1" ht="57.75" customHeight="1" thickBot="1" x14ac:dyDescent="0.65">
      <c r="A28" s="847" t="s">
        <v>1076</v>
      </c>
      <c r="B28" s="889">
        <f t="shared" ref="B28:J28" si="11">SUM(B10:B27)</f>
        <v>1465934</v>
      </c>
      <c r="C28" s="889">
        <f>SUM(C10:C27)</f>
        <v>-5539</v>
      </c>
      <c r="D28" s="889">
        <f t="shared" si="11"/>
        <v>1460395</v>
      </c>
      <c r="E28" s="889">
        <f t="shared" si="11"/>
        <v>301437</v>
      </c>
      <c r="F28" s="889">
        <f t="shared" si="11"/>
        <v>-11788</v>
      </c>
      <c r="G28" s="889">
        <f t="shared" si="11"/>
        <v>289649</v>
      </c>
      <c r="H28" s="889">
        <f t="shared" si="11"/>
        <v>76388</v>
      </c>
      <c r="I28" s="889">
        <f t="shared" si="11"/>
        <v>22254</v>
      </c>
      <c r="J28" s="889">
        <f t="shared" si="11"/>
        <v>98642</v>
      </c>
      <c r="K28" s="847" t="s">
        <v>1076</v>
      </c>
      <c r="L28" s="889">
        <f t="shared" ref="L28:T28" si="12">SUM(L10:L27)</f>
        <v>0</v>
      </c>
      <c r="M28" s="889">
        <f t="shared" si="12"/>
        <v>0</v>
      </c>
      <c r="N28" s="889">
        <f t="shared" si="12"/>
        <v>0</v>
      </c>
      <c r="O28" s="889">
        <f t="shared" si="12"/>
        <v>0</v>
      </c>
      <c r="P28" s="889">
        <f t="shared" si="12"/>
        <v>0</v>
      </c>
      <c r="Q28" s="889">
        <f t="shared" si="12"/>
        <v>0</v>
      </c>
      <c r="R28" s="889">
        <f t="shared" si="12"/>
        <v>1843759</v>
      </c>
      <c r="S28" s="889">
        <f t="shared" si="12"/>
        <v>4927</v>
      </c>
      <c r="T28" s="889">
        <f t="shared" si="12"/>
        <v>1848686</v>
      </c>
      <c r="U28" s="847" t="s">
        <v>1076</v>
      </c>
      <c r="V28" s="889">
        <f t="shared" ref="V28:AG28" si="13">SUM(V10:V27)</f>
        <v>29465</v>
      </c>
      <c r="W28" s="889">
        <f t="shared" si="13"/>
        <v>10831</v>
      </c>
      <c r="X28" s="889">
        <f t="shared" si="13"/>
        <v>40296</v>
      </c>
      <c r="Y28" s="889">
        <f t="shared" si="13"/>
        <v>78246</v>
      </c>
      <c r="Z28" s="889">
        <f t="shared" si="13"/>
        <v>24665</v>
      </c>
      <c r="AA28" s="889">
        <f t="shared" si="13"/>
        <v>102911</v>
      </c>
      <c r="AB28" s="889">
        <f>SUM(AB10:AB27)</f>
        <v>0</v>
      </c>
      <c r="AC28" s="889">
        <f>SUM(AC10:AC27)</f>
        <v>0</v>
      </c>
      <c r="AD28" s="889">
        <f>SUM(AD10:AD27)</f>
        <v>0</v>
      </c>
      <c r="AE28" s="889">
        <f t="shared" si="13"/>
        <v>107711</v>
      </c>
      <c r="AF28" s="889">
        <f t="shared" si="13"/>
        <v>35496</v>
      </c>
      <c r="AG28" s="890">
        <f t="shared" si="13"/>
        <v>143207</v>
      </c>
      <c r="AH28" s="889">
        <f>SUM(AH10:AH27)</f>
        <v>1951470</v>
      </c>
      <c r="AI28" s="889">
        <f>SUM(AI10:AI27)</f>
        <v>40423</v>
      </c>
      <c r="AJ28" s="889">
        <f>SUM(AJ10:AJ27)</f>
        <v>1991893</v>
      </c>
    </row>
    <row r="29" spans="1:36" s="878" customFormat="1" ht="63.75" customHeight="1" thickBot="1" x14ac:dyDescent="0.65">
      <c r="A29" s="850" t="s">
        <v>1043</v>
      </c>
      <c r="B29" s="885">
        <f>'[4]int.kiadások RM II'!D29</f>
        <v>234219</v>
      </c>
      <c r="C29" s="889">
        <f>2113-2381</f>
        <v>-268</v>
      </c>
      <c r="D29" s="885">
        <f t="shared" si="2"/>
        <v>233951</v>
      </c>
      <c r="E29" s="885">
        <f>'[4]int.kiadások RM II'!G29</f>
        <v>49524</v>
      </c>
      <c r="F29" s="889">
        <f>544-1831</f>
        <v>-1287</v>
      </c>
      <c r="G29" s="889">
        <f>SUM(E29:F29)</f>
        <v>48237</v>
      </c>
      <c r="H29" s="885">
        <f>'[4]int.kiadások RM II'!J29</f>
        <v>1340581</v>
      </c>
      <c r="I29" s="889">
        <f>-42910+735</f>
        <v>-42175</v>
      </c>
      <c r="J29" s="889">
        <f>SUM(H29:I29)</f>
        <v>1298406</v>
      </c>
      <c r="K29" s="850" t="s">
        <v>1043</v>
      </c>
      <c r="L29" s="889">
        <f>'[4]int.kiadások RM II'!N29</f>
        <v>0</v>
      </c>
      <c r="M29" s="889"/>
      <c r="N29" s="889">
        <f>SUM(L29:M29)</f>
        <v>0</v>
      </c>
      <c r="O29" s="889">
        <f>'[4]int.kiadások RM II'!Q29</f>
        <v>0</v>
      </c>
      <c r="P29" s="889"/>
      <c r="Q29" s="889">
        <f>SUM(O29:P29)</f>
        <v>0</v>
      </c>
      <c r="R29" s="885">
        <f>B29+E29+H29+L29+O29</f>
        <v>1624324</v>
      </c>
      <c r="S29" s="885">
        <f>C29+F29+I29+M29+P29</f>
        <v>-43730</v>
      </c>
      <c r="T29" s="885">
        <f>D29+G29+J29+N29+Q29</f>
        <v>1580594</v>
      </c>
      <c r="U29" s="850" t="s">
        <v>1043</v>
      </c>
      <c r="V29" s="889">
        <f>'[4]int.kiadások RM II'!X29</f>
        <v>46478</v>
      </c>
      <c r="W29" s="889">
        <f>40213+6538</f>
        <v>46751</v>
      </c>
      <c r="X29" s="889">
        <f t="shared" si="7"/>
        <v>93229</v>
      </c>
      <c r="Y29" s="889">
        <f>'[4]int.kiadások RM II'!AA29</f>
        <v>9963</v>
      </c>
      <c r="Z29" s="889">
        <v>4215</v>
      </c>
      <c r="AA29" s="889">
        <f>SUM(Y29:Z29)</f>
        <v>14178</v>
      </c>
      <c r="AB29" s="889">
        <f>'[4]int.kiadások RM II'!AD29</f>
        <v>0</v>
      </c>
      <c r="AC29" s="889"/>
      <c r="AD29" s="889">
        <f>SUM(AB29:AC29)</f>
        <v>0</v>
      </c>
      <c r="AE29" s="885">
        <f>V29+Y29+AB29</f>
        <v>56441</v>
      </c>
      <c r="AF29" s="885">
        <f>W29+Z29+AC29</f>
        <v>50966</v>
      </c>
      <c r="AG29" s="885">
        <f>X29+AA29+AD29</f>
        <v>107407</v>
      </c>
      <c r="AH29" s="885">
        <f t="shared" si="1"/>
        <v>1680765</v>
      </c>
      <c r="AI29" s="885">
        <f>S29+AF29</f>
        <v>7236</v>
      </c>
      <c r="AJ29" s="885">
        <f>T29+AG29</f>
        <v>1688001</v>
      </c>
    </row>
    <row r="30" spans="1:36" s="878" customFormat="1" ht="67.5" customHeight="1" thickBot="1" x14ac:dyDescent="0.65">
      <c r="A30" s="850" t="s">
        <v>1077</v>
      </c>
      <c r="B30" s="889">
        <f>SUM(B28:B29)</f>
        <v>1700153</v>
      </c>
      <c r="C30" s="889">
        <f>SUM(C28:C29)</f>
        <v>-5807</v>
      </c>
      <c r="D30" s="889">
        <f>SUM(D28:D29)</f>
        <v>1694346</v>
      </c>
      <c r="E30" s="889">
        <f t="shared" ref="E30:J30" si="14">SUM(E28:E29)</f>
        <v>350961</v>
      </c>
      <c r="F30" s="889">
        <f t="shared" si="14"/>
        <v>-13075</v>
      </c>
      <c r="G30" s="889">
        <f t="shared" si="14"/>
        <v>337886</v>
      </c>
      <c r="H30" s="889">
        <f t="shared" si="14"/>
        <v>1416969</v>
      </c>
      <c r="I30" s="889">
        <f t="shared" si="14"/>
        <v>-19921</v>
      </c>
      <c r="J30" s="889">
        <f t="shared" si="14"/>
        <v>1397048</v>
      </c>
      <c r="K30" s="850" t="s">
        <v>1077</v>
      </c>
      <c r="L30" s="889">
        <f t="shared" ref="L30:T30" si="15">SUM(L28:L29)</f>
        <v>0</v>
      </c>
      <c r="M30" s="889">
        <f t="shared" si="15"/>
        <v>0</v>
      </c>
      <c r="N30" s="889">
        <f t="shared" si="15"/>
        <v>0</v>
      </c>
      <c r="O30" s="889">
        <f t="shared" si="15"/>
        <v>0</v>
      </c>
      <c r="P30" s="889">
        <f t="shared" si="15"/>
        <v>0</v>
      </c>
      <c r="Q30" s="889">
        <f t="shared" si="15"/>
        <v>0</v>
      </c>
      <c r="R30" s="889">
        <f t="shared" si="15"/>
        <v>3468083</v>
      </c>
      <c r="S30" s="889">
        <f t="shared" si="15"/>
        <v>-38803</v>
      </c>
      <c r="T30" s="889">
        <f t="shared" si="15"/>
        <v>3429280</v>
      </c>
      <c r="U30" s="850" t="s">
        <v>1077</v>
      </c>
      <c r="V30" s="889">
        <f t="shared" ref="V30:AA30" si="16">SUM(V28:V29)</f>
        <v>75943</v>
      </c>
      <c r="W30" s="889">
        <f t="shared" si="16"/>
        <v>57582</v>
      </c>
      <c r="X30" s="889">
        <f t="shared" si="16"/>
        <v>133525</v>
      </c>
      <c r="Y30" s="889">
        <f t="shared" si="16"/>
        <v>88209</v>
      </c>
      <c r="Z30" s="889">
        <f t="shared" si="16"/>
        <v>28880</v>
      </c>
      <c r="AA30" s="889">
        <f t="shared" si="16"/>
        <v>117089</v>
      </c>
      <c r="AB30" s="889">
        <f>SUM(AB28:AB29)</f>
        <v>0</v>
      </c>
      <c r="AC30" s="889">
        <f>SUM(AC28:AC29)</f>
        <v>0</v>
      </c>
      <c r="AD30" s="889">
        <f>SUM(AD28:AD29)</f>
        <v>0</v>
      </c>
      <c r="AE30" s="889">
        <f t="shared" ref="AE30:AJ30" si="17">SUM(AE28:AE29)</f>
        <v>164152</v>
      </c>
      <c r="AF30" s="889">
        <f t="shared" si="17"/>
        <v>86462</v>
      </c>
      <c r="AG30" s="889">
        <f t="shared" si="17"/>
        <v>250614</v>
      </c>
      <c r="AH30" s="889">
        <f t="shared" si="17"/>
        <v>3632235</v>
      </c>
      <c r="AI30" s="889">
        <f t="shared" si="17"/>
        <v>47659</v>
      </c>
      <c r="AJ30" s="889">
        <f t="shared" si="17"/>
        <v>3679894</v>
      </c>
    </row>
    <row r="31" spans="1:36" s="878" customFormat="1" ht="48.75" customHeight="1" x14ac:dyDescent="0.6">
      <c r="A31" s="852" t="s">
        <v>1078</v>
      </c>
      <c r="B31" s="887"/>
      <c r="C31" s="887"/>
      <c r="D31" s="887"/>
      <c r="E31" s="887"/>
      <c r="F31" s="887"/>
      <c r="G31" s="887"/>
      <c r="H31" s="887"/>
      <c r="I31" s="887"/>
      <c r="J31" s="887"/>
      <c r="K31" s="852" t="s">
        <v>1078</v>
      </c>
      <c r="L31" s="887"/>
      <c r="M31" s="887"/>
      <c r="N31" s="887"/>
      <c r="O31" s="887"/>
      <c r="P31" s="887"/>
      <c r="Q31" s="887"/>
      <c r="R31" s="887"/>
      <c r="S31" s="887"/>
      <c r="T31" s="887"/>
      <c r="U31" s="852" t="s">
        <v>1078</v>
      </c>
      <c r="V31" s="887"/>
      <c r="W31" s="887"/>
      <c r="X31" s="887"/>
      <c r="Y31" s="887"/>
      <c r="Z31" s="887"/>
      <c r="AA31" s="887"/>
      <c r="AB31" s="887"/>
      <c r="AC31" s="887"/>
      <c r="AD31" s="887"/>
      <c r="AE31" s="887"/>
      <c r="AF31" s="887"/>
      <c r="AG31" s="887"/>
      <c r="AH31" s="887"/>
      <c r="AI31" s="887"/>
      <c r="AJ31" s="887"/>
    </row>
    <row r="32" spans="1:36" s="878" customFormat="1" ht="48.75" customHeight="1" x14ac:dyDescent="0.6">
      <c r="A32" s="853" t="s">
        <v>1079</v>
      </c>
      <c r="B32" s="887"/>
      <c r="C32" s="887"/>
      <c r="D32" s="887"/>
      <c r="E32" s="887"/>
      <c r="F32" s="887"/>
      <c r="G32" s="887"/>
      <c r="H32" s="887"/>
      <c r="I32" s="887"/>
      <c r="J32" s="887"/>
      <c r="K32" s="853" t="s">
        <v>1079</v>
      </c>
      <c r="L32" s="887"/>
      <c r="M32" s="887"/>
      <c r="N32" s="887"/>
      <c r="O32" s="887"/>
      <c r="P32" s="887"/>
      <c r="Q32" s="887"/>
      <c r="R32" s="887"/>
      <c r="S32" s="887"/>
      <c r="T32" s="887"/>
      <c r="U32" s="853" t="s">
        <v>1079</v>
      </c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</row>
    <row r="33" spans="1:36" s="878" customFormat="1" ht="48.75" customHeight="1" x14ac:dyDescent="0.6">
      <c r="A33" s="854" t="s">
        <v>1047</v>
      </c>
      <c r="B33" s="885">
        <f>'[4]int.kiadások RM II'!D33</f>
        <v>204169</v>
      </c>
      <c r="C33" s="887">
        <v>4161</v>
      </c>
      <c r="D33" s="887">
        <f t="shared" si="2"/>
        <v>208330</v>
      </c>
      <c r="E33" s="885">
        <f>'[4]int.kiadások RM II'!G33</f>
        <v>42231</v>
      </c>
      <c r="F33" s="887">
        <v>-109</v>
      </c>
      <c r="G33" s="887">
        <f>SUM(E33:F33)</f>
        <v>42122</v>
      </c>
      <c r="H33" s="885">
        <f>'[4]int.kiadások RM II'!J33</f>
        <v>297494</v>
      </c>
      <c r="I33" s="887">
        <f>1500+6220</f>
        <v>7720</v>
      </c>
      <c r="J33" s="887">
        <f>SUM(H33:I33)</f>
        <v>305214</v>
      </c>
      <c r="K33" s="854" t="s">
        <v>1047</v>
      </c>
      <c r="L33" s="887">
        <f>'[4]int.kiadások RM II'!N33</f>
        <v>0</v>
      </c>
      <c r="M33" s="887"/>
      <c r="N33" s="887">
        <f>SUM(L33:M33)</f>
        <v>0</v>
      </c>
      <c r="O33" s="887">
        <f>'[4]int.kiadások RM II'!Q33</f>
        <v>0</v>
      </c>
      <c r="P33" s="887"/>
      <c r="Q33" s="887">
        <f>SUM(O33:P33)</f>
        <v>0</v>
      </c>
      <c r="R33" s="885">
        <f>B33+E33+H33+L33+O33</f>
        <v>543894</v>
      </c>
      <c r="S33" s="885">
        <f t="shared" ref="S33:T37" si="18">C33+F33+I33+M33+P33</f>
        <v>11772</v>
      </c>
      <c r="T33" s="885">
        <f t="shared" si="18"/>
        <v>555666</v>
      </c>
      <c r="U33" s="854" t="s">
        <v>1047</v>
      </c>
      <c r="V33" s="887">
        <f>'[4]int.kiadások RM II'!X33</f>
        <v>20858</v>
      </c>
      <c r="W33" s="887"/>
      <c r="X33" s="887">
        <f>SUM(V33:W33)</f>
        <v>20858</v>
      </c>
      <c r="Y33" s="887">
        <f>'[4]int.kiadások RM II'!AA33</f>
        <v>0</v>
      </c>
      <c r="Z33" s="887"/>
      <c r="AA33" s="887">
        <f>SUM(Y33:Z33)</f>
        <v>0</v>
      </c>
      <c r="AB33" s="887">
        <f>'[4]int.kiadások RM II'!AD33</f>
        <v>0</v>
      </c>
      <c r="AC33" s="887"/>
      <c r="AD33" s="887">
        <f>SUM(AB33:AC33)</f>
        <v>0</v>
      </c>
      <c r="AE33" s="885">
        <f t="shared" ref="AE33:AG37" si="19">V33+Y33+AB33</f>
        <v>20858</v>
      </c>
      <c r="AF33" s="885">
        <f t="shared" si="19"/>
        <v>0</v>
      </c>
      <c r="AG33" s="885">
        <f t="shared" si="19"/>
        <v>20858</v>
      </c>
      <c r="AH33" s="885">
        <f>R33+AE33</f>
        <v>564752</v>
      </c>
      <c r="AI33" s="885">
        <f t="shared" ref="AI33:AJ37" si="20">S33+AF33</f>
        <v>11772</v>
      </c>
      <c r="AJ33" s="885">
        <f t="shared" si="20"/>
        <v>576524</v>
      </c>
    </row>
    <row r="34" spans="1:36" s="878" customFormat="1" ht="48.75" customHeight="1" x14ac:dyDescent="0.6">
      <c r="A34" s="841" t="s">
        <v>169</v>
      </c>
      <c r="B34" s="885">
        <f>'[4]int.kiadások RM II'!D34</f>
        <v>82471</v>
      </c>
      <c r="C34" s="891">
        <f>5056+2284</f>
        <v>7340</v>
      </c>
      <c r="D34" s="891">
        <f t="shared" si="2"/>
        <v>89811</v>
      </c>
      <c r="E34" s="885">
        <f>'[4]int.kiadások RM II'!G34</f>
        <v>16005</v>
      </c>
      <c r="F34" s="891">
        <f>883-194</f>
        <v>689</v>
      </c>
      <c r="G34" s="891">
        <f>SUM(E34:F34)</f>
        <v>16694</v>
      </c>
      <c r="H34" s="885">
        <f>'[4]int.kiadások RM II'!J34</f>
        <v>53090</v>
      </c>
      <c r="I34" s="891">
        <v>10007</v>
      </c>
      <c r="J34" s="891">
        <f>SUM(H34:I34)</f>
        <v>63097</v>
      </c>
      <c r="K34" s="841" t="s">
        <v>169</v>
      </c>
      <c r="L34" s="891">
        <f>'[4]int.kiadások RM II'!N34</f>
        <v>0</v>
      </c>
      <c r="M34" s="891"/>
      <c r="N34" s="891">
        <f>SUM(L34:M34)</f>
        <v>0</v>
      </c>
      <c r="O34" s="891">
        <f>'[4]int.kiadások RM II'!Q34</f>
        <v>0</v>
      </c>
      <c r="P34" s="891"/>
      <c r="Q34" s="891">
        <f>SUM(O34:P34)</f>
        <v>0</v>
      </c>
      <c r="R34" s="885">
        <f>B34+E34+H34+L34+O34</f>
        <v>151566</v>
      </c>
      <c r="S34" s="885">
        <f t="shared" si="18"/>
        <v>18036</v>
      </c>
      <c r="T34" s="885">
        <f t="shared" si="18"/>
        <v>169602</v>
      </c>
      <c r="U34" s="841" t="s">
        <v>169</v>
      </c>
      <c r="V34" s="891">
        <f>'[4]int.kiadások RM II'!X34</f>
        <v>0</v>
      </c>
      <c r="W34" s="891">
        <v>2999</v>
      </c>
      <c r="X34" s="891">
        <f>SUM(V34:W34)</f>
        <v>2999</v>
      </c>
      <c r="Y34" s="891">
        <f>'[4]int.kiadások RM II'!AA34</f>
        <v>0</v>
      </c>
      <c r="Z34" s="891"/>
      <c r="AA34" s="891">
        <f>SUM(Y34:Z34)</f>
        <v>0</v>
      </c>
      <c r="AB34" s="891">
        <f>'[4]int.kiadások RM II'!AD34</f>
        <v>0</v>
      </c>
      <c r="AC34" s="891"/>
      <c r="AD34" s="891">
        <f>SUM(AB34:AC34)</f>
        <v>0</v>
      </c>
      <c r="AE34" s="885">
        <f t="shared" si="19"/>
        <v>0</v>
      </c>
      <c r="AF34" s="885">
        <f t="shared" si="19"/>
        <v>2999</v>
      </c>
      <c r="AG34" s="885">
        <f t="shared" si="19"/>
        <v>2999</v>
      </c>
      <c r="AH34" s="885">
        <f>R34+AE34</f>
        <v>151566</v>
      </c>
      <c r="AI34" s="885">
        <f t="shared" si="20"/>
        <v>21035</v>
      </c>
      <c r="AJ34" s="885">
        <f t="shared" si="20"/>
        <v>172601</v>
      </c>
    </row>
    <row r="35" spans="1:36" s="878" customFormat="1" ht="48.75" customHeight="1" x14ac:dyDescent="0.6">
      <c r="A35" s="841" t="s">
        <v>1048</v>
      </c>
      <c r="B35" s="885">
        <f>'[4]int.kiadások RM II'!D35</f>
        <v>338807</v>
      </c>
      <c r="C35" s="891">
        <v>11285</v>
      </c>
      <c r="D35" s="891">
        <f t="shared" si="2"/>
        <v>350092</v>
      </c>
      <c r="E35" s="885">
        <f>'[4]int.kiadások RM II'!G35</f>
        <v>63775</v>
      </c>
      <c r="F35" s="891">
        <v>-173</v>
      </c>
      <c r="G35" s="891">
        <f>SUM(E35:F35)</f>
        <v>63602</v>
      </c>
      <c r="H35" s="885">
        <f>'[4]int.kiadások RM II'!J35</f>
        <v>176497</v>
      </c>
      <c r="I35" s="891">
        <v>1300</v>
      </c>
      <c r="J35" s="891">
        <f>SUM(H35:I35)</f>
        <v>177797</v>
      </c>
      <c r="K35" s="841" t="s">
        <v>1048</v>
      </c>
      <c r="L35" s="891">
        <f>'[4]int.kiadások RM II'!N35</f>
        <v>0</v>
      </c>
      <c r="M35" s="891"/>
      <c r="N35" s="891">
        <f>SUM(L35:M35)</f>
        <v>0</v>
      </c>
      <c r="O35" s="891">
        <f>'[4]int.kiadások RM II'!Q35</f>
        <v>0</v>
      </c>
      <c r="P35" s="891"/>
      <c r="Q35" s="891">
        <f>SUM(O35:P35)</f>
        <v>0</v>
      </c>
      <c r="R35" s="885">
        <f>B35+E35+H35+L35+O35</f>
        <v>579079</v>
      </c>
      <c r="S35" s="885">
        <f t="shared" si="18"/>
        <v>12412</v>
      </c>
      <c r="T35" s="885">
        <f t="shared" si="18"/>
        <v>591491</v>
      </c>
      <c r="U35" s="841" t="s">
        <v>1048</v>
      </c>
      <c r="V35" s="891">
        <f>'[4]int.kiadások RM II'!X35</f>
        <v>20327</v>
      </c>
      <c r="W35" s="891"/>
      <c r="X35" s="891">
        <f>SUM(V35:W35)</f>
        <v>20327</v>
      </c>
      <c r="Y35" s="891">
        <f>'[4]int.kiadások RM II'!AA35</f>
        <v>0</v>
      </c>
      <c r="Z35" s="891"/>
      <c r="AA35" s="891">
        <f>SUM(Y35:Z35)</f>
        <v>0</v>
      </c>
      <c r="AB35" s="891">
        <f>'[4]int.kiadások RM II'!AD35</f>
        <v>0</v>
      </c>
      <c r="AC35" s="891"/>
      <c r="AD35" s="891">
        <f>SUM(AB35:AC35)</f>
        <v>0</v>
      </c>
      <c r="AE35" s="885">
        <f t="shared" si="19"/>
        <v>20327</v>
      </c>
      <c r="AF35" s="885">
        <f t="shared" si="19"/>
        <v>0</v>
      </c>
      <c r="AG35" s="885">
        <f t="shared" si="19"/>
        <v>20327</v>
      </c>
      <c r="AH35" s="885">
        <f>R35+AE35</f>
        <v>599406</v>
      </c>
      <c r="AI35" s="885">
        <f t="shared" si="20"/>
        <v>12412</v>
      </c>
      <c r="AJ35" s="885">
        <f t="shared" si="20"/>
        <v>611818</v>
      </c>
    </row>
    <row r="36" spans="1:36" s="878" customFormat="1" ht="48.75" customHeight="1" x14ac:dyDescent="0.6">
      <c r="A36" s="841" t="s">
        <v>1049</v>
      </c>
      <c r="B36" s="885">
        <f>'[4]int.kiadások RM II'!D36</f>
        <v>190045</v>
      </c>
      <c r="C36" s="891">
        <v>5300</v>
      </c>
      <c r="D36" s="891">
        <f t="shared" si="2"/>
        <v>195345</v>
      </c>
      <c r="E36" s="885">
        <f>'[4]int.kiadások RM II'!G36</f>
        <v>36112</v>
      </c>
      <c r="F36" s="891">
        <v>-150</v>
      </c>
      <c r="G36" s="891">
        <f>SUM(E36:F36)</f>
        <v>35962</v>
      </c>
      <c r="H36" s="885">
        <f>'[4]int.kiadások RM II'!J36</f>
        <v>195123</v>
      </c>
      <c r="I36" s="891">
        <f>1676+250</f>
        <v>1926</v>
      </c>
      <c r="J36" s="891">
        <f>SUM(H36:I36)</f>
        <v>197049</v>
      </c>
      <c r="K36" s="841" t="s">
        <v>1049</v>
      </c>
      <c r="L36" s="891">
        <f>'[4]int.kiadások RM II'!N36</f>
        <v>0</v>
      </c>
      <c r="M36" s="891"/>
      <c r="N36" s="891">
        <f>SUM(L36:M36)</f>
        <v>0</v>
      </c>
      <c r="O36" s="891">
        <f>'[4]int.kiadások RM II'!Q36</f>
        <v>0</v>
      </c>
      <c r="P36" s="891"/>
      <c r="Q36" s="891">
        <f>SUM(O36:P36)</f>
        <v>0</v>
      </c>
      <c r="R36" s="885">
        <f>B36+E36+H36+L36+O36</f>
        <v>421280</v>
      </c>
      <c r="S36" s="885">
        <f t="shared" si="18"/>
        <v>7076</v>
      </c>
      <c r="T36" s="885">
        <f t="shared" si="18"/>
        <v>428356</v>
      </c>
      <c r="U36" s="841" t="s">
        <v>1049</v>
      </c>
      <c r="V36" s="891">
        <f>'[4]int.kiadások RM II'!X36</f>
        <v>21335</v>
      </c>
      <c r="W36" s="891"/>
      <c r="X36" s="891">
        <f>SUM(V36:W36)</f>
        <v>21335</v>
      </c>
      <c r="Y36" s="891">
        <f>'[4]int.kiadások RM II'!AA36</f>
        <v>0</v>
      </c>
      <c r="Z36" s="891"/>
      <c r="AA36" s="891">
        <f>SUM(Y36:Z36)</f>
        <v>0</v>
      </c>
      <c r="AB36" s="891">
        <f>'[4]int.kiadások RM II'!AD36</f>
        <v>0</v>
      </c>
      <c r="AC36" s="891"/>
      <c r="AD36" s="891">
        <f>SUM(AB36:AC36)</f>
        <v>0</v>
      </c>
      <c r="AE36" s="885">
        <f t="shared" si="19"/>
        <v>21335</v>
      </c>
      <c r="AF36" s="885">
        <f t="shared" si="19"/>
        <v>0</v>
      </c>
      <c r="AG36" s="885">
        <f t="shared" si="19"/>
        <v>21335</v>
      </c>
      <c r="AH36" s="885">
        <f>R36+AE36</f>
        <v>442615</v>
      </c>
      <c r="AI36" s="885">
        <f t="shared" si="20"/>
        <v>7076</v>
      </c>
      <c r="AJ36" s="885">
        <f t="shared" si="20"/>
        <v>449691</v>
      </c>
    </row>
    <row r="37" spans="1:36" s="878" customFormat="1" ht="48.75" customHeight="1" thickBot="1" x14ac:dyDescent="0.65">
      <c r="A37" s="854" t="s">
        <v>1050</v>
      </c>
      <c r="B37" s="885">
        <f>'[4]int.kiadások RM II'!D37</f>
        <v>353442</v>
      </c>
      <c r="C37" s="891">
        <v>11328</v>
      </c>
      <c r="D37" s="891">
        <f t="shared" si="2"/>
        <v>364770</v>
      </c>
      <c r="E37" s="885">
        <f>'[4]int.kiadások RM II'!G37</f>
        <v>63621</v>
      </c>
      <c r="F37" s="891">
        <v>-278</v>
      </c>
      <c r="G37" s="891">
        <f>SUM(E37:F37)</f>
        <v>63343</v>
      </c>
      <c r="H37" s="885">
        <f>'[4]int.kiadások RM II'!J37</f>
        <v>167482</v>
      </c>
      <c r="I37" s="891">
        <f>58434+534</f>
        <v>58968</v>
      </c>
      <c r="J37" s="891">
        <f>SUM(H37:I37)</f>
        <v>226450</v>
      </c>
      <c r="K37" s="854" t="s">
        <v>1050</v>
      </c>
      <c r="L37" s="891">
        <f>'[4]int.kiadások RM II'!N37</f>
        <v>0</v>
      </c>
      <c r="M37" s="891"/>
      <c r="N37" s="891">
        <f>SUM(L37:M37)</f>
        <v>0</v>
      </c>
      <c r="O37" s="891">
        <f>'[4]int.kiadások RM II'!Q37</f>
        <v>0</v>
      </c>
      <c r="P37" s="891"/>
      <c r="Q37" s="891">
        <f>SUM(O37:P37)</f>
        <v>0</v>
      </c>
      <c r="R37" s="885">
        <f>B37+E37+H37+L37+O37</f>
        <v>584545</v>
      </c>
      <c r="S37" s="885">
        <f t="shared" si="18"/>
        <v>70018</v>
      </c>
      <c r="T37" s="885">
        <f t="shared" si="18"/>
        <v>654563</v>
      </c>
      <c r="U37" s="854" t="s">
        <v>1050</v>
      </c>
      <c r="V37" s="891">
        <f>'[4]int.kiadások RM II'!X37</f>
        <v>13885</v>
      </c>
      <c r="W37" s="891">
        <f>7000+2400</f>
        <v>9400</v>
      </c>
      <c r="X37" s="891">
        <f>SUM(V37:W37)</f>
        <v>23285</v>
      </c>
      <c r="Y37" s="891">
        <f>'[4]int.kiadások RM II'!AA37</f>
        <v>0</v>
      </c>
      <c r="Z37" s="891"/>
      <c r="AA37" s="891">
        <f>SUM(Y37:Z37)</f>
        <v>0</v>
      </c>
      <c r="AB37" s="891">
        <f>'[4]int.kiadások RM II'!AD37</f>
        <v>0</v>
      </c>
      <c r="AC37" s="891"/>
      <c r="AD37" s="891">
        <f>SUM(AB37:AC37)</f>
        <v>0</v>
      </c>
      <c r="AE37" s="885">
        <f t="shared" si="19"/>
        <v>13885</v>
      </c>
      <c r="AF37" s="885">
        <f t="shared" si="19"/>
        <v>9400</v>
      </c>
      <c r="AG37" s="885">
        <f t="shared" si="19"/>
        <v>23285</v>
      </c>
      <c r="AH37" s="885">
        <f>R37+AE37</f>
        <v>598430</v>
      </c>
      <c r="AI37" s="885">
        <f t="shared" si="20"/>
        <v>79418</v>
      </c>
      <c r="AJ37" s="885">
        <f t="shared" si="20"/>
        <v>677848</v>
      </c>
    </row>
    <row r="38" spans="1:36" s="878" customFormat="1" ht="61.5" customHeight="1" thickBot="1" x14ac:dyDescent="0.65">
      <c r="A38" s="857" t="s">
        <v>1080</v>
      </c>
      <c r="B38" s="889">
        <f t="shared" ref="B38:J38" si="21">SUM(B33:B37)</f>
        <v>1168934</v>
      </c>
      <c r="C38" s="889">
        <f t="shared" si="21"/>
        <v>39414</v>
      </c>
      <c r="D38" s="889">
        <f t="shared" si="21"/>
        <v>1208348</v>
      </c>
      <c r="E38" s="889">
        <f t="shared" si="21"/>
        <v>221744</v>
      </c>
      <c r="F38" s="889">
        <f t="shared" si="21"/>
        <v>-21</v>
      </c>
      <c r="G38" s="889">
        <f t="shared" si="21"/>
        <v>221723</v>
      </c>
      <c r="H38" s="889">
        <f t="shared" si="21"/>
        <v>889686</v>
      </c>
      <c r="I38" s="889">
        <f t="shared" si="21"/>
        <v>79921</v>
      </c>
      <c r="J38" s="889">
        <f t="shared" si="21"/>
        <v>969607</v>
      </c>
      <c r="K38" s="857" t="s">
        <v>1080</v>
      </c>
      <c r="L38" s="889">
        <f t="shared" ref="L38:T38" si="22">SUM(L33:L37)</f>
        <v>0</v>
      </c>
      <c r="M38" s="889">
        <f t="shared" si="22"/>
        <v>0</v>
      </c>
      <c r="N38" s="889">
        <f t="shared" si="22"/>
        <v>0</v>
      </c>
      <c r="O38" s="889">
        <f t="shared" si="22"/>
        <v>0</v>
      </c>
      <c r="P38" s="889">
        <f t="shared" si="22"/>
        <v>0</v>
      </c>
      <c r="Q38" s="889">
        <f t="shared" si="22"/>
        <v>0</v>
      </c>
      <c r="R38" s="889">
        <f t="shared" si="22"/>
        <v>2280364</v>
      </c>
      <c r="S38" s="889">
        <f t="shared" si="22"/>
        <v>119314</v>
      </c>
      <c r="T38" s="889">
        <f t="shared" si="22"/>
        <v>2399678</v>
      </c>
      <c r="U38" s="857" t="s">
        <v>1080</v>
      </c>
      <c r="V38" s="889">
        <f t="shared" ref="V38:AA38" si="23">SUM(V33:V37)</f>
        <v>76405</v>
      </c>
      <c r="W38" s="889">
        <f t="shared" si="23"/>
        <v>12399</v>
      </c>
      <c r="X38" s="889">
        <f t="shared" si="23"/>
        <v>88804</v>
      </c>
      <c r="Y38" s="889">
        <f t="shared" si="23"/>
        <v>0</v>
      </c>
      <c r="Z38" s="889">
        <f t="shared" si="23"/>
        <v>0</v>
      </c>
      <c r="AA38" s="889">
        <f t="shared" si="23"/>
        <v>0</v>
      </c>
      <c r="AB38" s="889">
        <f>SUM(AB33:AB37)</f>
        <v>0</v>
      </c>
      <c r="AC38" s="889">
        <f>SUM(AC33:AC37)</f>
        <v>0</v>
      </c>
      <c r="AD38" s="889">
        <f>SUM(AD33:AD37)</f>
        <v>0</v>
      </c>
      <c r="AE38" s="889">
        <f t="shared" ref="AE38:AJ38" si="24">SUM(AE33:AE37)</f>
        <v>76405</v>
      </c>
      <c r="AF38" s="889">
        <f t="shared" si="24"/>
        <v>12399</v>
      </c>
      <c r="AG38" s="889">
        <f t="shared" si="24"/>
        <v>88804</v>
      </c>
      <c r="AH38" s="889">
        <f t="shared" si="24"/>
        <v>2356769</v>
      </c>
      <c r="AI38" s="889">
        <f t="shared" si="24"/>
        <v>131713</v>
      </c>
      <c r="AJ38" s="889">
        <f t="shared" si="24"/>
        <v>2488482</v>
      </c>
    </row>
    <row r="39" spans="1:36" s="878" customFormat="1" ht="48.75" customHeight="1" x14ac:dyDescent="0.6">
      <c r="A39" s="858" t="s">
        <v>1052</v>
      </c>
      <c r="B39" s="883"/>
      <c r="C39" s="883"/>
      <c r="D39" s="883"/>
      <c r="E39" s="883"/>
      <c r="F39" s="883"/>
      <c r="G39" s="883"/>
      <c r="H39" s="883"/>
      <c r="I39" s="883"/>
      <c r="J39" s="883"/>
      <c r="K39" s="858" t="s">
        <v>1089</v>
      </c>
      <c r="L39" s="883"/>
      <c r="M39" s="883"/>
      <c r="N39" s="883"/>
      <c r="O39" s="883"/>
      <c r="P39" s="883"/>
      <c r="Q39" s="883"/>
      <c r="R39" s="883"/>
      <c r="S39" s="883"/>
      <c r="T39" s="883"/>
      <c r="U39" s="858" t="s">
        <v>1089</v>
      </c>
      <c r="V39" s="883"/>
      <c r="W39" s="883"/>
      <c r="X39" s="883"/>
      <c r="Y39" s="883"/>
      <c r="Z39" s="883"/>
      <c r="AA39" s="883"/>
      <c r="AB39" s="883"/>
      <c r="AC39" s="883"/>
      <c r="AD39" s="883"/>
      <c r="AE39" s="883"/>
      <c r="AF39" s="883"/>
      <c r="AG39" s="883"/>
      <c r="AH39" s="883"/>
      <c r="AI39" s="883"/>
      <c r="AJ39" s="883"/>
    </row>
    <row r="40" spans="1:36" s="881" customFormat="1" ht="88.5" customHeight="1" thickBot="1" x14ac:dyDescent="0.65">
      <c r="A40" s="859" t="s">
        <v>1053</v>
      </c>
      <c r="B40" s="890">
        <f>'[4]int.kiadások RM II'!D40</f>
        <v>544707</v>
      </c>
      <c r="C40" s="890">
        <v>49227</v>
      </c>
      <c r="D40" s="890">
        <f>SUM(B40:C40)</f>
        <v>593934</v>
      </c>
      <c r="E40" s="890">
        <f>'[4]int.kiadások RM II'!G40</f>
        <v>121144</v>
      </c>
      <c r="F40" s="890">
        <v>5945</v>
      </c>
      <c r="G40" s="890">
        <f>SUM(E40:F40)</f>
        <v>127089</v>
      </c>
      <c r="H40" s="890">
        <f>'[4]int.kiadások RM II'!J40</f>
        <v>243416</v>
      </c>
      <c r="I40" s="890">
        <f>16043+4362</f>
        <v>20405</v>
      </c>
      <c r="J40" s="890">
        <f>SUM(H40:I40)</f>
        <v>263821</v>
      </c>
      <c r="K40" s="859" t="s">
        <v>1053</v>
      </c>
      <c r="L40" s="890">
        <f>'[4]int.kiadások RM II'!N40</f>
        <v>0</v>
      </c>
      <c r="M40" s="890"/>
      <c r="N40" s="890">
        <f>SUM(L40:M40)</f>
        <v>0</v>
      </c>
      <c r="O40" s="890">
        <f>'[4]int.kiadások RM II'!Q40</f>
        <v>0</v>
      </c>
      <c r="P40" s="890"/>
      <c r="Q40" s="890">
        <f>SUM(O40:P40)</f>
        <v>0</v>
      </c>
      <c r="R40" s="890">
        <f>B40+E40+H40+L40+O40</f>
        <v>909267</v>
      </c>
      <c r="S40" s="890">
        <f>C40+F40+I40+M40+P40</f>
        <v>75577</v>
      </c>
      <c r="T40" s="890">
        <f>D40+G40+J40+N40+Q40</f>
        <v>984844</v>
      </c>
      <c r="U40" s="859" t="s">
        <v>1053</v>
      </c>
      <c r="V40" s="890">
        <f>'[4]int.kiadások RM II'!X40</f>
        <v>4839</v>
      </c>
      <c r="W40" s="890">
        <f>8370+1470</f>
        <v>9840</v>
      </c>
      <c r="X40" s="890">
        <f>SUM(V40:W40)</f>
        <v>14679</v>
      </c>
      <c r="Y40" s="890">
        <f>'[4]int.kiadások RM II'!AA40</f>
        <v>9767</v>
      </c>
      <c r="Z40" s="890">
        <f>1157+3597</f>
        <v>4754</v>
      </c>
      <c r="AA40" s="890">
        <f>SUM(Y40:Z40)</f>
        <v>14521</v>
      </c>
      <c r="AB40" s="890">
        <f>'[4]int.kiadások RM II'!AD40</f>
        <v>0</v>
      </c>
      <c r="AC40" s="890"/>
      <c r="AD40" s="890">
        <f>SUM(AB40:AC40)</f>
        <v>0</v>
      </c>
      <c r="AE40" s="890">
        <f>V40+Y40+AB40</f>
        <v>14606</v>
      </c>
      <c r="AF40" s="890">
        <f>W40+Z40+AC40</f>
        <v>14594</v>
      </c>
      <c r="AG40" s="890">
        <f>X40+AA40+AD40</f>
        <v>29200</v>
      </c>
      <c r="AH40" s="890">
        <f>R40+AE40</f>
        <v>923873</v>
      </c>
      <c r="AI40" s="890">
        <f>S40+AF40</f>
        <v>90171</v>
      </c>
      <c r="AJ40" s="890">
        <f>T40+AG40</f>
        <v>1014044</v>
      </c>
    </row>
    <row r="41" spans="1:36" s="878" customFormat="1" ht="48.75" customHeight="1" x14ac:dyDescent="0.6">
      <c r="A41" s="858" t="s">
        <v>1054</v>
      </c>
      <c r="B41" s="883"/>
      <c r="C41" s="883"/>
      <c r="D41" s="883"/>
      <c r="E41" s="883"/>
      <c r="F41" s="883"/>
      <c r="G41" s="883"/>
      <c r="H41" s="883"/>
      <c r="I41" s="883"/>
      <c r="J41" s="883"/>
      <c r="K41" s="858" t="s">
        <v>1054</v>
      </c>
      <c r="L41" s="883"/>
      <c r="M41" s="883"/>
      <c r="N41" s="883"/>
      <c r="O41" s="883"/>
      <c r="P41" s="883"/>
      <c r="Q41" s="883"/>
      <c r="R41" s="883"/>
      <c r="S41" s="883"/>
      <c r="T41" s="883"/>
      <c r="U41" s="858" t="s">
        <v>1054</v>
      </c>
      <c r="V41" s="883"/>
      <c r="W41" s="883"/>
      <c r="X41" s="883"/>
      <c r="Y41" s="883"/>
      <c r="Z41" s="883"/>
      <c r="AA41" s="883"/>
      <c r="AB41" s="883"/>
      <c r="AC41" s="883"/>
      <c r="AD41" s="883"/>
      <c r="AE41" s="883"/>
      <c r="AF41" s="883"/>
      <c r="AG41" s="883"/>
      <c r="AH41" s="883"/>
      <c r="AI41" s="883"/>
      <c r="AJ41" s="883"/>
    </row>
    <row r="42" spans="1:36" s="878" customFormat="1" ht="49.5" customHeight="1" thickBot="1" x14ac:dyDescent="0.65">
      <c r="A42" s="865" t="s">
        <v>1055</v>
      </c>
      <c r="B42" s="890">
        <f>'[4]int.kiadások RM II'!D42</f>
        <v>408421</v>
      </c>
      <c r="C42" s="890">
        <f>18870-4664</f>
        <v>14206</v>
      </c>
      <c r="D42" s="890">
        <f>SUM(B42:C42)</f>
        <v>422627</v>
      </c>
      <c r="E42" s="890">
        <f>'[4]int.kiadások RM II'!G42</f>
        <v>82901</v>
      </c>
      <c r="F42" s="890">
        <f>3302-979</f>
        <v>2323</v>
      </c>
      <c r="G42" s="890">
        <f>SUM(E42:F42)</f>
        <v>85224</v>
      </c>
      <c r="H42" s="890">
        <f>'[4]int.kiadások RM II'!J42</f>
        <v>237927</v>
      </c>
      <c r="I42" s="890">
        <v>2564</v>
      </c>
      <c r="J42" s="890">
        <f>SUM(H42:I42)</f>
        <v>240491</v>
      </c>
      <c r="K42" s="865" t="s">
        <v>1055</v>
      </c>
      <c r="L42" s="890">
        <f>'[4]int.kiadások RM II'!N42</f>
        <v>0</v>
      </c>
      <c r="M42" s="890"/>
      <c r="N42" s="890">
        <f>SUM(L42:M42)</f>
        <v>0</v>
      </c>
      <c r="O42" s="890">
        <f>'[4]int.kiadások RM II'!Q42</f>
        <v>0</v>
      </c>
      <c r="P42" s="890"/>
      <c r="Q42" s="890">
        <f>SUM(O42:P42)</f>
        <v>0</v>
      </c>
      <c r="R42" s="890">
        <f>B42+E42+H42+L42+O42</f>
        <v>729249</v>
      </c>
      <c r="S42" s="890">
        <f>C42+F42+I42+M42+P42</f>
        <v>19093</v>
      </c>
      <c r="T42" s="890">
        <f>D42+G42+J42+N42+Q42</f>
        <v>748342</v>
      </c>
      <c r="U42" s="865" t="s">
        <v>1055</v>
      </c>
      <c r="V42" s="890">
        <f>'[4]int.kiadások RM II'!X42</f>
        <v>34066</v>
      </c>
      <c r="W42" s="890">
        <v>2801</v>
      </c>
      <c r="X42" s="890">
        <f>SUM(V42:W42)</f>
        <v>36867</v>
      </c>
      <c r="Y42" s="890">
        <f>'[4]int.kiadások RM II'!AA42</f>
        <v>11047</v>
      </c>
      <c r="Z42" s="890"/>
      <c r="AA42" s="890">
        <f>SUM(Y42:Z42)</f>
        <v>11047</v>
      </c>
      <c r="AB42" s="890">
        <f>'[4]int.kiadások RM II'!AD42</f>
        <v>0</v>
      </c>
      <c r="AC42" s="890"/>
      <c r="AD42" s="890">
        <f>SUM(AB42:AC42)</f>
        <v>0</v>
      </c>
      <c r="AE42" s="890">
        <f>V42+Y42+AB42</f>
        <v>45113</v>
      </c>
      <c r="AF42" s="890">
        <f>W42+Z42+AC42</f>
        <v>2801</v>
      </c>
      <c r="AG42" s="890">
        <f>X42+AA42+AD42</f>
        <v>47914</v>
      </c>
      <c r="AH42" s="890">
        <f>R42+AE42</f>
        <v>774362</v>
      </c>
      <c r="AI42" s="890">
        <f>S42+AF42</f>
        <v>21894</v>
      </c>
      <c r="AJ42" s="890">
        <f>T42+AG42</f>
        <v>796256</v>
      </c>
    </row>
    <row r="43" spans="1:36" s="878" customFormat="1" ht="48" customHeight="1" x14ac:dyDescent="0.6">
      <c r="A43" s="853" t="s">
        <v>1056</v>
      </c>
      <c r="B43" s="887"/>
      <c r="C43" s="887"/>
      <c r="D43" s="887"/>
      <c r="E43" s="887"/>
      <c r="F43" s="887"/>
      <c r="G43" s="887"/>
      <c r="H43" s="887"/>
      <c r="I43" s="887"/>
      <c r="J43" s="887"/>
      <c r="K43" s="853" t="s">
        <v>1056</v>
      </c>
      <c r="L43" s="887"/>
      <c r="M43" s="887"/>
      <c r="N43" s="887"/>
      <c r="O43" s="887"/>
      <c r="P43" s="887"/>
      <c r="Q43" s="887"/>
      <c r="R43" s="887"/>
      <c r="S43" s="887"/>
      <c r="T43" s="887"/>
      <c r="U43" s="853" t="s">
        <v>1056</v>
      </c>
      <c r="V43" s="887"/>
      <c r="W43" s="887"/>
      <c r="X43" s="887"/>
      <c r="Y43" s="887"/>
      <c r="Z43" s="887"/>
      <c r="AA43" s="887"/>
      <c r="AB43" s="887"/>
      <c r="AC43" s="887"/>
      <c r="AD43" s="887"/>
      <c r="AE43" s="887"/>
      <c r="AF43" s="887"/>
      <c r="AG43" s="887"/>
      <c r="AH43" s="887"/>
      <c r="AI43" s="887"/>
      <c r="AJ43" s="887"/>
    </row>
    <row r="44" spans="1:36" s="878" customFormat="1" ht="48.75" customHeight="1" thickBot="1" x14ac:dyDescent="0.65">
      <c r="A44" s="868" t="s">
        <v>1081</v>
      </c>
      <c r="B44" s="885">
        <f>'[4]int.kiadások RM II'!D44</f>
        <v>530826</v>
      </c>
      <c r="C44" s="887">
        <f>3245+10271</f>
        <v>13516</v>
      </c>
      <c r="D44" s="887">
        <f>SUM(B44:C44)</f>
        <v>544342</v>
      </c>
      <c r="E44" s="885">
        <f>'[4]int.kiadások RM II'!G44</f>
        <v>118946</v>
      </c>
      <c r="F44" s="887">
        <f>629-2604</f>
        <v>-1975</v>
      </c>
      <c r="G44" s="887">
        <f>SUM(E44:F44)</f>
        <v>116971</v>
      </c>
      <c r="H44" s="885">
        <f>'[4]int.kiadások RM II'!J44</f>
        <v>157260</v>
      </c>
      <c r="I44" s="887">
        <f>3185+700</f>
        <v>3885</v>
      </c>
      <c r="J44" s="887">
        <f>SUM(H44:I44)</f>
        <v>161145</v>
      </c>
      <c r="K44" s="868" t="s">
        <v>1057</v>
      </c>
      <c r="L44" s="887">
        <f>'[4]int.kiadások RM II'!N44</f>
        <v>0</v>
      </c>
      <c r="M44" s="887"/>
      <c r="N44" s="887">
        <f>SUM(L44:M44)</f>
        <v>0</v>
      </c>
      <c r="O44" s="887">
        <f>'[4]int.kiadások RM II'!Q44</f>
        <v>0</v>
      </c>
      <c r="P44" s="887"/>
      <c r="Q44" s="887">
        <f>SUM(O44:P44)</f>
        <v>0</v>
      </c>
      <c r="R44" s="885">
        <f>B44+E44+H44+L44+O44</f>
        <v>807032</v>
      </c>
      <c r="S44" s="885">
        <f>C44+F44+I44+M44+P44</f>
        <v>15426</v>
      </c>
      <c r="T44" s="885">
        <f>D44+G44+J44+N44+Q44</f>
        <v>822458</v>
      </c>
      <c r="U44" s="868" t="s">
        <v>1081</v>
      </c>
      <c r="V44" s="887">
        <f>'[4]int.kiadások RM II'!X44</f>
        <v>28323</v>
      </c>
      <c r="W44" s="887">
        <f>489+300</f>
        <v>789</v>
      </c>
      <c r="X44" s="887">
        <f>SUM(V44:W44)</f>
        <v>29112</v>
      </c>
      <c r="Y44" s="887">
        <f>'[4]int.kiadások RM II'!AA44</f>
        <v>1524</v>
      </c>
      <c r="Z44" s="887"/>
      <c r="AA44" s="887">
        <f>SUM(Y44:Z44)</f>
        <v>1524</v>
      </c>
      <c r="AB44" s="887">
        <f>'[4]int.kiadások RM II'!AD44</f>
        <v>0</v>
      </c>
      <c r="AC44" s="887"/>
      <c r="AD44" s="887">
        <f>SUM(AB44:AC44)</f>
        <v>0</v>
      </c>
      <c r="AE44" s="885">
        <f>V44+Y44+AB44</f>
        <v>29847</v>
      </c>
      <c r="AF44" s="885">
        <f>W44+Z44+AC44</f>
        <v>789</v>
      </c>
      <c r="AG44" s="885">
        <f>X44+AA44+AD44</f>
        <v>30636</v>
      </c>
      <c r="AH44" s="885">
        <f>R44+AE44</f>
        <v>836879</v>
      </c>
      <c r="AI44" s="885">
        <f>S44+AF44</f>
        <v>16215</v>
      </c>
      <c r="AJ44" s="885">
        <f>T44+AG44</f>
        <v>853094</v>
      </c>
    </row>
    <row r="45" spans="1:36" s="878" customFormat="1" ht="48" customHeight="1" x14ac:dyDescent="0.6">
      <c r="A45" s="858" t="s">
        <v>1058</v>
      </c>
      <c r="B45" s="883"/>
      <c r="C45" s="883"/>
      <c r="D45" s="883"/>
      <c r="E45" s="883"/>
      <c r="F45" s="883"/>
      <c r="G45" s="883"/>
      <c r="H45" s="883"/>
      <c r="I45" s="883"/>
      <c r="J45" s="883"/>
      <c r="K45" s="858" t="s">
        <v>1090</v>
      </c>
      <c r="L45" s="883"/>
      <c r="M45" s="883"/>
      <c r="N45" s="883"/>
      <c r="O45" s="883"/>
      <c r="P45" s="883"/>
      <c r="Q45" s="883"/>
      <c r="R45" s="883"/>
      <c r="S45" s="883"/>
      <c r="T45" s="883"/>
      <c r="U45" s="858" t="s">
        <v>1090</v>
      </c>
      <c r="V45" s="883"/>
      <c r="W45" s="883"/>
      <c r="X45" s="883"/>
      <c r="Y45" s="883"/>
      <c r="Z45" s="883"/>
      <c r="AA45" s="883"/>
      <c r="AB45" s="883"/>
      <c r="AC45" s="883"/>
      <c r="AD45" s="883"/>
      <c r="AE45" s="883"/>
      <c r="AF45" s="883"/>
      <c r="AG45" s="883"/>
      <c r="AH45" s="883"/>
      <c r="AI45" s="883"/>
      <c r="AJ45" s="883"/>
    </row>
    <row r="46" spans="1:36" s="878" customFormat="1" ht="48.75" customHeight="1" x14ac:dyDescent="0.6">
      <c r="A46" s="839" t="s">
        <v>1082</v>
      </c>
      <c r="B46" s="885">
        <f>'[4]int.kiadások RM II'!D46</f>
        <v>50830</v>
      </c>
      <c r="C46" s="885">
        <v>133</v>
      </c>
      <c r="D46" s="885">
        <f>SUM(B46:C46)</f>
        <v>50963</v>
      </c>
      <c r="E46" s="885">
        <f>'[4]int.kiadások RM II'!G46</f>
        <v>10114</v>
      </c>
      <c r="F46" s="885">
        <v>-360</v>
      </c>
      <c r="G46" s="885">
        <f>SUM(E46:F46)</f>
        <v>9754</v>
      </c>
      <c r="H46" s="885">
        <f>'[4]int.kiadások RM II'!J46</f>
        <v>53833</v>
      </c>
      <c r="I46" s="885">
        <f>-3000+1753</f>
        <v>-1247</v>
      </c>
      <c r="J46" s="885">
        <f>SUM(H46:I46)</f>
        <v>52586</v>
      </c>
      <c r="K46" s="839" t="s">
        <v>1082</v>
      </c>
      <c r="L46" s="885">
        <f>'[4]int.kiadások RM II'!N46</f>
        <v>0</v>
      </c>
      <c r="M46" s="885"/>
      <c r="N46" s="885">
        <f>SUM(L46:M46)</f>
        <v>0</v>
      </c>
      <c r="O46" s="885">
        <f>'[4]int.kiadások RM II'!Q46</f>
        <v>30000</v>
      </c>
      <c r="P46" s="885"/>
      <c r="Q46" s="885">
        <f>SUM(O46:P46)</f>
        <v>30000</v>
      </c>
      <c r="R46" s="885">
        <f t="shared" ref="R46:T48" si="25">B46+E46+H46+L46+O46</f>
        <v>144777</v>
      </c>
      <c r="S46" s="885">
        <f t="shared" si="25"/>
        <v>-1474</v>
      </c>
      <c r="T46" s="885">
        <f t="shared" si="25"/>
        <v>143303</v>
      </c>
      <c r="U46" s="839" t="s">
        <v>1082</v>
      </c>
      <c r="V46" s="885">
        <f>'[4]int.kiadások RM II'!X46</f>
        <v>8589</v>
      </c>
      <c r="W46" s="885">
        <v>3000</v>
      </c>
      <c r="X46" s="885">
        <f>SUM(V46:W46)</f>
        <v>11589</v>
      </c>
      <c r="Y46" s="885">
        <f>'[4]int.kiadások RM II'!AA46</f>
        <v>0</v>
      </c>
      <c r="Z46" s="892"/>
      <c r="AA46" s="885">
        <f>SUM(Y46:Z46)</f>
        <v>0</v>
      </c>
      <c r="AB46" s="885">
        <f>'[4]int.kiadások RM II'!AD46</f>
        <v>0</v>
      </c>
      <c r="AC46" s="885"/>
      <c r="AD46" s="885">
        <f>SUM(AB46:AC46)</f>
        <v>0</v>
      </c>
      <c r="AE46" s="885">
        <f t="shared" ref="AE46:AG48" si="26">V46+Y46+AB46</f>
        <v>8589</v>
      </c>
      <c r="AF46" s="885">
        <f t="shared" si="26"/>
        <v>3000</v>
      </c>
      <c r="AG46" s="885">
        <f t="shared" si="26"/>
        <v>11589</v>
      </c>
      <c r="AH46" s="885">
        <f t="shared" ref="AH46:AJ48" si="27">R46+AE46</f>
        <v>153366</v>
      </c>
      <c r="AI46" s="885">
        <f t="shared" si="27"/>
        <v>1526</v>
      </c>
      <c r="AJ46" s="885">
        <f t="shared" si="27"/>
        <v>154892</v>
      </c>
    </row>
    <row r="47" spans="1:36" s="878" customFormat="1" ht="49.5" customHeight="1" x14ac:dyDescent="0.6">
      <c r="A47" s="870" t="s">
        <v>8</v>
      </c>
      <c r="B47" s="891">
        <f>'[4]int.kiadások RM II'!D47</f>
        <v>1349447</v>
      </c>
      <c r="C47" s="891">
        <f>7210+48652</f>
        <v>55862</v>
      </c>
      <c r="D47" s="891">
        <f>SUM(B47:C47)</f>
        <v>1405309</v>
      </c>
      <c r="E47" s="891">
        <f>'[4]int.kiadások RM II'!G47</f>
        <v>291302</v>
      </c>
      <c r="F47" s="891">
        <f>1428-3094</f>
        <v>-1666</v>
      </c>
      <c r="G47" s="893">
        <f>SUM(E47:F47)</f>
        <v>289636</v>
      </c>
      <c r="H47" s="891">
        <f>'[4]int.kiadások RM II'!J47</f>
        <v>373058</v>
      </c>
      <c r="I47" s="893">
        <f>3832+1557</f>
        <v>5389</v>
      </c>
      <c r="J47" s="891">
        <f>SUM(H47:I47)</f>
        <v>378447</v>
      </c>
      <c r="K47" s="870" t="s">
        <v>8</v>
      </c>
      <c r="L47" s="891">
        <f>'[4]int.kiadások RM II'!N47</f>
        <v>0</v>
      </c>
      <c r="M47" s="893"/>
      <c r="N47" s="891">
        <f>SUM(L47:M47)</f>
        <v>0</v>
      </c>
      <c r="O47" s="893">
        <f>'[4]int.kiadások RM II'!Q47</f>
        <v>2750</v>
      </c>
      <c r="P47" s="891">
        <v>7500</v>
      </c>
      <c r="Q47" s="894">
        <f>SUM(O47:P47)</f>
        <v>10250</v>
      </c>
      <c r="R47" s="891">
        <f t="shared" si="25"/>
        <v>2016557</v>
      </c>
      <c r="S47" s="893">
        <f t="shared" si="25"/>
        <v>67085</v>
      </c>
      <c r="T47" s="891">
        <f t="shared" si="25"/>
        <v>2083642</v>
      </c>
      <c r="U47" s="870" t="s">
        <v>8</v>
      </c>
      <c r="V47" s="891">
        <f>'[4]int.kiadások RM II'!X47</f>
        <v>35243</v>
      </c>
      <c r="W47" s="893">
        <f>87+24928</f>
        <v>25015</v>
      </c>
      <c r="X47" s="891">
        <f>SUM(V47:W47)</f>
        <v>60258</v>
      </c>
      <c r="Y47" s="893">
        <f>'[4]int.kiadások RM II'!AA47</f>
        <v>6000</v>
      </c>
      <c r="Z47" s="891">
        <v>-381</v>
      </c>
      <c r="AA47" s="893">
        <f>SUM(Y47:Z47)</f>
        <v>5619</v>
      </c>
      <c r="AB47" s="891">
        <f>'[4]int.kiadások RM II'!AD47</f>
        <v>0</v>
      </c>
      <c r="AC47" s="893"/>
      <c r="AD47" s="894">
        <f>SUM(AB47:AC47)</f>
        <v>0</v>
      </c>
      <c r="AE47" s="891">
        <f t="shared" si="26"/>
        <v>41243</v>
      </c>
      <c r="AF47" s="893">
        <f t="shared" si="26"/>
        <v>24634</v>
      </c>
      <c r="AG47" s="891">
        <f t="shared" si="26"/>
        <v>65877</v>
      </c>
      <c r="AH47" s="893">
        <f t="shared" si="27"/>
        <v>2057800</v>
      </c>
      <c r="AI47" s="891">
        <f t="shared" si="27"/>
        <v>91719</v>
      </c>
      <c r="AJ47" s="891">
        <f t="shared" si="27"/>
        <v>2149519</v>
      </c>
    </row>
    <row r="48" spans="1:36" s="878" customFormat="1" ht="49.5" customHeight="1" thickBot="1" x14ac:dyDescent="0.65">
      <c r="A48" s="872" t="s">
        <v>1060</v>
      </c>
      <c r="B48" s="888">
        <f>'[4]int.kiadások RM II'!D48</f>
        <v>140787</v>
      </c>
      <c r="C48" s="888">
        <v>67</v>
      </c>
      <c r="D48" s="888">
        <f>SUM(B48:C48)</f>
        <v>140854</v>
      </c>
      <c r="E48" s="888">
        <f>'[4]int.kiadások RM II'!G48</f>
        <v>29600</v>
      </c>
      <c r="F48" s="888">
        <v>-1106</v>
      </c>
      <c r="G48" s="895">
        <f>SUM(E48:F48)</f>
        <v>28494</v>
      </c>
      <c r="H48" s="888">
        <f>'[4]int.kiadások RM II'!J48</f>
        <v>33677</v>
      </c>
      <c r="I48" s="895">
        <v>-600</v>
      </c>
      <c r="J48" s="888">
        <f>SUM(H48:I48)</f>
        <v>33077</v>
      </c>
      <c r="K48" s="872" t="s">
        <v>1060</v>
      </c>
      <c r="L48" s="888">
        <f>'[4]int.kiadások RM II'!N48</f>
        <v>0</v>
      </c>
      <c r="M48" s="895"/>
      <c r="N48" s="888">
        <f>SUM(L48:M48)</f>
        <v>0</v>
      </c>
      <c r="O48" s="895">
        <f>'[4]int.kiadások RM II'!Q48</f>
        <v>0</v>
      </c>
      <c r="P48" s="888"/>
      <c r="Q48" s="896">
        <f>SUM(O48:P48)</f>
        <v>0</v>
      </c>
      <c r="R48" s="888">
        <f t="shared" si="25"/>
        <v>204064</v>
      </c>
      <c r="S48" s="895">
        <f t="shared" si="25"/>
        <v>-1639</v>
      </c>
      <c r="T48" s="888">
        <f t="shared" si="25"/>
        <v>202425</v>
      </c>
      <c r="U48" s="872" t="s">
        <v>1060</v>
      </c>
      <c r="V48" s="888">
        <f>'[4]int.kiadások RM II'!X48</f>
        <v>682</v>
      </c>
      <c r="W48" s="895">
        <v>600</v>
      </c>
      <c r="X48" s="888">
        <f>SUM(V48:W48)</f>
        <v>1282</v>
      </c>
      <c r="Y48" s="895">
        <f>'[4]int.kiadások RM II'!AA48</f>
        <v>0</v>
      </c>
      <c r="Z48" s="888"/>
      <c r="AA48" s="895">
        <f>SUM(Y48:Z48)</f>
        <v>0</v>
      </c>
      <c r="AB48" s="888">
        <f>'[4]int.kiadások RM II'!AD48</f>
        <v>0</v>
      </c>
      <c r="AC48" s="895"/>
      <c r="AD48" s="896">
        <f>SUM(AB48:AC48)</f>
        <v>0</v>
      </c>
      <c r="AE48" s="888">
        <f t="shared" si="26"/>
        <v>682</v>
      </c>
      <c r="AF48" s="895">
        <f t="shared" si="26"/>
        <v>600</v>
      </c>
      <c r="AG48" s="888">
        <f t="shared" si="26"/>
        <v>1282</v>
      </c>
      <c r="AH48" s="895">
        <f t="shared" si="27"/>
        <v>204746</v>
      </c>
      <c r="AI48" s="888">
        <f t="shared" si="27"/>
        <v>-1039</v>
      </c>
      <c r="AJ48" s="888">
        <f t="shared" si="27"/>
        <v>203707</v>
      </c>
    </row>
    <row r="49" spans="1:36" s="878" customFormat="1" ht="61.5" customHeight="1" thickBot="1" x14ac:dyDescent="0.65">
      <c r="A49" s="865" t="s">
        <v>1083</v>
      </c>
      <c r="B49" s="890">
        <f>SUM(B46:B48)</f>
        <v>1541064</v>
      </c>
      <c r="C49" s="890">
        <f t="shared" ref="C49:J49" si="28">SUM(C46:C48)</f>
        <v>56062</v>
      </c>
      <c r="D49" s="890">
        <f t="shared" si="28"/>
        <v>1597126</v>
      </c>
      <c r="E49" s="890">
        <f t="shared" si="28"/>
        <v>331016</v>
      </c>
      <c r="F49" s="890">
        <f t="shared" si="28"/>
        <v>-3132</v>
      </c>
      <c r="G49" s="890">
        <f t="shared" si="28"/>
        <v>327884</v>
      </c>
      <c r="H49" s="890">
        <f t="shared" si="28"/>
        <v>460568</v>
      </c>
      <c r="I49" s="890">
        <f t="shared" si="28"/>
        <v>3542</v>
      </c>
      <c r="J49" s="890">
        <f t="shared" si="28"/>
        <v>464110</v>
      </c>
      <c r="K49" s="865" t="s">
        <v>1083</v>
      </c>
      <c r="L49" s="890">
        <f t="shared" ref="L49:T49" si="29">SUM(L46:L48)</f>
        <v>0</v>
      </c>
      <c r="M49" s="890">
        <f t="shared" si="29"/>
        <v>0</v>
      </c>
      <c r="N49" s="890">
        <f t="shared" si="29"/>
        <v>0</v>
      </c>
      <c r="O49" s="890">
        <f t="shared" si="29"/>
        <v>32750</v>
      </c>
      <c r="P49" s="890">
        <f t="shared" si="29"/>
        <v>7500</v>
      </c>
      <c r="Q49" s="890">
        <f t="shared" si="29"/>
        <v>40250</v>
      </c>
      <c r="R49" s="890">
        <f t="shared" si="29"/>
        <v>2365398</v>
      </c>
      <c r="S49" s="890">
        <f t="shared" si="29"/>
        <v>63972</v>
      </c>
      <c r="T49" s="890">
        <f t="shared" si="29"/>
        <v>2429370</v>
      </c>
      <c r="U49" s="865" t="s">
        <v>1083</v>
      </c>
      <c r="V49" s="890">
        <f>SUM(V46:V48)</f>
        <v>44514</v>
      </c>
      <c r="W49" s="890">
        <f t="shared" ref="W49:AJ49" si="30">SUM(W46:W48)</f>
        <v>28615</v>
      </c>
      <c r="X49" s="890">
        <f t="shared" si="30"/>
        <v>73129</v>
      </c>
      <c r="Y49" s="890">
        <f t="shared" si="30"/>
        <v>6000</v>
      </c>
      <c r="Z49" s="890">
        <f t="shared" si="30"/>
        <v>-381</v>
      </c>
      <c r="AA49" s="890">
        <f t="shared" si="30"/>
        <v>5619</v>
      </c>
      <c r="AB49" s="890">
        <f t="shared" si="30"/>
        <v>0</v>
      </c>
      <c r="AC49" s="890">
        <f t="shared" si="30"/>
        <v>0</v>
      </c>
      <c r="AD49" s="890">
        <f t="shared" si="30"/>
        <v>0</v>
      </c>
      <c r="AE49" s="890">
        <f t="shared" si="30"/>
        <v>50514</v>
      </c>
      <c r="AF49" s="890">
        <f t="shared" si="30"/>
        <v>28234</v>
      </c>
      <c r="AG49" s="890">
        <f t="shared" si="30"/>
        <v>78748</v>
      </c>
      <c r="AH49" s="890">
        <f t="shared" si="30"/>
        <v>2415912</v>
      </c>
      <c r="AI49" s="890">
        <f t="shared" si="30"/>
        <v>92206</v>
      </c>
      <c r="AJ49" s="890">
        <f t="shared" si="30"/>
        <v>2508118</v>
      </c>
    </row>
    <row r="50" spans="1:36" s="878" customFormat="1" ht="61.5" customHeight="1" thickBot="1" x14ac:dyDescent="0.65">
      <c r="A50" s="865" t="s">
        <v>1062</v>
      </c>
      <c r="B50" s="888">
        <f>B38+B40+B42+B44+B49</f>
        <v>4193952</v>
      </c>
      <c r="C50" s="888">
        <f t="shared" ref="C50:J50" si="31">C38+C40+C42+C44+C49</f>
        <v>172425</v>
      </c>
      <c r="D50" s="888">
        <f t="shared" si="31"/>
        <v>4366377</v>
      </c>
      <c r="E50" s="888">
        <f t="shared" si="31"/>
        <v>875751</v>
      </c>
      <c r="F50" s="888">
        <f t="shared" si="31"/>
        <v>3140</v>
      </c>
      <c r="G50" s="888">
        <f t="shared" si="31"/>
        <v>878891</v>
      </c>
      <c r="H50" s="888">
        <f t="shared" si="31"/>
        <v>1988857</v>
      </c>
      <c r="I50" s="888">
        <f t="shared" si="31"/>
        <v>110317</v>
      </c>
      <c r="J50" s="888">
        <f t="shared" si="31"/>
        <v>2099174</v>
      </c>
      <c r="K50" s="865" t="s">
        <v>1062</v>
      </c>
      <c r="L50" s="888">
        <f t="shared" ref="L50:T50" si="32">L38+L40+L42+L44+L49</f>
        <v>0</v>
      </c>
      <c r="M50" s="888">
        <f t="shared" si="32"/>
        <v>0</v>
      </c>
      <c r="N50" s="888">
        <f t="shared" si="32"/>
        <v>0</v>
      </c>
      <c r="O50" s="888">
        <f t="shared" si="32"/>
        <v>32750</v>
      </c>
      <c r="P50" s="888">
        <f t="shared" si="32"/>
        <v>7500</v>
      </c>
      <c r="Q50" s="888">
        <f t="shared" si="32"/>
        <v>40250</v>
      </c>
      <c r="R50" s="888">
        <f t="shared" si="32"/>
        <v>7091310</v>
      </c>
      <c r="S50" s="888">
        <f t="shared" si="32"/>
        <v>293382</v>
      </c>
      <c r="T50" s="888">
        <f t="shared" si="32"/>
        <v>7384692</v>
      </c>
      <c r="U50" s="865" t="s">
        <v>1062</v>
      </c>
      <c r="V50" s="888">
        <f t="shared" ref="V50:AJ50" si="33">V38+V40+V42+V44+V49</f>
        <v>188147</v>
      </c>
      <c r="W50" s="888">
        <f t="shared" si="33"/>
        <v>54444</v>
      </c>
      <c r="X50" s="888">
        <f t="shared" si="33"/>
        <v>242591</v>
      </c>
      <c r="Y50" s="888">
        <f t="shared" si="33"/>
        <v>28338</v>
      </c>
      <c r="Z50" s="888">
        <f t="shared" si="33"/>
        <v>4373</v>
      </c>
      <c r="AA50" s="888">
        <f t="shared" si="33"/>
        <v>32711</v>
      </c>
      <c r="AB50" s="888">
        <f t="shared" si="33"/>
        <v>0</v>
      </c>
      <c r="AC50" s="888">
        <f t="shared" si="33"/>
        <v>0</v>
      </c>
      <c r="AD50" s="888">
        <f t="shared" si="33"/>
        <v>0</v>
      </c>
      <c r="AE50" s="888">
        <f t="shared" si="33"/>
        <v>216485</v>
      </c>
      <c r="AF50" s="888">
        <f t="shared" si="33"/>
        <v>58817</v>
      </c>
      <c r="AG50" s="888">
        <f t="shared" si="33"/>
        <v>275302</v>
      </c>
      <c r="AH50" s="888">
        <f t="shared" si="33"/>
        <v>7307795</v>
      </c>
      <c r="AI50" s="888">
        <f t="shared" si="33"/>
        <v>352199</v>
      </c>
      <c r="AJ50" s="888">
        <f t="shared" si="33"/>
        <v>7659994</v>
      </c>
    </row>
    <row r="51" spans="1:36" s="878" customFormat="1" ht="61.5" customHeight="1" thickBot="1" x14ac:dyDescent="0.65">
      <c r="A51" s="874" t="s">
        <v>1063</v>
      </c>
      <c r="B51" s="889">
        <f>B30+B50</f>
        <v>5894105</v>
      </c>
      <c r="C51" s="889">
        <f t="shared" ref="C51:J51" si="34">C30+C50</f>
        <v>166618</v>
      </c>
      <c r="D51" s="889">
        <f t="shared" si="34"/>
        <v>6060723</v>
      </c>
      <c r="E51" s="889">
        <f t="shared" si="34"/>
        <v>1226712</v>
      </c>
      <c r="F51" s="889">
        <f t="shared" si="34"/>
        <v>-9935</v>
      </c>
      <c r="G51" s="889">
        <f t="shared" si="34"/>
        <v>1216777</v>
      </c>
      <c r="H51" s="889">
        <f t="shared" si="34"/>
        <v>3405826</v>
      </c>
      <c r="I51" s="889">
        <f t="shared" si="34"/>
        <v>90396</v>
      </c>
      <c r="J51" s="889">
        <f t="shared" si="34"/>
        <v>3496222</v>
      </c>
      <c r="K51" s="874" t="s">
        <v>1063</v>
      </c>
      <c r="L51" s="889">
        <f t="shared" ref="L51:T51" si="35">L30+L50</f>
        <v>0</v>
      </c>
      <c r="M51" s="889">
        <f t="shared" si="35"/>
        <v>0</v>
      </c>
      <c r="N51" s="889">
        <f t="shared" si="35"/>
        <v>0</v>
      </c>
      <c r="O51" s="889">
        <f t="shared" si="35"/>
        <v>32750</v>
      </c>
      <c r="P51" s="889">
        <f t="shared" si="35"/>
        <v>7500</v>
      </c>
      <c r="Q51" s="889">
        <f t="shared" si="35"/>
        <v>40250</v>
      </c>
      <c r="R51" s="889">
        <f t="shared" si="35"/>
        <v>10559393</v>
      </c>
      <c r="S51" s="889">
        <f t="shared" si="35"/>
        <v>254579</v>
      </c>
      <c r="T51" s="889">
        <f t="shared" si="35"/>
        <v>10813972</v>
      </c>
      <c r="U51" s="874" t="s">
        <v>1063</v>
      </c>
      <c r="V51" s="889">
        <f t="shared" ref="V51:AJ51" si="36">V30+V50</f>
        <v>264090</v>
      </c>
      <c r="W51" s="889">
        <f t="shared" si="36"/>
        <v>112026</v>
      </c>
      <c r="X51" s="889">
        <f t="shared" si="36"/>
        <v>376116</v>
      </c>
      <c r="Y51" s="889">
        <f t="shared" si="36"/>
        <v>116547</v>
      </c>
      <c r="Z51" s="889">
        <f t="shared" si="36"/>
        <v>33253</v>
      </c>
      <c r="AA51" s="889">
        <f t="shared" si="36"/>
        <v>149800</v>
      </c>
      <c r="AB51" s="889">
        <f t="shared" si="36"/>
        <v>0</v>
      </c>
      <c r="AC51" s="889">
        <f t="shared" si="36"/>
        <v>0</v>
      </c>
      <c r="AD51" s="889">
        <f t="shared" si="36"/>
        <v>0</v>
      </c>
      <c r="AE51" s="889">
        <f t="shared" si="36"/>
        <v>380637</v>
      </c>
      <c r="AF51" s="889">
        <f t="shared" si="36"/>
        <v>145279</v>
      </c>
      <c r="AG51" s="889">
        <f t="shared" si="36"/>
        <v>525916</v>
      </c>
      <c r="AH51" s="889">
        <f t="shared" si="36"/>
        <v>10940030</v>
      </c>
      <c r="AI51" s="889">
        <f t="shared" si="36"/>
        <v>399858</v>
      </c>
      <c r="AJ51" s="889">
        <f t="shared" si="36"/>
        <v>11339888</v>
      </c>
    </row>
  </sheetData>
  <mergeCells count="20">
    <mergeCell ref="L5:N7"/>
    <mergeCell ref="B2:J2"/>
    <mergeCell ref="L2:T2"/>
    <mergeCell ref="V2:AJ2"/>
    <mergeCell ref="B3:J3"/>
    <mergeCell ref="L3:T3"/>
    <mergeCell ref="V3:AJ3"/>
    <mergeCell ref="A5:A6"/>
    <mergeCell ref="B5:D7"/>
    <mergeCell ref="E5:G7"/>
    <mergeCell ref="H5:J7"/>
    <mergeCell ref="K5:K6"/>
    <mergeCell ref="AE5:AG7"/>
    <mergeCell ref="AH5:AJ7"/>
    <mergeCell ref="O5:Q7"/>
    <mergeCell ref="R5:T7"/>
    <mergeCell ref="U5:U6"/>
    <mergeCell ref="V5:X7"/>
    <mergeCell ref="Y5:AA7"/>
    <mergeCell ref="AB5:AD7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&amp;A&amp;R&amp;"Arial CE,Félkövér"&amp;36
 6.  melléklet a .../2019.(.....) önkormányzati rendelethez
"6. melléklet a 5/2019.(IV.1.)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7CFB-13D4-4823-9555-5FF61D0C21EB}">
  <dimension ref="A1:S52"/>
  <sheetViews>
    <sheetView zoomScale="40" zoomScaleNormal="40" zoomScaleSheetLayoutView="50" workbookViewId="0">
      <selection activeCell="AD9" sqref="AD9"/>
    </sheetView>
  </sheetViews>
  <sheetFormatPr defaultColWidth="12" defaultRowHeight="33.75" x14ac:dyDescent="0.5"/>
  <cols>
    <col min="1" max="1" width="151" style="752" customWidth="1"/>
    <col min="2" max="2" width="60.83203125" style="755" customWidth="1"/>
    <col min="3" max="3" width="50.1640625" style="755" customWidth="1"/>
    <col min="4" max="6" width="41.5" style="755" customWidth="1"/>
    <col min="7" max="7" width="42.5" style="755" customWidth="1"/>
    <col min="8" max="8" width="60.83203125" style="755" customWidth="1"/>
    <col min="9" max="9" width="50.1640625" style="755" customWidth="1"/>
    <col min="10" max="10" width="60.83203125" style="755" customWidth="1"/>
    <col min="11" max="11" width="50.1640625" style="755" customWidth="1"/>
    <col min="12" max="12" width="44.5" style="755" customWidth="1"/>
    <col min="13" max="13" width="38.5" style="755" customWidth="1"/>
    <col min="14" max="14" width="61" style="755" customWidth="1"/>
    <col min="15" max="15" width="50" style="755" customWidth="1"/>
    <col min="16" max="16" width="58.1640625" style="755" customWidth="1"/>
    <col min="17" max="17" width="52.83203125" style="755" customWidth="1"/>
    <col min="18" max="18" width="12" style="755" customWidth="1"/>
    <col min="19" max="19" width="22.5" style="756" customWidth="1"/>
    <col min="20" max="255" width="12" style="755"/>
    <col min="256" max="256" width="151" style="755" customWidth="1"/>
    <col min="257" max="257" width="60.83203125" style="755" customWidth="1"/>
    <col min="258" max="258" width="50.1640625" style="755" customWidth="1"/>
    <col min="259" max="261" width="41.5" style="755" customWidth="1"/>
    <col min="262" max="262" width="42.5" style="755" customWidth="1"/>
    <col min="263" max="263" width="60.83203125" style="755" customWidth="1"/>
    <col min="264" max="264" width="50.1640625" style="755" customWidth="1"/>
    <col min="265" max="265" width="60.83203125" style="755" customWidth="1"/>
    <col min="266" max="266" width="50.1640625" style="755" customWidth="1"/>
    <col min="267" max="267" width="44.5" style="755" customWidth="1"/>
    <col min="268" max="268" width="38.5" style="755" customWidth="1"/>
    <col min="269" max="269" width="61" style="755" customWidth="1"/>
    <col min="270" max="270" width="50" style="755" customWidth="1"/>
    <col min="271" max="271" width="58.1640625" style="755" customWidth="1"/>
    <col min="272" max="272" width="52.83203125" style="755" customWidth="1"/>
    <col min="273" max="273" width="151" style="755" customWidth="1"/>
    <col min="274" max="274" width="12" style="755"/>
    <col min="275" max="275" width="22.5" style="755" customWidth="1"/>
    <col min="276" max="511" width="12" style="755"/>
    <col min="512" max="512" width="151" style="755" customWidth="1"/>
    <col min="513" max="513" width="60.83203125" style="755" customWidth="1"/>
    <col min="514" max="514" width="50.1640625" style="755" customWidth="1"/>
    <col min="515" max="517" width="41.5" style="755" customWidth="1"/>
    <col min="518" max="518" width="42.5" style="755" customWidth="1"/>
    <col min="519" max="519" width="60.83203125" style="755" customWidth="1"/>
    <col min="520" max="520" width="50.1640625" style="755" customWidth="1"/>
    <col min="521" max="521" width="60.83203125" style="755" customWidth="1"/>
    <col min="522" max="522" width="50.1640625" style="755" customWidth="1"/>
    <col min="523" max="523" width="44.5" style="755" customWidth="1"/>
    <col min="524" max="524" width="38.5" style="755" customWidth="1"/>
    <col min="525" max="525" width="61" style="755" customWidth="1"/>
    <col min="526" max="526" width="50" style="755" customWidth="1"/>
    <col min="527" max="527" width="58.1640625" style="755" customWidth="1"/>
    <col min="528" max="528" width="52.83203125" style="755" customWidth="1"/>
    <col min="529" max="529" width="151" style="755" customWidth="1"/>
    <col min="530" max="530" width="12" style="755"/>
    <col min="531" max="531" width="22.5" style="755" customWidth="1"/>
    <col min="532" max="767" width="12" style="755"/>
    <col min="768" max="768" width="151" style="755" customWidth="1"/>
    <col min="769" max="769" width="60.83203125" style="755" customWidth="1"/>
    <col min="770" max="770" width="50.1640625" style="755" customWidth="1"/>
    <col min="771" max="773" width="41.5" style="755" customWidth="1"/>
    <col min="774" max="774" width="42.5" style="755" customWidth="1"/>
    <col min="775" max="775" width="60.83203125" style="755" customWidth="1"/>
    <col min="776" max="776" width="50.1640625" style="755" customWidth="1"/>
    <col min="777" max="777" width="60.83203125" style="755" customWidth="1"/>
    <col min="778" max="778" width="50.1640625" style="755" customWidth="1"/>
    <col min="779" max="779" width="44.5" style="755" customWidth="1"/>
    <col min="780" max="780" width="38.5" style="755" customWidth="1"/>
    <col min="781" max="781" width="61" style="755" customWidth="1"/>
    <col min="782" max="782" width="50" style="755" customWidth="1"/>
    <col min="783" max="783" width="58.1640625" style="755" customWidth="1"/>
    <col min="784" max="784" width="52.83203125" style="755" customWidth="1"/>
    <col min="785" max="785" width="151" style="755" customWidth="1"/>
    <col min="786" max="786" width="12" style="755"/>
    <col min="787" max="787" width="22.5" style="755" customWidth="1"/>
    <col min="788" max="1023" width="12" style="755"/>
    <col min="1024" max="1024" width="151" style="755" customWidth="1"/>
    <col min="1025" max="1025" width="60.83203125" style="755" customWidth="1"/>
    <col min="1026" max="1026" width="50.1640625" style="755" customWidth="1"/>
    <col min="1027" max="1029" width="41.5" style="755" customWidth="1"/>
    <col min="1030" max="1030" width="42.5" style="755" customWidth="1"/>
    <col min="1031" max="1031" width="60.83203125" style="755" customWidth="1"/>
    <col min="1032" max="1032" width="50.1640625" style="755" customWidth="1"/>
    <col min="1033" max="1033" width="60.83203125" style="755" customWidth="1"/>
    <col min="1034" max="1034" width="50.1640625" style="755" customWidth="1"/>
    <col min="1035" max="1035" width="44.5" style="755" customWidth="1"/>
    <col min="1036" max="1036" width="38.5" style="755" customWidth="1"/>
    <col min="1037" max="1037" width="61" style="755" customWidth="1"/>
    <col min="1038" max="1038" width="50" style="755" customWidth="1"/>
    <col min="1039" max="1039" width="58.1640625" style="755" customWidth="1"/>
    <col min="1040" max="1040" width="52.83203125" style="755" customWidth="1"/>
    <col min="1041" max="1041" width="151" style="755" customWidth="1"/>
    <col min="1042" max="1042" width="12" style="755"/>
    <col min="1043" max="1043" width="22.5" style="755" customWidth="1"/>
    <col min="1044" max="1279" width="12" style="755"/>
    <col min="1280" max="1280" width="151" style="755" customWidth="1"/>
    <col min="1281" max="1281" width="60.83203125" style="755" customWidth="1"/>
    <col min="1282" max="1282" width="50.1640625" style="755" customWidth="1"/>
    <col min="1283" max="1285" width="41.5" style="755" customWidth="1"/>
    <col min="1286" max="1286" width="42.5" style="755" customWidth="1"/>
    <col min="1287" max="1287" width="60.83203125" style="755" customWidth="1"/>
    <col min="1288" max="1288" width="50.1640625" style="755" customWidth="1"/>
    <col min="1289" max="1289" width="60.83203125" style="755" customWidth="1"/>
    <col min="1290" max="1290" width="50.1640625" style="755" customWidth="1"/>
    <col min="1291" max="1291" width="44.5" style="755" customWidth="1"/>
    <col min="1292" max="1292" width="38.5" style="755" customWidth="1"/>
    <col min="1293" max="1293" width="61" style="755" customWidth="1"/>
    <col min="1294" max="1294" width="50" style="755" customWidth="1"/>
    <col min="1295" max="1295" width="58.1640625" style="755" customWidth="1"/>
    <col min="1296" max="1296" width="52.83203125" style="755" customWidth="1"/>
    <col min="1297" max="1297" width="151" style="755" customWidth="1"/>
    <col min="1298" max="1298" width="12" style="755"/>
    <col min="1299" max="1299" width="22.5" style="755" customWidth="1"/>
    <col min="1300" max="1535" width="12" style="755"/>
    <col min="1536" max="1536" width="151" style="755" customWidth="1"/>
    <col min="1537" max="1537" width="60.83203125" style="755" customWidth="1"/>
    <col min="1538" max="1538" width="50.1640625" style="755" customWidth="1"/>
    <col min="1539" max="1541" width="41.5" style="755" customWidth="1"/>
    <col min="1542" max="1542" width="42.5" style="755" customWidth="1"/>
    <col min="1543" max="1543" width="60.83203125" style="755" customWidth="1"/>
    <col min="1544" max="1544" width="50.1640625" style="755" customWidth="1"/>
    <col min="1545" max="1545" width="60.83203125" style="755" customWidth="1"/>
    <col min="1546" max="1546" width="50.1640625" style="755" customWidth="1"/>
    <col min="1547" max="1547" width="44.5" style="755" customWidth="1"/>
    <col min="1548" max="1548" width="38.5" style="755" customWidth="1"/>
    <col min="1549" max="1549" width="61" style="755" customWidth="1"/>
    <col min="1550" max="1550" width="50" style="755" customWidth="1"/>
    <col min="1551" max="1551" width="58.1640625" style="755" customWidth="1"/>
    <col min="1552" max="1552" width="52.83203125" style="755" customWidth="1"/>
    <col min="1553" max="1553" width="151" style="755" customWidth="1"/>
    <col min="1554" max="1554" width="12" style="755"/>
    <col min="1555" max="1555" width="22.5" style="755" customWidth="1"/>
    <col min="1556" max="1791" width="12" style="755"/>
    <col min="1792" max="1792" width="151" style="755" customWidth="1"/>
    <col min="1793" max="1793" width="60.83203125" style="755" customWidth="1"/>
    <col min="1794" max="1794" width="50.1640625" style="755" customWidth="1"/>
    <col min="1795" max="1797" width="41.5" style="755" customWidth="1"/>
    <col min="1798" max="1798" width="42.5" style="755" customWidth="1"/>
    <col min="1799" max="1799" width="60.83203125" style="755" customWidth="1"/>
    <col min="1800" max="1800" width="50.1640625" style="755" customWidth="1"/>
    <col min="1801" max="1801" width="60.83203125" style="755" customWidth="1"/>
    <col min="1802" max="1802" width="50.1640625" style="755" customWidth="1"/>
    <col min="1803" max="1803" width="44.5" style="755" customWidth="1"/>
    <col min="1804" max="1804" width="38.5" style="755" customWidth="1"/>
    <col min="1805" max="1805" width="61" style="755" customWidth="1"/>
    <col min="1806" max="1806" width="50" style="755" customWidth="1"/>
    <col min="1807" max="1807" width="58.1640625" style="755" customWidth="1"/>
    <col min="1808" max="1808" width="52.83203125" style="755" customWidth="1"/>
    <col min="1809" max="1809" width="151" style="755" customWidth="1"/>
    <col min="1810" max="1810" width="12" style="755"/>
    <col min="1811" max="1811" width="22.5" style="755" customWidth="1"/>
    <col min="1812" max="2047" width="12" style="755"/>
    <col min="2048" max="2048" width="151" style="755" customWidth="1"/>
    <col min="2049" max="2049" width="60.83203125" style="755" customWidth="1"/>
    <col min="2050" max="2050" width="50.1640625" style="755" customWidth="1"/>
    <col min="2051" max="2053" width="41.5" style="755" customWidth="1"/>
    <col min="2054" max="2054" width="42.5" style="755" customWidth="1"/>
    <col min="2055" max="2055" width="60.83203125" style="755" customWidth="1"/>
    <col min="2056" max="2056" width="50.1640625" style="755" customWidth="1"/>
    <col min="2057" max="2057" width="60.83203125" style="755" customWidth="1"/>
    <col min="2058" max="2058" width="50.1640625" style="755" customWidth="1"/>
    <col min="2059" max="2059" width="44.5" style="755" customWidth="1"/>
    <col min="2060" max="2060" width="38.5" style="755" customWidth="1"/>
    <col min="2061" max="2061" width="61" style="755" customWidth="1"/>
    <col min="2062" max="2062" width="50" style="755" customWidth="1"/>
    <col min="2063" max="2063" width="58.1640625" style="755" customWidth="1"/>
    <col min="2064" max="2064" width="52.83203125" style="755" customWidth="1"/>
    <col min="2065" max="2065" width="151" style="755" customWidth="1"/>
    <col min="2066" max="2066" width="12" style="755"/>
    <col min="2067" max="2067" width="22.5" style="755" customWidth="1"/>
    <col min="2068" max="2303" width="12" style="755"/>
    <col min="2304" max="2304" width="151" style="755" customWidth="1"/>
    <col min="2305" max="2305" width="60.83203125" style="755" customWidth="1"/>
    <col min="2306" max="2306" width="50.1640625" style="755" customWidth="1"/>
    <col min="2307" max="2309" width="41.5" style="755" customWidth="1"/>
    <col min="2310" max="2310" width="42.5" style="755" customWidth="1"/>
    <col min="2311" max="2311" width="60.83203125" style="755" customWidth="1"/>
    <col min="2312" max="2312" width="50.1640625" style="755" customWidth="1"/>
    <col min="2313" max="2313" width="60.83203125" style="755" customWidth="1"/>
    <col min="2314" max="2314" width="50.1640625" style="755" customWidth="1"/>
    <col min="2315" max="2315" width="44.5" style="755" customWidth="1"/>
    <col min="2316" max="2316" width="38.5" style="755" customWidth="1"/>
    <col min="2317" max="2317" width="61" style="755" customWidth="1"/>
    <col min="2318" max="2318" width="50" style="755" customWidth="1"/>
    <col min="2319" max="2319" width="58.1640625" style="755" customWidth="1"/>
    <col min="2320" max="2320" width="52.83203125" style="755" customWidth="1"/>
    <col min="2321" max="2321" width="151" style="755" customWidth="1"/>
    <col min="2322" max="2322" width="12" style="755"/>
    <col min="2323" max="2323" width="22.5" style="755" customWidth="1"/>
    <col min="2324" max="2559" width="12" style="755"/>
    <col min="2560" max="2560" width="151" style="755" customWidth="1"/>
    <col min="2561" max="2561" width="60.83203125" style="755" customWidth="1"/>
    <col min="2562" max="2562" width="50.1640625" style="755" customWidth="1"/>
    <col min="2563" max="2565" width="41.5" style="755" customWidth="1"/>
    <col min="2566" max="2566" width="42.5" style="755" customWidth="1"/>
    <col min="2567" max="2567" width="60.83203125" style="755" customWidth="1"/>
    <col min="2568" max="2568" width="50.1640625" style="755" customWidth="1"/>
    <col min="2569" max="2569" width="60.83203125" style="755" customWidth="1"/>
    <col min="2570" max="2570" width="50.1640625" style="755" customWidth="1"/>
    <col min="2571" max="2571" width="44.5" style="755" customWidth="1"/>
    <col min="2572" max="2572" width="38.5" style="755" customWidth="1"/>
    <col min="2573" max="2573" width="61" style="755" customWidth="1"/>
    <col min="2574" max="2574" width="50" style="755" customWidth="1"/>
    <col min="2575" max="2575" width="58.1640625" style="755" customWidth="1"/>
    <col min="2576" max="2576" width="52.83203125" style="755" customWidth="1"/>
    <col min="2577" max="2577" width="151" style="755" customWidth="1"/>
    <col min="2578" max="2578" width="12" style="755"/>
    <col min="2579" max="2579" width="22.5" style="755" customWidth="1"/>
    <col min="2580" max="2815" width="12" style="755"/>
    <col min="2816" max="2816" width="151" style="755" customWidth="1"/>
    <col min="2817" max="2817" width="60.83203125" style="755" customWidth="1"/>
    <col min="2818" max="2818" width="50.1640625" style="755" customWidth="1"/>
    <col min="2819" max="2821" width="41.5" style="755" customWidth="1"/>
    <col min="2822" max="2822" width="42.5" style="755" customWidth="1"/>
    <col min="2823" max="2823" width="60.83203125" style="755" customWidth="1"/>
    <col min="2824" max="2824" width="50.1640625" style="755" customWidth="1"/>
    <col min="2825" max="2825" width="60.83203125" style="755" customWidth="1"/>
    <col min="2826" max="2826" width="50.1640625" style="755" customWidth="1"/>
    <col min="2827" max="2827" width="44.5" style="755" customWidth="1"/>
    <col min="2828" max="2828" width="38.5" style="755" customWidth="1"/>
    <col min="2829" max="2829" width="61" style="755" customWidth="1"/>
    <col min="2830" max="2830" width="50" style="755" customWidth="1"/>
    <col min="2831" max="2831" width="58.1640625" style="755" customWidth="1"/>
    <col min="2832" max="2832" width="52.83203125" style="755" customWidth="1"/>
    <col min="2833" max="2833" width="151" style="755" customWidth="1"/>
    <col min="2834" max="2834" width="12" style="755"/>
    <col min="2835" max="2835" width="22.5" style="755" customWidth="1"/>
    <col min="2836" max="3071" width="12" style="755"/>
    <col min="3072" max="3072" width="151" style="755" customWidth="1"/>
    <col min="3073" max="3073" width="60.83203125" style="755" customWidth="1"/>
    <col min="3074" max="3074" width="50.1640625" style="755" customWidth="1"/>
    <col min="3075" max="3077" width="41.5" style="755" customWidth="1"/>
    <col min="3078" max="3078" width="42.5" style="755" customWidth="1"/>
    <col min="3079" max="3079" width="60.83203125" style="755" customWidth="1"/>
    <col min="3080" max="3080" width="50.1640625" style="755" customWidth="1"/>
    <col min="3081" max="3081" width="60.83203125" style="755" customWidth="1"/>
    <col min="3082" max="3082" width="50.1640625" style="755" customWidth="1"/>
    <col min="3083" max="3083" width="44.5" style="755" customWidth="1"/>
    <col min="3084" max="3084" width="38.5" style="755" customWidth="1"/>
    <col min="3085" max="3085" width="61" style="755" customWidth="1"/>
    <col min="3086" max="3086" width="50" style="755" customWidth="1"/>
    <col min="3087" max="3087" width="58.1640625" style="755" customWidth="1"/>
    <col min="3088" max="3088" width="52.83203125" style="755" customWidth="1"/>
    <col min="3089" max="3089" width="151" style="755" customWidth="1"/>
    <col min="3090" max="3090" width="12" style="755"/>
    <col min="3091" max="3091" width="22.5" style="755" customWidth="1"/>
    <col min="3092" max="3327" width="12" style="755"/>
    <col min="3328" max="3328" width="151" style="755" customWidth="1"/>
    <col min="3329" max="3329" width="60.83203125" style="755" customWidth="1"/>
    <col min="3330" max="3330" width="50.1640625" style="755" customWidth="1"/>
    <col min="3331" max="3333" width="41.5" style="755" customWidth="1"/>
    <col min="3334" max="3334" width="42.5" style="755" customWidth="1"/>
    <col min="3335" max="3335" width="60.83203125" style="755" customWidth="1"/>
    <col min="3336" max="3336" width="50.1640625" style="755" customWidth="1"/>
    <col min="3337" max="3337" width="60.83203125" style="755" customWidth="1"/>
    <col min="3338" max="3338" width="50.1640625" style="755" customWidth="1"/>
    <col min="3339" max="3339" width="44.5" style="755" customWidth="1"/>
    <col min="3340" max="3340" width="38.5" style="755" customWidth="1"/>
    <col min="3341" max="3341" width="61" style="755" customWidth="1"/>
    <col min="3342" max="3342" width="50" style="755" customWidth="1"/>
    <col min="3343" max="3343" width="58.1640625" style="755" customWidth="1"/>
    <col min="3344" max="3344" width="52.83203125" style="755" customWidth="1"/>
    <col min="3345" max="3345" width="151" style="755" customWidth="1"/>
    <col min="3346" max="3346" width="12" style="755"/>
    <col min="3347" max="3347" width="22.5" style="755" customWidth="1"/>
    <col min="3348" max="3583" width="12" style="755"/>
    <col min="3584" max="3584" width="151" style="755" customWidth="1"/>
    <col min="3585" max="3585" width="60.83203125" style="755" customWidth="1"/>
    <col min="3586" max="3586" width="50.1640625" style="755" customWidth="1"/>
    <col min="3587" max="3589" width="41.5" style="755" customWidth="1"/>
    <col min="3590" max="3590" width="42.5" style="755" customWidth="1"/>
    <col min="3591" max="3591" width="60.83203125" style="755" customWidth="1"/>
    <col min="3592" max="3592" width="50.1640625" style="755" customWidth="1"/>
    <col min="3593" max="3593" width="60.83203125" style="755" customWidth="1"/>
    <col min="3594" max="3594" width="50.1640625" style="755" customWidth="1"/>
    <col min="3595" max="3595" width="44.5" style="755" customWidth="1"/>
    <col min="3596" max="3596" width="38.5" style="755" customWidth="1"/>
    <col min="3597" max="3597" width="61" style="755" customWidth="1"/>
    <col min="3598" max="3598" width="50" style="755" customWidth="1"/>
    <col min="3599" max="3599" width="58.1640625" style="755" customWidth="1"/>
    <col min="3600" max="3600" width="52.83203125" style="755" customWidth="1"/>
    <col min="3601" max="3601" width="151" style="755" customWidth="1"/>
    <col min="3602" max="3602" width="12" style="755"/>
    <col min="3603" max="3603" width="22.5" style="755" customWidth="1"/>
    <col min="3604" max="3839" width="12" style="755"/>
    <col min="3840" max="3840" width="151" style="755" customWidth="1"/>
    <col min="3841" max="3841" width="60.83203125" style="755" customWidth="1"/>
    <col min="3842" max="3842" width="50.1640625" style="755" customWidth="1"/>
    <col min="3843" max="3845" width="41.5" style="755" customWidth="1"/>
    <col min="3846" max="3846" width="42.5" style="755" customWidth="1"/>
    <col min="3847" max="3847" width="60.83203125" style="755" customWidth="1"/>
    <col min="3848" max="3848" width="50.1640625" style="755" customWidth="1"/>
    <col min="3849" max="3849" width="60.83203125" style="755" customWidth="1"/>
    <col min="3850" max="3850" width="50.1640625" style="755" customWidth="1"/>
    <col min="3851" max="3851" width="44.5" style="755" customWidth="1"/>
    <col min="3852" max="3852" width="38.5" style="755" customWidth="1"/>
    <col min="3853" max="3853" width="61" style="755" customWidth="1"/>
    <col min="3854" max="3854" width="50" style="755" customWidth="1"/>
    <col min="3855" max="3855" width="58.1640625" style="755" customWidth="1"/>
    <col min="3856" max="3856" width="52.83203125" style="755" customWidth="1"/>
    <col min="3857" max="3857" width="151" style="755" customWidth="1"/>
    <col min="3858" max="3858" width="12" style="755"/>
    <col min="3859" max="3859" width="22.5" style="755" customWidth="1"/>
    <col min="3860" max="4095" width="12" style="755"/>
    <col min="4096" max="4096" width="151" style="755" customWidth="1"/>
    <col min="4097" max="4097" width="60.83203125" style="755" customWidth="1"/>
    <col min="4098" max="4098" width="50.1640625" style="755" customWidth="1"/>
    <col min="4099" max="4101" width="41.5" style="755" customWidth="1"/>
    <col min="4102" max="4102" width="42.5" style="755" customWidth="1"/>
    <col min="4103" max="4103" width="60.83203125" style="755" customWidth="1"/>
    <col min="4104" max="4104" width="50.1640625" style="755" customWidth="1"/>
    <col min="4105" max="4105" width="60.83203125" style="755" customWidth="1"/>
    <col min="4106" max="4106" width="50.1640625" style="755" customWidth="1"/>
    <col min="4107" max="4107" width="44.5" style="755" customWidth="1"/>
    <col min="4108" max="4108" width="38.5" style="755" customWidth="1"/>
    <col min="4109" max="4109" width="61" style="755" customWidth="1"/>
    <col min="4110" max="4110" width="50" style="755" customWidth="1"/>
    <col min="4111" max="4111" width="58.1640625" style="755" customWidth="1"/>
    <col min="4112" max="4112" width="52.83203125" style="755" customWidth="1"/>
    <col min="4113" max="4113" width="151" style="755" customWidth="1"/>
    <col min="4114" max="4114" width="12" style="755"/>
    <col min="4115" max="4115" width="22.5" style="755" customWidth="1"/>
    <col min="4116" max="4351" width="12" style="755"/>
    <col min="4352" max="4352" width="151" style="755" customWidth="1"/>
    <col min="4353" max="4353" width="60.83203125" style="755" customWidth="1"/>
    <col min="4354" max="4354" width="50.1640625" style="755" customWidth="1"/>
    <col min="4355" max="4357" width="41.5" style="755" customWidth="1"/>
    <col min="4358" max="4358" width="42.5" style="755" customWidth="1"/>
    <col min="4359" max="4359" width="60.83203125" style="755" customWidth="1"/>
    <col min="4360" max="4360" width="50.1640625" style="755" customWidth="1"/>
    <col min="4361" max="4361" width="60.83203125" style="755" customWidth="1"/>
    <col min="4362" max="4362" width="50.1640625" style="755" customWidth="1"/>
    <col min="4363" max="4363" width="44.5" style="755" customWidth="1"/>
    <col min="4364" max="4364" width="38.5" style="755" customWidth="1"/>
    <col min="4365" max="4365" width="61" style="755" customWidth="1"/>
    <col min="4366" max="4366" width="50" style="755" customWidth="1"/>
    <col min="4367" max="4367" width="58.1640625" style="755" customWidth="1"/>
    <col min="4368" max="4368" width="52.83203125" style="755" customWidth="1"/>
    <col min="4369" max="4369" width="151" style="755" customWidth="1"/>
    <col min="4370" max="4370" width="12" style="755"/>
    <col min="4371" max="4371" width="22.5" style="755" customWidth="1"/>
    <col min="4372" max="4607" width="12" style="755"/>
    <col min="4608" max="4608" width="151" style="755" customWidth="1"/>
    <col min="4609" max="4609" width="60.83203125" style="755" customWidth="1"/>
    <col min="4610" max="4610" width="50.1640625" style="755" customWidth="1"/>
    <col min="4611" max="4613" width="41.5" style="755" customWidth="1"/>
    <col min="4614" max="4614" width="42.5" style="755" customWidth="1"/>
    <col min="4615" max="4615" width="60.83203125" style="755" customWidth="1"/>
    <col min="4616" max="4616" width="50.1640625" style="755" customWidth="1"/>
    <col min="4617" max="4617" width="60.83203125" style="755" customWidth="1"/>
    <col min="4618" max="4618" width="50.1640625" style="755" customWidth="1"/>
    <col min="4619" max="4619" width="44.5" style="755" customWidth="1"/>
    <col min="4620" max="4620" width="38.5" style="755" customWidth="1"/>
    <col min="4621" max="4621" width="61" style="755" customWidth="1"/>
    <col min="4622" max="4622" width="50" style="755" customWidth="1"/>
    <col min="4623" max="4623" width="58.1640625" style="755" customWidth="1"/>
    <col min="4624" max="4624" width="52.83203125" style="755" customWidth="1"/>
    <col min="4625" max="4625" width="151" style="755" customWidth="1"/>
    <col min="4626" max="4626" width="12" style="755"/>
    <col min="4627" max="4627" width="22.5" style="755" customWidth="1"/>
    <col min="4628" max="4863" width="12" style="755"/>
    <col min="4864" max="4864" width="151" style="755" customWidth="1"/>
    <col min="4865" max="4865" width="60.83203125" style="755" customWidth="1"/>
    <col min="4866" max="4866" width="50.1640625" style="755" customWidth="1"/>
    <col min="4867" max="4869" width="41.5" style="755" customWidth="1"/>
    <col min="4870" max="4870" width="42.5" style="755" customWidth="1"/>
    <col min="4871" max="4871" width="60.83203125" style="755" customWidth="1"/>
    <col min="4872" max="4872" width="50.1640625" style="755" customWidth="1"/>
    <col min="4873" max="4873" width="60.83203125" style="755" customWidth="1"/>
    <col min="4874" max="4874" width="50.1640625" style="755" customWidth="1"/>
    <col min="4875" max="4875" width="44.5" style="755" customWidth="1"/>
    <col min="4876" max="4876" width="38.5" style="755" customWidth="1"/>
    <col min="4877" max="4877" width="61" style="755" customWidth="1"/>
    <col min="4878" max="4878" width="50" style="755" customWidth="1"/>
    <col min="4879" max="4879" width="58.1640625" style="755" customWidth="1"/>
    <col min="4880" max="4880" width="52.83203125" style="755" customWidth="1"/>
    <col min="4881" max="4881" width="151" style="755" customWidth="1"/>
    <col min="4882" max="4882" width="12" style="755"/>
    <col min="4883" max="4883" width="22.5" style="755" customWidth="1"/>
    <col min="4884" max="5119" width="12" style="755"/>
    <col min="5120" max="5120" width="151" style="755" customWidth="1"/>
    <col min="5121" max="5121" width="60.83203125" style="755" customWidth="1"/>
    <col min="5122" max="5122" width="50.1640625" style="755" customWidth="1"/>
    <col min="5123" max="5125" width="41.5" style="755" customWidth="1"/>
    <col min="5126" max="5126" width="42.5" style="755" customWidth="1"/>
    <col min="5127" max="5127" width="60.83203125" style="755" customWidth="1"/>
    <col min="5128" max="5128" width="50.1640625" style="755" customWidth="1"/>
    <col min="5129" max="5129" width="60.83203125" style="755" customWidth="1"/>
    <col min="5130" max="5130" width="50.1640625" style="755" customWidth="1"/>
    <col min="5131" max="5131" width="44.5" style="755" customWidth="1"/>
    <col min="5132" max="5132" width="38.5" style="755" customWidth="1"/>
    <col min="5133" max="5133" width="61" style="755" customWidth="1"/>
    <col min="5134" max="5134" width="50" style="755" customWidth="1"/>
    <col min="5135" max="5135" width="58.1640625" style="755" customWidth="1"/>
    <col min="5136" max="5136" width="52.83203125" style="755" customWidth="1"/>
    <col min="5137" max="5137" width="151" style="755" customWidth="1"/>
    <col min="5138" max="5138" width="12" style="755"/>
    <col min="5139" max="5139" width="22.5" style="755" customWidth="1"/>
    <col min="5140" max="5375" width="12" style="755"/>
    <col min="5376" max="5376" width="151" style="755" customWidth="1"/>
    <col min="5377" max="5377" width="60.83203125" style="755" customWidth="1"/>
    <col min="5378" max="5378" width="50.1640625" style="755" customWidth="1"/>
    <col min="5379" max="5381" width="41.5" style="755" customWidth="1"/>
    <col min="5382" max="5382" width="42.5" style="755" customWidth="1"/>
    <col min="5383" max="5383" width="60.83203125" style="755" customWidth="1"/>
    <col min="5384" max="5384" width="50.1640625" style="755" customWidth="1"/>
    <col min="5385" max="5385" width="60.83203125" style="755" customWidth="1"/>
    <col min="5386" max="5386" width="50.1640625" style="755" customWidth="1"/>
    <col min="5387" max="5387" width="44.5" style="755" customWidth="1"/>
    <col min="5388" max="5388" width="38.5" style="755" customWidth="1"/>
    <col min="5389" max="5389" width="61" style="755" customWidth="1"/>
    <col min="5390" max="5390" width="50" style="755" customWidth="1"/>
    <col min="5391" max="5391" width="58.1640625" style="755" customWidth="1"/>
    <col min="5392" max="5392" width="52.83203125" style="755" customWidth="1"/>
    <col min="5393" max="5393" width="151" style="755" customWidth="1"/>
    <col min="5394" max="5394" width="12" style="755"/>
    <col min="5395" max="5395" width="22.5" style="755" customWidth="1"/>
    <col min="5396" max="5631" width="12" style="755"/>
    <col min="5632" max="5632" width="151" style="755" customWidth="1"/>
    <col min="5633" max="5633" width="60.83203125" style="755" customWidth="1"/>
    <col min="5634" max="5634" width="50.1640625" style="755" customWidth="1"/>
    <col min="5635" max="5637" width="41.5" style="755" customWidth="1"/>
    <col min="5638" max="5638" width="42.5" style="755" customWidth="1"/>
    <col min="5639" max="5639" width="60.83203125" style="755" customWidth="1"/>
    <col min="5640" max="5640" width="50.1640625" style="755" customWidth="1"/>
    <col min="5641" max="5641" width="60.83203125" style="755" customWidth="1"/>
    <col min="5642" max="5642" width="50.1640625" style="755" customWidth="1"/>
    <col min="5643" max="5643" width="44.5" style="755" customWidth="1"/>
    <col min="5644" max="5644" width="38.5" style="755" customWidth="1"/>
    <col min="5645" max="5645" width="61" style="755" customWidth="1"/>
    <col min="5646" max="5646" width="50" style="755" customWidth="1"/>
    <col min="5647" max="5647" width="58.1640625" style="755" customWidth="1"/>
    <col min="5648" max="5648" width="52.83203125" style="755" customWidth="1"/>
    <col min="5649" max="5649" width="151" style="755" customWidth="1"/>
    <col min="5650" max="5650" width="12" style="755"/>
    <col min="5651" max="5651" width="22.5" style="755" customWidth="1"/>
    <col min="5652" max="5887" width="12" style="755"/>
    <col min="5888" max="5888" width="151" style="755" customWidth="1"/>
    <col min="5889" max="5889" width="60.83203125" style="755" customWidth="1"/>
    <col min="5890" max="5890" width="50.1640625" style="755" customWidth="1"/>
    <col min="5891" max="5893" width="41.5" style="755" customWidth="1"/>
    <col min="5894" max="5894" width="42.5" style="755" customWidth="1"/>
    <col min="5895" max="5895" width="60.83203125" style="755" customWidth="1"/>
    <col min="5896" max="5896" width="50.1640625" style="755" customWidth="1"/>
    <col min="5897" max="5897" width="60.83203125" style="755" customWidth="1"/>
    <col min="5898" max="5898" width="50.1640625" style="755" customWidth="1"/>
    <col min="5899" max="5899" width="44.5" style="755" customWidth="1"/>
    <col min="5900" max="5900" width="38.5" style="755" customWidth="1"/>
    <col min="5901" max="5901" width="61" style="755" customWidth="1"/>
    <col min="5902" max="5902" width="50" style="755" customWidth="1"/>
    <col min="5903" max="5903" width="58.1640625" style="755" customWidth="1"/>
    <col min="5904" max="5904" width="52.83203125" style="755" customWidth="1"/>
    <col min="5905" max="5905" width="151" style="755" customWidth="1"/>
    <col min="5906" max="5906" width="12" style="755"/>
    <col min="5907" max="5907" width="22.5" style="755" customWidth="1"/>
    <col min="5908" max="6143" width="12" style="755"/>
    <col min="6144" max="6144" width="151" style="755" customWidth="1"/>
    <col min="6145" max="6145" width="60.83203125" style="755" customWidth="1"/>
    <col min="6146" max="6146" width="50.1640625" style="755" customWidth="1"/>
    <col min="6147" max="6149" width="41.5" style="755" customWidth="1"/>
    <col min="6150" max="6150" width="42.5" style="755" customWidth="1"/>
    <col min="6151" max="6151" width="60.83203125" style="755" customWidth="1"/>
    <col min="6152" max="6152" width="50.1640625" style="755" customWidth="1"/>
    <col min="6153" max="6153" width="60.83203125" style="755" customWidth="1"/>
    <col min="6154" max="6154" width="50.1640625" style="755" customWidth="1"/>
    <col min="6155" max="6155" width="44.5" style="755" customWidth="1"/>
    <col min="6156" max="6156" width="38.5" style="755" customWidth="1"/>
    <col min="6157" max="6157" width="61" style="755" customWidth="1"/>
    <col min="6158" max="6158" width="50" style="755" customWidth="1"/>
    <col min="6159" max="6159" width="58.1640625" style="755" customWidth="1"/>
    <col min="6160" max="6160" width="52.83203125" style="755" customWidth="1"/>
    <col min="6161" max="6161" width="151" style="755" customWidth="1"/>
    <col min="6162" max="6162" width="12" style="755"/>
    <col min="6163" max="6163" width="22.5" style="755" customWidth="1"/>
    <col min="6164" max="6399" width="12" style="755"/>
    <col min="6400" max="6400" width="151" style="755" customWidth="1"/>
    <col min="6401" max="6401" width="60.83203125" style="755" customWidth="1"/>
    <col min="6402" max="6402" width="50.1640625" style="755" customWidth="1"/>
    <col min="6403" max="6405" width="41.5" style="755" customWidth="1"/>
    <col min="6406" max="6406" width="42.5" style="755" customWidth="1"/>
    <col min="6407" max="6407" width="60.83203125" style="755" customWidth="1"/>
    <col min="6408" max="6408" width="50.1640625" style="755" customWidth="1"/>
    <col min="6409" max="6409" width="60.83203125" style="755" customWidth="1"/>
    <col min="6410" max="6410" width="50.1640625" style="755" customWidth="1"/>
    <col min="6411" max="6411" width="44.5" style="755" customWidth="1"/>
    <col min="6412" max="6412" width="38.5" style="755" customWidth="1"/>
    <col min="6413" max="6413" width="61" style="755" customWidth="1"/>
    <col min="6414" max="6414" width="50" style="755" customWidth="1"/>
    <col min="6415" max="6415" width="58.1640625" style="755" customWidth="1"/>
    <col min="6416" max="6416" width="52.83203125" style="755" customWidth="1"/>
    <col min="6417" max="6417" width="151" style="755" customWidth="1"/>
    <col min="6418" max="6418" width="12" style="755"/>
    <col min="6419" max="6419" width="22.5" style="755" customWidth="1"/>
    <col min="6420" max="6655" width="12" style="755"/>
    <col min="6656" max="6656" width="151" style="755" customWidth="1"/>
    <col min="6657" max="6657" width="60.83203125" style="755" customWidth="1"/>
    <col min="6658" max="6658" width="50.1640625" style="755" customWidth="1"/>
    <col min="6659" max="6661" width="41.5" style="755" customWidth="1"/>
    <col min="6662" max="6662" width="42.5" style="755" customWidth="1"/>
    <col min="6663" max="6663" width="60.83203125" style="755" customWidth="1"/>
    <col min="6664" max="6664" width="50.1640625" style="755" customWidth="1"/>
    <col min="6665" max="6665" width="60.83203125" style="755" customWidth="1"/>
    <col min="6666" max="6666" width="50.1640625" style="755" customWidth="1"/>
    <col min="6667" max="6667" width="44.5" style="755" customWidth="1"/>
    <col min="6668" max="6668" width="38.5" style="755" customWidth="1"/>
    <col min="6669" max="6669" width="61" style="755" customWidth="1"/>
    <col min="6670" max="6670" width="50" style="755" customWidth="1"/>
    <col min="6671" max="6671" width="58.1640625" style="755" customWidth="1"/>
    <col min="6672" max="6672" width="52.83203125" style="755" customWidth="1"/>
    <col min="6673" max="6673" width="151" style="755" customWidth="1"/>
    <col min="6674" max="6674" width="12" style="755"/>
    <col min="6675" max="6675" width="22.5" style="755" customWidth="1"/>
    <col min="6676" max="6911" width="12" style="755"/>
    <col min="6912" max="6912" width="151" style="755" customWidth="1"/>
    <col min="6913" max="6913" width="60.83203125" style="755" customWidth="1"/>
    <col min="6914" max="6914" width="50.1640625" style="755" customWidth="1"/>
    <col min="6915" max="6917" width="41.5" style="755" customWidth="1"/>
    <col min="6918" max="6918" width="42.5" style="755" customWidth="1"/>
    <col min="6919" max="6919" width="60.83203125" style="755" customWidth="1"/>
    <col min="6920" max="6920" width="50.1640625" style="755" customWidth="1"/>
    <col min="6921" max="6921" width="60.83203125" style="755" customWidth="1"/>
    <col min="6922" max="6922" width="50.1640625" style="755" customWidth="1"/>
    <col min="6923" max="6923" width="44.5" style="755" customWidth="1"/>
    <col min="6924" max="6924" width="38.5" style="755" customWidth="1"/>
    <col min="6925" max="6925" width="61" style="755" customWidth="1"/>
    <col min="6926" max="6926" width="50" style="755" customWidth="1"/>
    <col min="6927" max="6927" width="58.1640625" style="755" customWidth="1"/>
    <col min="6928" max="6928" width="52.83203125" style="755" customWidth="1"/>
    <col min="6929" max="6929" width="151" style="755" customWidth="1"/>
    <col min="6930" max="6930" width="12" style="755"/>
    <col min="6931" max="6931" width="22.5" style="755" customWidth="1"/>
    <col min="6932" max="7167" width="12" style="755"/>
    <col min="7168" max="7168" width="151" style="755" customWidth="1"/>
    <col min="7169" max="7169" width="60.83203125" style="755" customWidth="1"/>
    <col min="7170" max="7170" width="50.1640625" style="755" customWidth="1"/>
    <col min="7171" max="7173" width="41.5" style="755" customWidth="1"/>
    <col min="7174" max="7174" width="42.5" style="755" customWidth="1"/>
    <col min="7175" max="7175" width="60.83203125" style="755" customWidth="1"/>
    <col min="7176" max="7176" width="50.1640625" style="755" customWidth="1"/>
    <col min="7177" max="7177" width="60.83203125" style="755" customWidth="1"/>
    <col min="7178" max="7178" width="50.1640625" style="755" customWidth="1"/>
    <col min="7179" max="7179" width="44.5" style="755" customWidth="1"/>
    <col min="7180" max="7180" width="38.5" style="755" customWidth="1"/>
    <col min="7181" max="7181" width="61" style="755" customWidth="1"/>
    <col min="7182" max="7182" width="50" style="755" customWidth="1"/>
    <col min="7183" max="7183" width="58.1640625" style="755" customWidth="1"/>
    <col min="7184" max="7184" width="52.83203125" style="755" customWidth="1"/>
    <col min="7185" max="7185" width="151" style="755" customWidth="1"/>
    <col min="7186" max="7186" width="12" style="755"/>
    <col min="7187" max="7187" width="22.5" style="755" customWidth="1"/>
    <col min="7188" max="7423" width="12" style="755"/>
    <col min="7424" max="7424" width="151" style="755" customWidth="1"/>
    <col min="7425" max="7425" width="60.83203125" style="755" customWidth="1"/>
    <col min="7426" max="7426" width="50.1640625" style="755" customWidth="1"/>
    <col min="7427" max="7429" width="41.5" style="755" customWidth="1"/>
    <col min="7430" max="7430" width="42.5" style="755" customWidth="1"/>
    <col min="7431" max="7431" width="60.83203125" style="755" customWidth="1"/>
    <col min="7432" max="7432" width="50.1640625" style="755" customWidth="1"/>
    <col min="7433" max="7433" width="60.83203125" style="755" customWidth="1"/>
    <col min="7434" max="7434" width="50.1640625" style="755" customWidth="1"/>
    <col min="7435" max="7435" width="44.5" style="755" customWidth="1"/>
    <col min="7436" max="7436" width="38.5" style="755" customWidth="1"/>
    <col min="7437" max="7437" width="61" style="755" customWidth="1"/>
    <col min="7438" max="7438" width="50" style="755" customWidth="1"/>
    <col min="7439" max="7439" width="58.1640625" style="755" customWidth="1"/>
    <col min="7440" max="7440" width="52.83203125" style="755" customWidth="1"/>
    <col min="7441" max="7441" width="151" style="755" customWidth="1"/>
    <col min="7442" max="7442" width="12" style="755"/>
    <col min="7443" max="7443" width="22.5" style="755" customWidth="1"/>
    <col min="7444" max="7679" width="12" style="755"/>
    <col min="7680" max="7680" width="151" style="755" customWidth="1"/>
    <col min="7681" max="7681" width="60.83203125" style="755" customWidth="1"/>
    <col min="7682" max="7682" width="50.1640625" style="755" customWidth="1"/>
    <col min="7683" max="7685" width="41.5" style="755" customWidth="1"/>
    <col min="7686" max="7686" width="42.5" style="755" customWidth="1"/>
    <col min="7687" max="7687" width="60.83203125" style="755" customWidth="1"/>
    <col min="7688" max="7688" width="50.1640625" style="755" customWidth="1"/>
    <col min="7689" max="7689" width="60.83203125" style="755" customWidth="1"/>
    <col min="7690" max="7690" width="50.1640625" style="755" customWidth="1"/>
    <col min="7691" max="7691" width="44.5" style="755" customWidth="1"/>
    <col min="7692" max="7692" width="38.5" style="755" customWidth="1"/>
    <col min="7693" max="7693" width="61" style="755" customWidth="1"/>
    <col min="7694" max="7694" width="50" style="755" customWidth="1"/>
    <col min="7695" max="7695" width="58.1640625" style="755" customWidth="1"/>
    <col min="7696" max="7696" width="52.83203125" style="755" customWidth="1"/>
    <col min="7697" max="7697" width="151" style="755" customWidth="1"/>
    <col min="7698" max="7698" width="12" style="755"/>
    <col min="7699" max="7699" width="22.5" style="755" customWidth="1"/>
    <col min="7700" max="7935" width="12" style="755"/>
    <col min="7936" max="7936" width="151" style="755" customWidth="1"/>
    <col min="7937" max="7937" width="60.83203125" style="755" customWidth="1"/>
    <col min="7938" max="7938" width="50.1640625" style="755" customWidth="1"/>
    <col min="7939" max="7941" width="41.5" style="755" customWidth="1"/>
    <col min="7942" max="7942" width="42.5" style="755" customWidth="1"/>
    <col min="7943" max="7943" width="60.83203125" style="755" customWidth="1"/>
    <col min="7944" max="7944" width="50.1640625" style="755" customWidth="1"/>
    <col min="7945" max="7945" width="60.83203125" style="755" customWidth="1"/>
    <col min="7946" max="7946" width="50.1640625" style="755" customWidth="1"/>
    <col min="7947" max="7947" width="44.5" style="755" customWidth="1"/>
    <col min="7948" max="7948" width="38.5" style="755" customWidth="1"/>
    <col min="7949" max="7949" width="61" style="755" customWidth="1"/>
    <col min="7950" max="7950" width="50" style="755" customWidth="1"/>
    <col min="7951" max="7951" width="58.1640625" style="755" customWidth="1"/>
    <col min="7952" max="7952" width="52.83203125" style="755" customWidth="1"/>
    <col min="7953" max="7953" width="151" style="755" customWidth="1"/>
    <col min="7954" max="7954" width="12" style="755"/>
    <col min="7955" max="7955" width="22.5" style="755" customWidth="1"/>
    <col min="7956" max="8191" width="12" style="755"/>
    <col min="8192" max="8192" width="151" style="755" customWidth="1"/>
    <col min="8193" max="8193" width="60.83203125" style="755" customWidth="1"/>
    <col min="8194" max="8194" width="50.1640625" style="755" customWidth="1"/>
    <col min="8195" max="8197" width="41.5" style="755" customWidth="1"/>
    <col min="8198" max="8198" width="42.5" style="755" customWidth="1"/>
    <col min="8199" max="8199" width="60.83203125" style="755" customWidth="1"/>
    <col min="8200" max="8200" width="50.1640625" style="755" customWidth="1"/>
    <col min="8201" max="8201" width="60.83203125" style="755" customWidth="1"/>
    <col min="8202" max="8202" width="50.1640625" style="755" customWidth="1"/>
    <col min="8203" max="8203" width="44.5" style="755" customWidth="1"/>
    <col min="8204" max="8204" width="38.5" style="755" customWidth="1"/>
    <col min="8205" max="8205" width="61" style="755" customWidth="1"/>
    <col min="8206" max="8206" width="50" style="755" customWidth="1"/>
    <col min="8207" max="8207" width="58.1640625" style="755" customWidth="1"/>
    <col min="8208" max="8208" width="52.83203125" style="755" customWidth="1"/>
    <col min="8209" max="8209" width="151" style="755" customWidth="1"/>
    <col min="8210" max="8210" width="12" style="755"/>
    <col min="8211" max="8211" width="22.5" style="755" customWidth="1"/>
    <col min="8212" max="8447" width="12" style="755"/>
    <col min="8448" max="8448" width="151" style="755" customWidth="1"/>
    <col min="8449" max="8449" width="60.83203125" style="755" customWidth="1"/>
    <col min="8450" max="8450" width="50.1640625" style="755" customWidth="1"/>
    <col min="8451" max="8453" width="41.5" style="755" customWidth="1"/>
    <col min="8454" max="8454" width="42.5" style="755" customWidth="1"/>
    <col min="8455" max="8455" width="60.83203125" style="755" customWidth="1"/>
    <col min="8456" max="8456" width="50.1640625" style="755" customWidth="1"/>
    <col min="8457" max="8457" width="60.83203125" style="755" customWidth="1"/>
    <col min="8458" max="8458" width="50.1640625" style="755" customWidth="1"/>
    <col min="8459" max="8459" width="44.5" style="755" customWidth="1"/>
    <col min="8460" max="8460" width="38.5" style="755" customWidth="1"/>
    <col min="8461" max="8461" width="61" style="755" customWidth="1"/>
    <col min="8462" max="8462" width="50" style="755" customWidth="1"/>
    <col min="8463" max="8463" width="58.1640625" style="755" customWidth="1"/>
    <col min="8464" max="8464" width="52.83203125" style="755" customWidth="1"/>
    <col min="8465" max="8465" width="151" style="755" customWidth="1"/>
    <col min="8466" max="8466" width="12" style="755"/>
    <col min="8467" max="8467" width="22.5" style="755" customWidth="1"/>
    <col min="8468" max="8703" width="12" style="755"/>
    <col min="8704" max="8704" width="151" style="755" customWidth="1"/>
    <col min="8705" max="8705" width="60.83203125" style="755" customWidth="1"/>
    <col min="8706" max="8706" width="50.1640625" style="755" customWidth="1"/>
    <col min="8707" max="8709" width="41.5" style="755" customWidth="1"/>
    <col min="8710" max="8710" width="42.5" style="755" customWidth="1"/>
    <col min="8711" max="8711" width="60.83203125" style="755" customWidth="1"/>
    <col min="8712" max="8712" width="50.1640625" style="755" customWidth="1"/>
    <col min="8713" max="8713" width="60.83203125" style="755" customWidth="1"/>
    <col min="8714" max="8714" width="50.1640625" style="755" customWidth="1"/>
    <col min="8715" max="8715" width="44.5" style="755" customWidth="1"/>
    <col min="8716" max="8716" width="38.5" style="755" customWidth="1"/>
    <col min="8717" max="8717" width="61" style="755" customWidth="1"/>
    <col min="8718" max="8718" width="50" style="755" customWidth="1"/>
    <col min="8719" max="8719" width="58.1640625" style="755" customWidth="1"/>
    <col min="8720" max="8720" width="52.83203125" style="755" customWidth="1"/>
    <col min="8721" max="8721" width="151" style="755" customWidth="1"/>
    <col min="8722" max="8722" width="12" style="755"/>
    <col min="8723" max="8723" width="22.5" style="755" customWidth="1"/>
    <col min="8724" max="8959" width="12" style="755"/>
    <col min="8960" max="8960" width="151" style="755" customWidth="1"/>
    <col min="8961" max="8961" width="60.83203125" style="755" customWidth="1"/>
    <col min="8962" max="8962" width="50.1640625" style="755" customWidth="1"/>
    <col min="8963" max="8965" width="41.5" style="755" customWidth="1"/>
    <col min="8966" max="8966" width="42.5" style="755" customWidth="1"/>
    <col min="8967" max="8967" width="60.83203125" style="755" customWidth="1"/>
    <col min="8968" max="8968" width="50.1640625" style="755" customWidth="1"/>
    <col min="8969" max="8969" width="60.83203125" style="755" customWidth="1"/>
    <col min="8970" max="8970" width="50.1640625" style="755" customWidth="1"/>
    <col min="8971" max="8971" width="44.5" style="755" customWidth="1"/>
    <col min="8972" max="8972" width="38.5" style="755" customWidth="1"/>
    <col min="8973" max="8973" width="61" style="755" customWidth="1"/>
    <col min="8974" max="8974" width="50" style="755" customWidth="1"/>
    <col min="8975" max="8975" width="58.1640625" style="755" customWidth="1"/>
    <col min="8976" max="8976" width="52.83203125" style="755" customWidth="1"/>
    <col min="8977" max="8977" width="151" style="755" customWidth="1"/>
    <col min="8978" max="8978" width="12" style="755"/>
    <col min="8979" max="8979" width="22.5" style="755" customWidth="1"/>
    <col min="8980" max="9215" width="12" style="755"/>
    <col min="9216" max="9216" width="151" style="755" customWidth="1"/>
    <col min="9217" max="9217" width="60.83203125" style="755" customWidth="1"/>
    <col min="9218" max="9218" width="50.1640625" style="755" customWidth="1"/>
    <col min="9219" max="9221" width="41.5" style="755" customWidth="1"/>
    <col min="9222" max="9222" width="42.5" style="755" customWidth="1"/>
    <col min="9223" max="9223" width="60.83203125" style="755" customWidth="1"/>
    <col min="9224" max="9224" width="50.1640625" style="755" customWidth="1"/>
    <col min="9225" max="9225" width="60.83203125" style="755" customWidth="1"/>
    <col min="9226" max="9226" width="50.1640625" style="755" customWidth="1"/>
    <col min="9227" max="9227" width="44.5" style="755" customWidth="1"/>
    <col min="9228" max="9228" width="38.5" style="755" customWidth="1"/>
    <col min="9229" max="9229" width="61" style="755" customWidth="1"/>
    <col min="9230" max="9230" width="50" style="755" customWidth="1"/>
    <col min="9231" max="9231" width="58.1640625" style="755" customWidth="1"/>
    <col min="9232" max="9232" width="52.83203125" style="755" customWidth="1"/>
    <col min="9233" max="9233" width="151" style="755" customWidth="1"/>
    <col min="9234" max="9234" width="12" style="755"/>
    <col min="9235" max="9235" width="22.5" style="755" customWidth="1"/>
    <col min="9236" max="9471" width="12" style="755"/>
    <col min="9472" max="9472" width="151" style="755" customWidth="1"/>
    <col min="9473" max="9473" width="60.83203125" style="755" customWidth="1"/>
    <col min="9474" max="9474" width="50.1640625" style="755" customWidth="1"/>
    <col min="9475" max="9477" width="41.5" style="755" customWidth="1"/>
    <col min="9478" max="9478" width="42.5" style="755" customWidth="1"/>
    <col min="9479" max="9479" width="60.83203125" style="755" customWidth="1"/>
    <col min="9480" max="9480" width="50.1640625" style="755" customWidth="1"/>
    <col min="9481" max="9481" width="60.83203125" style="755" customWidth="1"/>
    <col min="9482" max="9482" width="50.1640625" style="755" customWidth="1"/>
    <col min="9483" max="9483" width="44.5" style="755" customWidth="1"/>
    <col min="9484" max="9484" width="38.5" style="755" customWidth="1"/>
    <col min="9485" max="9485" width="61" style="755" customWidth="1"/>
    <col min="9486" max="9486" width="50" style="755" customWidth="1"/>
    <col min="9487" max="9487" width="58.1640625" style="755" customWidth="1"/>
    <col min="9488" max="9488" width="52.83203125" style="755" customWidth="1"/>
    <col min="9489" max="9489" width="151" style="755" customWidth="1"/>
    <col min="9490" max="9490" width="12" style="755"/>
    <col min="9491" max="9491" width="22.5" style="755" customWidth="1"/>
    <col min="9492" max="9727" width="12" style="755"/>
    <col min="9728" max="9728" width="151" style="755" customWidth="1"/>
    <col min="9729" max="9729" width="60.83203125" style="755" customWidth="1"/>
    <col min="9730" max="9730" width="50.1640625" style="755" customWidth="1"/>
    <col min="9731" max="9733" width="41.5" style="755" customWidth="1"/>
    <col min="9734" max="9734" width="42.5" style="755" customWidth="1"/>
    <col min="9735" max="9735" width="60.83203125" style="755" customWidth="1"/>
    <col min="9736" max="9736" width="50.1640625" style="755" customWidth="1"/>
    <col min="9737" max="9737" width="60.83203125" style="755" customWidth="1"/>
    <col min="9738" max="9738" width="50.1640625" style="755" customWidth="1"/>
    <col min="9739" max="9739" width="44.5" style="755" customWidth="1"/>
    <col min="9740" max="9740" width="38.5" style="755" customWidth="1"/>
    <col min="9741" max="9741" width="61" style="755" customWidth="1"/>
    <col min="9742" max="9742" width="50" style="755" customWidth="1"/>
    <col min="9743" max="9743" width="58.1640625" style="755" customWidth="1"/>
    <col min="9744" max="9744" width="52.83203125" style="755" customWidth="1"/>
    <col min="9745" max="9745" width="151" style="755" customWidth="1"/>
    <col min="9746" max="9746" width="12" style="755"/>
    <col min="9747" max="9747" width="22.5" style="755" customWidth="1"/>
    <col min="9748" max="9983" width="12" style="755"/>
    <col min="9984" max="9984" width="151" style="755" customWidth="1"/>
    <col min="9985" max="9985" width="60.83203125" style="755" customWidth="1"/>
    <col min="9986" max="9986" width="50.1640625" style="755" customWidth="1"/>
    <col min="9987" max="9989" width="41.5" style="755" customWidth="1"/>
    <col min="9990" max="9990" width="42.5" style="755" customWidth="1"/>
    <col min="9991" max="9991" width="60.83203125" style="755" customWidth="1"/>
    <col min="9992" max="9992" width="50.1640625" style="755" customWidth="1"/>
    <col min="9993" max="9993" width="60.83203125" style="755" customWidth="1"/>
    <col min="9994" max="9994" width="50.1640625" style="755" customWidth="1"/>
    <col min="9995" max="9995" width="44.5" style="755" customWidth="1"/>
    <col min="9996" max="9996" width="38.5" style="755" customWidth="1"/>
    <col min="9997" max="9997" width="61" style="755" customWidth="1"/>
    <col min="9998" max="9998" width="50" style="755" customWidth="1"/>
    <col min="9999" max="9999" width="58.1640625" style="755" customWidth="1"/>
    <col min="10000" max="10000" width="52.83203125" style="755" customWidth="1"/>
    <col min="10001" max="10001" width="151" style="755" customWidth="1"/>
    <col min="10002" max="10002" width="12" style="755"/>
    <col min="10003" max="10003" width="22.5" style="755" customWidth="1"/>
    <col min="10004" max="10239" width="12" style="755"/>
    <col min="10240" max="10240" width="151" style="755" customWidth="1"/>
    <col min="10241" max="10241" width="60.83203125" style="755" customWidth="1"/>
    <col min="10242" max="10242" width="50.1640625" style="755" customWidth="1"/>
    <col min="10243" max="10245" width="41.5" style="755" customWidth="1"/>
    <col min="10246" max="10246" width="42.5" style="755" customWidth="1"/>
    <col min="10247" max="10247" width="60.83203125" style="755" customWidth="1"/>
    <col min="10248" max="10248" width="50.1640625" style="755" customWidth="1"/>
    <col min="10249" max="10249" width="60.83203125" style="755" customWidth="1"/>
    <col min="10250" max="10250" width="50.1640625" style="755" customWidth="1"/>
    <col min="10251" max="10251" width="44.5" style="755" customWidth="1"/>
    <col min="10252" max="10252" width="38.5" style="755" customWidth="1"/>
    <col min="10253" max="10253" width="61" style="755" customWidth="1"/>
    <col min="10254" max="10254" width="50" style="755" customWidth="1"/>
    <col min="10255" max="10255" width="58.1640625" style="755" customWidth="1"/>
    <col min="10256" max="10256" width="52.83203125" style="755" customWidth="1"/>
    <col min="10257" max="10257" width="151" style="755" customWidth="1"/>
    <col min="10258" max="10258" width="12" style="755"/>
    <col min="10259" max="10259" width="22.5" style="755" customWidth="1"/>
    <col min="10260" max="10495" width="12" style="755"/>
    <col min="10496" max="10496" width="151" style="755" customWidth="1"/>
    <col min="10497" max="10497" width="60.83203125" style="755" customWidth="1"/>
    <col min="10498" max="10498" width="50.1640625" style="755" customWidth="1"/>
    <col min="10499" max="10501" width="41.5" style="755" customWidth="1"/>
    <col min="10502" max="10502" width="42.5" style="755" customWidth="1"/>
    <col min="10503" max="10503" width="60.83203125" style="755" customWidth="1"/>
    <col min="10504" max="10504" width="50.1640625" style="755" customWidth="1"/>
    <col min="10505" max="10505" width="60.83203125" style="755" customWidth="1"/>
    <col min="10506" max="10506" width="50.1640625" style="755" customWidth="1"/>
    <col min="10507" max="10507" width="44.5" style="755" customWidth="1"/>
    <col min="10508" max="10508" width="38.5" style="755" customWidth="1"/>
    <col min="10509" max="10509" width="61" style="755" customWidth="1"/>
    <col min="10510" max="10510" width="50" style="755" customWidth="1"/>
    <col min="10511" max="10511" width="58.1640625" style="755" customWidth="1"/>
    <col min="10512" max="10512" width="52.83203125" style="755" customWidth="1"/>
    <col min="10513" max="10513" width="151" style="755" customWidth="1"/>
    <col min="10514" max="10514" width="12" style="755"/>
    <col min="10515" max="10515" width="22.5" style="755" customWidth="1"/>
    <col min="10516" max="10751" width="12" style="755"/>
    <col min="10752" max="10752" width="151" style="755" customWidth="1"/>
    <col min="10753" max="10753" width="60.83203125" style="755" customWidth="1"/>
    <col min="10754" max="10754" width="50.1640625" style="755" customWidth="1"/>
    <col min="10755" max="10757" width="41.5" style="755" customWidth="1"/>
    <col min="10758" max="10758" width="42.5" style="755" customWidth="1"/>
    <col min="10759" max="10759" width="60.83203125" style="755" customWidth="1"/>
    <col min="10760" max="10760" width="50.1640625" style="755" customWidth="1"/>
    <col min="10761" max="10761" width="60.83203125" style="755" customWidth="1"/>
    <col min="10762" max="10762" width="50.1640625" style="755" customWidth="1"/>
    <col min="10763" max="10763" width="44.5" style="755" customWidth="1"/>
    <col min="10764" max="10764" width="38.5" style="755" customWidth="1"/>
    <col min="10765" max="10765" width="61" style="755" customWidth="1"/>
    <col min="10766" max="10766" width="50" style="755" customWidth="1"/>
    <col min="10767" max="10767" width="58.1640625" style="755" customWidth="1"/>
    <col min="10768" max="10768" width="52.83203125" style="755" customWidth="1"/>
    <col min="10769" max="10769" width="151" style="755" customWidth="1"/>
    <col min="10770" max="10770" width="12" style="755"/>
    <col min="10771" max="10771" width="22.5" style="755" customWidth="1"/>
    <col min="10772" max="11007" width="12" style="755"/>
    <col min="11008" max="11008" width="151" style="755" customWidth="1"/>
    <col min="11009" max="11009" width="60.83203125" style="755" customWidth="1"/>
    <col min="11010" max="11010" width="50.1640625" style="755" customWidth="1"/>
    <col min="11011" max="11013" width="41.5" style="755" customWidth="1"/>
    <col min="11014" max="11014" width="42.5" style="755" customWidth="1"/>
    <col min="11015" max="11015" width="60.83203125" style="755" customWidth="1"/>
    <col min="11016" max="11016" width="50.1640625" style="755" customWidth="1"/>
    <col min="11017" max="11017" width="60.83203125" style="755" customWidth="1"/>
    <col min="11018" max="11018" width="50.1640625" style="755" customWidth="1"/>
    <col min="11019" max="11019" width="44.5" style="755" customWidth="1"/>
    <col min="11020" max="11020" width="38.5" style="755" customWidth="1"/>
    <col min="11021" max="11021" width="61" style="755" customWidth="1"/>
    <col min="11022" max="11022" width="50" style="755" customWidth="1"/>
    <col min="11023" max="11023" width="58.1640625" style="755" customWidth="1"/>
    <col min="11024" max="11024" width="52.83203125" style="755" customWidth="1"/>
    <col min="11025" max="11025" width="151" style="755" customWidth="1"/>
    <col min="11026" max="11026" width="12" style="755"/>
    <col min="11027" max="11027" width="22.5" style="755" customWidth="1"/>
    <col min="11028" max="11263" width="12" style="755"/>
    <col min="11264" max="11264" width="151" style="755" customWidth="1"/>
    <col min="11265" max="11265" width="60.83203125" style="755" customWidth="1"/>
    <col min="11266" max="11266" width="50.1640625" style="755" customWidth="1"/>
    <col min="11267" max="11269" width="41.5" style="755" customWidth="1"/>
    <col min="11270" max="11270" width="42.5" style="755" customWidth="1"/>
    <col min="11271" max="11271" width="60.83203125" style="755" customWidth="1"/>
    <col min="11272" max="11272" width="50.1640625" style="755" customWidth="1"/>
    <col min="11273" max="11273" width="60.83203125" style="755" customWidth="1"/>
    <col min="11274" max="11274" width="50.1640625" style="755" customWidth="1"/>
    <col min="11275" max="11275" width="44.5" style="755" customWidth="1"/>
    <col min="11276" max="11276" width="38.5" style="755" customWidth="1"/>
    <col min="11277" max="11277" width="61" style="755" customWidth="1"/>
    <col min="11278" max="11278" width="50" style="755" customWidth="1"/>
    <col min="11279" max="11279" width="58.1640625" style="755" customWidth="1"/>
    <col min="11280" max="11280" width="52.83203125" style="755" customWidth="1"/>
    <col min="11281" max="11281" width="151" style="755" customWidth="1"/>
    <col min="11282" max="11282" width="12" style="755"/>
    <col min="11283" max="11283" width="22.5" style="755" customWidth="1"/>
    <col min="11284" max="11519" width="12" style="755"/>
    <col min="11520" max="11520" width="151" style="755" customWidth="1"/>
    <col min="11521" max="11521" width="60.83203125" style="755" customWidth="1"/>
    <col min="11522" max="11522" width="50.1640625" style="755" customWidth="1"/>
    <col min="11523" max="11525" width="41.5" style="755" customWidth="1"/>
    <col min="11526" max="11526" width="42.5" style="755" customWidth="1"/>
    <col min="11527" max="11527" width="60.83203125" style="755" customWidth="1"/>
    <col min="11528" max="11528" width="50.1640625" style="755" customWidth="1"/>
    <col min="11529" max="11529" width="60.83203125" style="755" customWidth="1"/>
    <col min="11530" max="11530" width="50.1640625" style="755" customWidth="1"/>
    <col min="11531" max="11531" width="44.5" style="755" customWidth="1"/>
    <col min="11532" max="11532" width="38.5" style="755" customWidth="1"/>
    <col min="11533" max="11533" width="61" style="755" customWidth="1"/>
    <col min="11534" max="11534" width="50" style="755" customWidth="1"/>
    <col min="11535" max="11535" width="58.1640625" style="755" customWidth="1"/>
    <col min="11536" max="11536" width="52.83203125" style="755" customWidth="1"/>
    <col min="11537" max="11537" width="151" style="755" customWidth="1"/>
    <col min="11538" max="11538" width="12" style="755"/>
    <col min="11539" max="11539" width="22.5" style="755" customWidth="1"/>
    <col min="11540" max="11775" width="12" style="755"/>
    <col min="11776" max="11776" width="151" style="755" customWidth="1"/>
    <col min="11777" max="11777" width="60.83203125" style="755" customWidth="1"/>
    <col min="11778" max="11778" width="50.1640625" style="755" customWidth="1"/>
    <col min="11779" max="11781" width="41.5" style="755" customWidth="1"/>
    <col min="11782" max="11782" width="42.5" style="755" customWidth="1"/>
    <col min="11783" max="11783" width="60.83203125" style="755" customWidth="1"/>
    <col min="11784" max="11784" width="50.1640625" style="755" customWidth="1"/>
    <col min="11785" max="11785" width="60.83203125" style="755" customWidth="1"/>
    <col min="11786" max="11786" width="50.1640625" style="755" customWidth="1"/>
    <col min="11787" max="11787" width="44.5" style="755" customWidth="1"/>
    <col min="11788" max="11788" width="38.5" style="755" customWidth="1"/>
    <col min="11789" max="11789" width="61" style="755" customWidth="1"/>
    <col min="11790" max="11790" width="50" style="755" customWidth="1"/>
    <col min="11791" max="11791" width="58.1640625" style="755" customWidth="1"/>
    <col min="11792" max="11792" width="52.83203125" style="755" customWidth="1"/>
    <col min="11793" max="11793" width="151" style="755" customWidth="1"/>
    <col min="11794" max="11794" width="12" style="755"/>
    <col min="11795" max="11795" width="22.5" style="755" customWidth="1"/>
    <col min="11796" max="12031" width="12" style="755"/>
    <col min="12032" max="12032" width="151" style="755" customWidth="1"/>
    <col min="12033" max="12033" width="60.83203125" style="755" customWidth="1"/>
    <col min="12034" max="12034" width="50.1640625" style="755" customWidth="1"/>
    <col min="12035" max="12037" width="41.5" style="755" customWidth="1"/>
    <col min="12038" max="12038" width="42.5" style="755" customWidth="1"/>
    <col min="12039" max="12039" width="60.83203125" style="755" customWidth="1"/>
    <col min="12040" max="12040" width="50.1640625" style="755" customWidth="1"/>
    <col min="12041" max="12041" width="60.83203125" style="755" customWidth="1"/>
    <col min="12042" max="12042" width="50.1640625" style="755" customWidth="1"/>
    <col min="12043" max="12043" width="44.5" style="755" customWidth="1"/>
    <col min="12044" max="12044" width="38.5" style="755" customWidth="1"/>
    <col min="12045" max="12045" width="61" style="755" customWidth="1"/>
    <col min="12046" max="12046" width="50" style="755" customWidth="1"/>
    <col min="12047" max="12047" width="58.1640625" style="755" customWidth="1"/>
    <col min="12048" max="12048" width="52.83203125" style="755" customWidth="1"/>
    <col min="12049" max="12049" width="151" style="755" customWidth="1"/>
    <col min="12050" max="12050" width="12" style="755"/>
    <col min="12051" max="12051" width="22.5" style="755" customWidth="1"/>
    <col min="12052" max="12287" width="12" style="755"/>
    <col min="12288" max="12288" width="151" style="755" customWidth="1"/>
    <col min="12289" max="12289" width="60.83203125" style="755" customWidth="1"/>
    <col min="12290" max="12290" width="50.1640625" style="755" customWidth="1"/>
    <col min="12291" max="12293" width="41.5" style="755" customWidth="1"/>
    <col min="12294" max="12294" width="42.5" style="755" customWidth="1"/>
    <col min="12295" max="12295" width="60.83203125" style="755" customWidth="1"/>
    <col min="12296" max="12296" width="50.1640625" style="755" customWidth="1"/>
    <col min="12297" max="12297" width="60.83203125" style="755" customWidth="1"/>
    <col min="12298" max="12298" width="50.1640625" style="755" customWidth="1"/>
    <col min="12299" max="12299" width="44.5" style="755" customWidth="1"/>
    <col min="12300" max="12300" width="38.5" style="755" customWidth="1"/>
    <col min="12301" max="12301" width="61" style="755" customWidth="1"/>
    <col min="12302" max="12302" width="50" style="755" customWidth="1"/>
    <col min="12303" max="12303" width="58.1640625" style="755" customWidth="1"/>
    <col min="12304" max="12304" width="52.83203125" style="755" customWidth="1"/>
    <col min="12305" max="12305" width="151" style="755" customWidth="1"/>
    <col min="12306" max="12306" width="12" style="755"/>
    <col min="12307" max="12307" width="22.5" style="755" customWidth="1"/>
    <col min="12308" max="12543" width="12" style="755"/>
    <col min="12544" max="12544" width="151" style="755" customWidth="1"/>
    <col min="12545" max="12545" width="60.83203125" style="755" customWidth="1"/>
    <col min="12546" max="12546" width="50.1640625" style="755" customWidth="1"/>
    <col min="12547" max="12549" width="41.5" style="755" customWidth="1"/>
    <col min="12550" max="12550" width="42.5" style="755" customWidth="1"/>
    <col min="12551" max="12551" width="60.83203125" style="755" customWidth="1"/>
    <col min="12552" max="12552" width="50.1640625" style="755" customWidth="1"/>
    <col min="12553" max="12553" width="60.83203125" style="755" customWidth="1"/>
    <col min="12554" max="12554" width="50.1640625" style="755" customWidth="1"/>
    <col min="12555" max="12555" width="44.5" style="755" customWidth="1"/>
    <col min="12556" max="12556" width="38.5" style="755" customWidth="1"/>
    <col min="12557" max="12557" width="61" style="755" customWidth="1"/>
    <col min="12558" max="12558" width="50" style="755" customWidth="1"/>
    <col min="12559" max="12559" width="58.1640625" style="755" customWidth="1"/>
    <col min="12560" max="12560" width="52.83203125" style="755" customWidth="1"/>
    <col min="12561" max="12561" width="151" style="755" customWidth="1"/>
    <col min="12562" max="12562" width="12" style="755"/>
    <col min="12563" max="12563" width="22.5" style="755" customWidth="1"/>
    <col min="12564" max="12799" width="12" style="755"/>
    <col min="12800" max="12800" width="151" style="755" customWidth="1"/>
    <col min="12801" max="12801" width="60.83203125" style="755" customWidth="1"/>
    <col min="12802" max="12802" width="50.1640625" style="755" customWidth="1"/>
    <col min="12803" max="12805" width="41.5" style="755" customWidth="1"/>
    <col min="12806" max="12806" width="42.5" style="755" customWidth="1"/>
    <col min="12807" max="12807" width="60.83203125" style="755" customWidth="1"/>
    <col min="12808" max="12808" width="50.1640625" style="755" customWidth="1"/>
    <col min="12809" max="12809" width="60.83203125" style="755" customWidth="1"/>
    <col min="12810" max="12810" width="50.1640625" style="755" customWidth="1"/>
    <col min="12811" max="12811" width="44.5" style="755" customWidth="1"/>
    <col min="12812" max="12812" width="38.5" style="755" customWidth="1"/>
    <col min="12813" max="12813" width="61" style="755" customWidth="1"/>
    <col min="12814" max="12814" width="50" style="755" customWidth="1"/>
    <col min="12815" max="12815" width="58.1640625" style="755" customWidth="1"/>
    <col min="12816" max="12816" width="52.83203125" style="755" customWidth="1"/>
    <col min="12817" max="12817" width="151" style="755" customWidth="1"/>
    <col min="12818" max="12818" width="12" style="755"/>
    <col min="12819" max="12819" width="22.5" style="755" customWidth="1"/>
    <col min="12820" max="13055" width="12" style="755"/>
    <col min="13056" max="13056" width="151" style="755" customWidth="1"/>
    <col min="13057" max="13057" width="60.83203125" style="755" customWidth="1"/>
    <col min="13058" max="13058" width="50.1640625" style="755" customWidth="1"/>
    <col min="13059" max="13061" width="41.5" style="755" customWidth="1"/>
    <col min="13062" max="13062" width="42.5" style="755" customWidth="1"/>
    <col min="13063" max="13063" width="60.83203125" style="755" customWidth="1"/>
    <col min="13064" max="13064" width="50.1640625" style="755" customWidth="1"/>
    <col min="13065" max="13065" width="60.83203125" style="755" customWidth="1"/>
    <col min="13066" max="13066" width="50.1640625" style="755" customWidth="1"/>
    <col min="13067" max="13067" width="44.5" style="755" customWidth="1"/>
    <col min="13068" max="13068" width="38.5" style="755" customWidth="1"/>
    <col min="13069" max="13069" width="61" style="755" customWidth="1"/>
    <col min="13070" max="13070" width="50" style="755" customWidth="1"/>
    <col min="13071" max="13071" width="58.1640625" style="755" customWidth="1"/>
    <col min="13072" max="13072" width="52.83203125" style="755" customWidth="1"/>
    <col min="13073" max="13073" width="151" style="755" customWidth="1"/>
    <col min="13074" max="13074" width="12" style="755"/>
    <col min="13075" max="13075" width="22.5" style="755" customWidth="1"/>
    <col min="13076" max="13311" width="12" style="755"/>
    <col min="13312" max="13312" width="151" style="755" customWidth="1"/>
    <col min="13313" max="13313" width="60.83203125" style="755" customWidth="1"/>
    <col min="13314" max="13314" width="50.1640625" style="755" customWidth="1"/>
    <col min="13315" max="13317" width="41.5" style="755" customWidth="1"/>
    <col min="13318" max="13318" width="42.5" style="755" customWidth="1"/>
    <col min="13319" max="13319" width="60.83203125" style="755" customWidth="1"/>
    <col min="13320" max="13320" width="50.1640625" style="755" customWidth="1"/>
    <col min="13321" max="13321" width="60.83203125" style="755" customWidth="1"/>
    <col min="13322" max="13322" width="50.1640625" style="755" customWidth="1"/>
    <col min="13323" max="13323" width="44.5" style="755" customWidth="1"/>
    <col min="13324" max="13324" width="38.5" style="755" customWidth="1"/>
    <col min="13325" max="13325" width="61" style="755" customWidth="1"/>
    <col min="13326" max="13326" width="50" style="755" customWidth="1"/>
    <col min="13327" max="13327" width="58.1640625" style="755" customWidth="1"/>
    <col min="13328" max="13328" width="52.83203125" style="755" customWidth="1"/>
    <col min="13329" max="13329" width="151" style="755" customWidth="1"/>
    <col min="13330" max="13330" width="12" style="755"/>
    <col min="13331" max="13331" width="22.5" style="755" customWidth="1"/>
    <col min="13332" max="13567" width="12" style="755"/>
    <col min="13568" max="13568" width="151" style="755" customWidth="1"/>
    <col min="13569" max="13569" width="60.83203125" style="755" customWidth="1"/>
    <col min="13570" max="13570" width="50.1640625" style="755" customWidth="1"/>
    <col min="13571" max="13573" width="41.5" style="755" customWidth="1"/>
    <col min="13574" max="13574" width="42.5" style="755" customWidth="1"/>
    <col min="13575" max="13575" width="60.83203125" style="755" customWidth="1"/>
    <col min="13576" max="13576" width="50.1640625" style="755" customWidth="1"/>
    <col min="13577" max="13577" width="60.83203125" style="755" customWidth="1"/>
    <col min="13578" max="13578" width="50.1640625" style="755" customWidth="1"/>
    <col min="13579" max="13579" width="44.5" style="755" customWidth="1"/>
    <col min="13580" max="13580" width="38.5" style="755" customWidth="1"/>
    <col min="13581" max="13581" width="61" style="755" customWidth="1"/>
    <col min="13582" max="13582" width="50" style="755" customWidth="1"/>
    <col min="13583" max="13583" width="58.1640625" style="755" customWidth="1"/>
    <col min="13584" max="13584" width="52.83203125" style="755" customWidth="1"/>
    <col min="13585" max="13585" width="151" style="755" customWidth="1"/>
    <col min="13586" max="13586" width="12" style="755"/>
    <col min="13587" max="13587" width="22.5" style="755" customWidth="1"/>
    <col min="13588" max="13823" width="12" style="755"/>
    <col min="13824" max="13824" width="151" style="755" customWidth="1"/>
    <col min="13825" max="13825" width="60.83203125" style="755" customWidth="1"/>
    <col min="13826" max="13826" width="50.1640625" style="755" customWidth="1"/>
    <col min="13827" max="13829" width="41.5" style="755" customWidth="1"/>
    <col min="13830" max="13830" width="42.5" style="755" customWidth="1"/>
    <col min="13831" max="13831" width="60.83203125" style="755" customWidth="1"/>
    <col min="13832" max="13832" width="50.1640625" style="755" customWidth="1"/>
    <col min="13833" max="13833" width="60.83203125" style="755" customWidth="1"/>
    <col min="13834" max="13834" width="50.1640625" style="755" customWidth="1"/>
    <col min="13835" max="13835" width="44.5" style="755" customWidth="1"/>
    <col min="13836" max="13836" width="38.5" style="755" customWidth="1"/>
    <col min="13837" max="13837" width="61" style="755" customWidth="1"/>
    <col min="13838" max="13838" width="50" style="755" customWidth="1"/>
    <col min="13839" max="13839" width="58.1640625" style="755" customWidth="1"/>
    <col min="13840" max="13840" width="52.83203125" style="755" customWidth="1"/>
    <col min="13841" max="13841" width="151" style="755" customWidth="1"/>
    <col min="13842" max="13842" width="12" style="755"/>
    <col min="13843" max="13843" width="22.5" style="755" customWidth="1"/>
    <col min="13844" max="14079" width="12" style="755"/>
    <col min="14080" max="14080" width="151" style="755" customWidth="1"/>
    <col min="14081" max="14081" width="60.83203125" style="755" customWidth="1"/>
    <col min="14082" max="14082" width="50.1640625" style="755" customWidth="1"/>
    <col min="14083" max="14085" width="41.5" style="755" customWidth="1"/>
    <col min="14086" max="14086" width="42.5" style="755" customWidth="1"/>
    <col min="14087" max="14087" width="60.83203125" style="755" customWidth="1"/>
    <col min="14088" max="14088" width="50.1640625" style="755" customWidth="1"/>
    <col min="14089" max="14089" width="60.83203125" style="755" customWidth="1"/>
    <col min="14090" max="14090" width="50.1640625" style="755" customWidth="1"/>
    <col min="14091" max="14091" width="44.5" style="755" customWidth="1"/>
    <col min="14092" max="14092" width="38.5" style="755" customWidth="1"/>
    <col min="14093" max="14093" width="61" style="755" customWidth="1"/>
    <col min="14094" max="14094" width="50" style="755" customWidth="1"/>
    <col min="14095" max="14095" width="58.1640625" style="755" customWidth="1"/>
    <col min="14096" max="14096" width="52.83203125" style="755" customWidth="1"/>
    <col min="14097" max="14097" width="151" style="755" customWidth="1"/>
    <col min="14098" max="14098" width="12" style="755"/>
    <col min="14099" max="14099" width="22.5" style="755" customWidth="1"/>
    <col min="14100" max="14335" width="12" style="755"/>
    <col min="14336" max="14336" width="151" style="755" customWidth="1"/>
    <col min="14337" max="14337" width="60.83203125" style="755" customWidth="1"/>
    <col min="14338" max="14338" width="50.1640625" style="755" customWidth="1"/>
    <col min="14339" max="14341" width="41.5" style="755" customWidth="1"/>
    <col min="14342" max="14342" width="42.5" style="755" customWidth="1"/>
    <col min="14343" max="14343" width="60.83203125" style="755" customWidth="1"/>
    <col min="14344" max="14344" width="50.1640625" style="755" customWidth="1"/>
    <col min="14345" max="14345" width="60.83203125" style="755" customWidth="1"/>
    <col min="14346" max="14346" width="50.1640625" style="755" customWidth="1"/>
    <col min="14347" max="14347" width="44.5" style="755" customWidth="1"/>
    <col min="14348" max="14348" width="38.5" style="755" customWidth="1"/>
    <col min="14349" max="14349" width="61" style="755" customWidth="1"/>
    <col min="14350" max="14350" width="50" style="755" customWidth="1"/>
    <col min="14351" max="14351" width="58.1640625" style="755" customWidth="1"/>
    <col min="14352" max="14352" width="52.83203125" style="755" customWidth="1"/>
    <col min="14353" max="14353" width="151" style="755" customWidth="1"/>
    <col min="14354" max="14354" width="12" style="755"/>
    <col min="14355" max="14355" width="22.5" style="755" customWidth="1"/>
    <col min="14356" max="14591" width="12" style="755"/>
    <col min="14592" max="14592" width="151" style="755" customWidth="1"/>
    <col min="14593" max="14593" width="60.83203125" style="755" customWidth="1"/>
    <col min="14594" max="14594" width="50.1640625" style="755" customWidth="1"/>
    <col min="14595" max="14597" width="41.5" style="755" customWidth="1"/>
    <col min="14598" max="14598" width="42.5" style="755" customWidth="1"/>
    <col min="14599" max="14599" width="60.83203125" style="755" customWidth="1"/>
    <col min="14600" max="14600" width="50.1640625" style="755" customWidth="1"/>
    <col min="14601" max="14601" width="60.83203125" style="755" customWidth="1"/>
    <col min="14602" max="14602" width="50.1640625" style="755" customWidth="1"/>
    <col min="14603" max="14603" width="44.5" style="755" customWidth="1"/>
    <col min="14604" max="14604" width="38.5" style="755" customWidth="1"/>
    <col min="14605" max="14605" width="61" style="755" customWidth="1"/>
    <col min="14606" max="14606" width="50" style="755" customWidth="1"/>
    <col min="14607" max="14607" width="58.1640625" style="755" customWidth="1"/>
    <col min="14608" max="14608" width="52.83203125" style="755" customWidth="1"/>
    <col min="14609" max="14609" width="151" style="755" customWidth="1"/>
    <col min="14610" max="14610" width="12" style="755"/>
    <col min="14611" max="14611" width="22.5" style="755" customWidth="1"/>
    <col min="14612" max="14847" width="12" style="755"/>
    <col min="14848" max="14848" width="151" style="755" customWidth="1"/>
    <col min="14849" max="14849" width="60.83203125" style="755" customWidth="1"/>
    <col min="14850" max="14850" width="50.1640625" style="755" customWidth="1"/>
    <col min="14851" max="14853" width="41.5" style="755" customWidth="1"/>
    <col min="14854" max="14854" width="42.5" style="755" customWidth="1"/>
    <col min="14855" max="14855" width="60.83203125" style="755" customWidth="1"/>
    <col min="14856" max="14856" width="50.1640625" style="755" customWidth="1"/>
    <col min="14857" max="14857" width="60.83203125" style="755" customWidth="1"/>
    <col min="14858" max="14858" width="50.1640625" style="755" customWidth="1"/>
    <col min="14859" max="14859" width="44.5" style="755" customWidth="1"/>
    <col min="14860" max="14860" width="38.5" style="755" customWidth="1"/>
    <col min="14861" max="14861" width="61" style="755" customWidth="1"/>
    <col min="14862" max="14862" width="50" style="755" customWidth="1"/>
    <col min="14863" max="14863" width="58.1640625" style="755" customWidth="1"/>
    <col min="14864" max="14864" width="52.83203125" style="755" customWidth="1"/>
    <col min="14865" max="14865" width="151" style="755" customWidth="1"/>
    <col min="14866" max="14866" width="12" style="755"/>
    <col min="14867" max="14867" width="22.5" style="755" customWidth="1"/>
    <col min="14868" max="15103" width="12" style="755"/>
    <col min="15104" max="15104" width="151" style="755" customWidth="1"/>
    <col min="15105" max="15105" width="60.83203125" style="755" customWidth="1"/>
    <col min="15106" max="15106" width="50.1640625" style="755" customWidth="1"/>
    <col min="15107" max="15109" width="41.5" style="755" customWidth="1"/>
    <col min="15110" max="15110" width="42.5" style="755" customWidth="1"/>
    <col min="15111" max="15111" width="60.83203125" style="755" customWidth="1"/>
    <col min="15112" max="15112" width="50.1640625" style="755" customWidth="1"/>
    <col min="15113" max="15113" width="60.83203125" style="755" customWidth="1"/>
    <col min="15114" max="15114" width="50.1640625" style="755" customWidth="1"/>
    <col min="15115" max="15115" width="44.5" style="755" customWidth="1"/>
    <col min="15116" max="15116" width="38.5" style="755" customWidth="1"/>
    <col min="15117" max="15117" width="61" style="755" customWidth="1"/>
    <col min="15118" max="15118" width="50" style="755" customWidth="1"/>
    <col min="15119" max="15119" width="58.1640625" style="755" customWidth="1"/>
    <col min="15120" max="15120" width="52.83203125" style="755" customWidth="1"/>
    <col min="15121" max="15121" width="151" style="755" customWidth="1"/>
    <col min="15122" max="15122" width="12" style="755"/>
    <col min="15123" max="15123" width="22.5" style="755" customWidth="1"/>
    <col min="15124" max="15359" width="12" style="755"/>
    <col min="15360" max="15360" width="151" style="755" customWidth="1"/>
    <col min="15361" max="15361" width="60.83203125" style="755" customWidth="1"/>
    <col min="15362" max="15362" width="50.1640625" style="755" customWidth="1"/>
    <col min="15363" max="15365" width="41.5" style="755" customWidth="1"/>
    <col min="15366" max="15366" width="42.5" style="755" customWidth="1"/>
    <col min="15367" max="15367" width="60.83203125" style="755" customWidth="1"/>
    <col min="15368" max="15368" width="50.1640625" style="755" customWidth="1"/>
    <col min="15369" max="15369" width="60.83203125" style="755" customWidth="1"/>
    <col min="15370" max="15370" width="50.1640625" style="755" customWidth="1"/>
    <col min="15371" max="15371" width="44.5" style="755" customWidth="1"/>
    <col min="15372" max="15372" width="38.5" style="755" customWidth="1"/>
    <col min="15373" max="15373" width="61" style="755" customWidth="1"/>
    <col min="15374" max="15374" width="50" style="755" customWidth="1"/>
    <col min="15375" max="15375" width="58.1640625" style="755" customWidth="1"/>
    <col min="15376" max="15376" width="52.83203125" style="755" customWidth="1"/>
    <col min="15377" max="15377" width="151" style="755" customWidth="1"/>
    <col min="15378" max="15378" width="12" style="755"/>
    <col min="15379" max="15379" width="22.5" style="755" customWidth="1"/>
    <col min="15380" max="15615" width="12" style="755"/>
    <col min="15616" max="15616" width="151" style="755" customWidth="1"/>
    <col min="15617" max="15617" width="60.83203125" style="755" customWidth="1"/>
    <col min="15618" max="15618" width="50.1640625" style="755" customWidth="1"/>
    <col min="15619" max="15621" width="41.5" style="755" customWidth="1"/>
    <col min="15622" max="15622" width="42.5" style="755" customWidth="1"/>
    <col min="15623" max="15623" width="60.83203125" style="755" customWidth="1"/>
    <col min="15624" max="15624" width="50.1640625" style="755" customWidth="1"/>
    <col min="15625" max="15625" width="60.83203125" style="755" customWidth="1"/>
    <col min="15626" max="15626" width="50.1640625" style="755" customWidth="1"/>
    <col min="15627" max="15627" width="44.5" style="755" customWidth="1"/>
    <col min="15628" max="15628" width="38.5" style="755" customWidth="1"/>
    <col min="15629" max="15629" width="61" style="755" customWidth="1"/>
    <col min="15630" max="15630" width="50" style="755" customWidth="1"/>
    <col min="15631" max="15631" width="58.1640625" style="755" customWidth="1"/>
    <col min="15632" max="15632" width="52.83203125" style="755" customWidth="1"/>
    <col min="15633" max="15633" width="151" style="755" customWidth="1"/>
    <col min="15634" max="15634" width="12" style="755"/>
    <col min="15635" max="15635" width="22.5" style="755" customWidth="1"/>
    <col min="15636" max="15871" width="12" style="755"/>
    <col min="15872" max="15872" width="151" style="755" customWidth="1"/>
    <col min="15873" max="15873" width="60.83203125" style="755" customWidth="1"/>
    <col min="15874" max="15874" width="50.1640625" style="755" customWidth="1"/>
    <col min="15875" max="15877" width="41.5" style="755" customWidth="1"/>
    <col min="15878" max="15878" width="42.5" style="755" customWidth="1"/>
    <col min="15879" max="15879" width="60.83203125" style="755" customWidth="1"/>
    <col min="15880" max="15880" width="50.1640625" style="755" customWidth="1"/>
    <col min="15881" max="15881" width="60.83203125" style="755" customWidth="1"/>
    <col min="15882" max="15882" width="50.1640625" style="755" customWidth="1"/>
    <col min="15883" max="15883" width="44.5" style="755" customWidth="1"/>
    <col min="15884" max="15884" width="38.5" style="755" customWidth="1"/>
    <col min="15885" max="15885" width="61" style="755" customWidth="1"/>
    <col min="15886" max="15886" width="50" style="755" customWidth="1"/>
    <col min="15887" max="15887" width="58.1640625" style="755" customWidth="1"/>
    <col min="15888" max="15888" width="52.83203125" style="755" customWidth="1"/>
    <col min="15889" max="15889" width="151" style="755" customWidth="1"/>
    <col min="15890" max="15890" width="12" style="755"/>
    <col min="15891" max="15891" width="22.5" style="755" customWidth="1"/>
    <col min="15892" max="16127" width="12" style="755"/>
    <col min="16128" max="16128" width="151" style="755" customWidth="1"/>
    <col min="16129" max="16129" width="60.83203125" style="755" customWidth="1"/>
    <col min="16130" max="16130" width="50.1640625" style="755" customWidth="1"/>
    <col min="16131" max="16133" width="41.5" style="755" customWidth="1"/>
    <col min="16134" max="16134" width="42.5" style="755" customWidth="1"/>
    <col min="16135" max="16135" width="60.83203125" style="755" customWidth="1"/>
    <col min="16136" max="16136" width="50.1640625" style="755" customWidth="1"/>
    <col min="16137" max="16137" width="60.83203125" style="755" customWidth="1"/>
    <col min="16138" max="16138" width="50.1640625" style="755" customWidth="1"/>
    <col min="16139" max="16139" width="44.5" style="755" customWidth="1"/>
    <col min="16140" max="16140" width="38.5" style="755" customWidth="1"/>
    <col min="16141" max="16141" width="61" style="755" customWidth="1"/>
    <col min="16142" max="16142" width="50" style="755" customWidth="1"/>
    <col min="16143" max="16143" width="58.1640625" style="755" customWidth="1"/>
    <col min="16144" max="16144" width="52.83203125" style="755" customWidth="1"/>
    <col min="16145" max="16145" width="151" style="755" customWidth="1"/>
    <col min="16146" max="16146" width="12" style="755"/>
    <col min="16147" max="16147" width="22.5" style="755" customWidth="1"/>
    <col min="16148" max="16384" width="12" style="755"/>
  </cols>
  <sheetData>
    <row r="1" spans="1:19" s="752" customFormat="1" ht="45" customHeight="1" x14ac:dyDescent="0.5">
      <c r="A1" s="1013" t="s">
        <v>1006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S1" s="753"/>
    </row>
    <row r="2" spans="1:19" s="752" customFormat="1" ht="44.25" customHeight="1" x14ac:dyDescent="0.5">
      <c r="A2" s="1013" t="s">
        <v>1007</v>
      </c>
      <c r="B2" s="1013"/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S2" s="753"/>
    </row>
    <row r="3" spans="1:19" ht="44.25" customHeight="1" thickBot="1" x14ac:dyDescent="0.55000000000000004"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754"/>
      <c r="M3" s="754"/>
      <c r="N3" s="754"/>
      <c r="O3" s="754"/>
      <c r="P3" s="754"/>
      <c r="Q3" s="754"/>
    </row>
    <row r="4" spans="1:19" s="752" customFormat="1" ht="108.75" customHeight="1" thickBot="1" x14ac:dyDescent="0.55000000000000004">
      <c r="A4" s="757"/>
      <c r="B4" s="1015" t="s">
        <v>1008</v>
      </c>
      <c r="C4" s="1016"/>
      <c r="D4" s="1016"/>
      <c r="E4" s="1016"/>
      <c r="F4" s="1016"/>
      <c r="G4" s="1016"/>
      <c r="H4" s="1016"/>
      <c r="I4" s="1016"/>
      <c r="J4" s="1016"/>
      <c r="K4" s="1016"/>
      <c r="L4" s="1016"/>
      <c r="M4" s="1016"/>
      <c r="N4" s="1016"/>
      <c r="O4" s="1017"/>
      <c r="P4" s="1018" t="s">
        <v>1009</v>
      </c>
      <c r="Q4" s="1019"/>
      <c r="S4" s="758"/>
    </row>
    <row r="5" spans="1:19" s="752" customFormat="1" ht="45.75" customHeight="1" thickBot="1" x14ac:dyDescent="0.55000000000000004">
      <c r="A5" s="759" t="s">
        <v>1010</v>
      </c>
      <c r="B5" s="1010" t="s">
        <v>1011</v>
      </c>
      <c r="C5" s="1011"/>
      <c r="D5" s="1011"/>
      <c r="E5" s="1011"/>
      <c r="F5" s="1011"/>
      <c r="G5" s="1011"/>
      <c r="H5" s="1011"/>
      <c r="I5" s="1012"/>
      <c r="J5" s="1010" t="s">
        <v>1012</v>
      </c>
      <c r="K5" s="1011"/>
      <c r="L5" s="1011"/>
      <c r="M5" s="1011"/>
      <c r="N5" s="1011"/>
      <c r="O5" s="1012"/>
      <c r="P5" s="1020"/>
      <c r="Q5" s="1021"/>
      <c r="S5" s="758"/>
    </row>
    <row r="6" spans="1:19" s="752" customFormat="1" ht="83.25" customHeight="1" thickBot="1" x14ac:dyDescent="0.55000000000000004">
      <c r="A6" s="759"/>
      <c r="B6" s="1008" t="s">
        <v>1013</v>
      </c>
      <c r="C6" s="1009"/>
      <c r="D6" s="1010" t="s">
        <v>1014</v>
      </c>
      <c r="E6" s="1011"/>
      <c r="F6" s="1011"/>
      <c r="G6" s="1012"/>
      <c r="H6" s="1008" t="s">
        <v>1015</v>
      </c>
      <c r="I6" s="1009"/>
      <c r="J6" s="1008" t="s">
        <v>1013</v>
      </c>
      <c r="K6" s="1009"/>
      <c r="L6" s="1010" t="s">
        <v>1014</v>
      </c>
      <c r="M6" s="1011"/>
      <c r="N6" s="1008" t="s">
        <v>1015</v>
      </c>
      <c r="O6" s="1009"/>
      <c r="P6" s="760"/>
      <c r="Q6" s="760"/>
      <c r="S6" s="758"/>
    </row>
    <row r="7" spans="1:19" s="752" customFormat="1" ht="44.25" customHeight="1" thickBot="1" x14ac:dyDescent="0.55000000000000004">
      <c r="A7" s="761"/>
      <c r="B7" s="762" t="s">
        <v>1016</v>
      </c>
      <c r="C7" s="763" t="s">
        <v>1017</v>
      </c>
      <c r="D7" s="1003" t="s">
        <v>1016</v>
      </c>
      <c r="E7" s="1004"/>
      <c r="F7" s="1004"/>
      <c r="G7" s="1005"/>
      <c r="H7" s="764" t="s">
        <v>1016</v>
      </c>
      <c r="I7" s="765" t="s">
        <v>1017</v>
      </c>
      <c r="J7" s="762" t="s">
        <v>1016</v>
      </c>
      <c r="K7" s="763" t="s">
        <v>1017</v>
      </c>
      <c r="L7" s="1006" t="s">
        <v>1016</v>
      </c>
      <c r="M7" s="1007"/>
      <c r="N7" s="764" t="s">
        <v>1016</v>
      </c>
      <c r="O7" s="765" t="s">
        <v>1017</v>
      </c>
      <c r="P7" s="760" t="s">
        <v>1016</v>
      </c>
      <c r="Q7" s="760" t="s">
        <v>1018</v>
      </c>
      <c r="S7" s="758"/>
    </row>
    <row r="8" spans="1:19" s="770" customFormat="1" ht="145.5" customHeight="1" x14ac:dyDescent="0.5">
      <c r="A8" s="766" t="s">
        <v>1019</v>
      </c>
      <c r="B8" s="767"/>
      <c r="C8" s="767"/>
      <c r="D8" s="768" t="s">
        <v>1020</v>
      </c>
      <c r="E8" s="768" t="s">
        <v>1021</v>
      </c>
      <c r="F8" s="768" t="s">
        <v>1021</v>
      </c>
      <c r="G8" s="769"/>
      <c r="H8" s="767"/>
      <c r="I8" s="767"/>
      <c r="J8" s="767"/>
      <c r="K8" s="767"/>
      <c r="L8" s="769"/>
      <c r="M8" s="768"/>
      <c r="N8" s="767"/>
      <c r="O8" s="767"/>
      <c r="P8" s="767"/>
      <c r="Q8" s="767"/>
      <c r="S8" s="771"/>
    </row>
    <row r="9" spans="1:19" s="776" customFormat="1" ht="45.75" customHeight="1" x14ac:dyDescent="0.5">
      <c r="A9" s="772" t="s">
        <v>1022</v>
      </c>
      <c r="B9" s="773">
        <f>'[5]létszám ei mód RM II.'!H9</f>
        <v>33</v>
      </c>
      <c r="C9" s="774">
        <f>'[5]létszám ei mód RM II.'!I9</f>
        <v>33</v>
      </c>
      <c r="D9" s="775"/>
      <c r="E9" s="773"/>
      <c r="F9" s="775"/>
      <c r="G9" s="773"/>
      <c r="H9" s="773">
        <f>B9+D9+E9+F9+G9</f>
        <v>33</v>
      </c>
      <c r="I9" s="774">
        <v>33</v>
      </c>
      <c r="J9" s="773">
        <f>'[5]létszám ei mód RM II.'!N9</f>
        <v>1</v>
      </c>
      <c r="K9" s="774">
        <f>'[5]létszám ei mód RM II.'!O9</f>
        <v>1</v>
      </c>
      <c r="L9" s="773"/>
      <c r="M9" s="774"/>
      <c r="N9" s="773">
        <f>J9+L9+M9</f>
        <v>1</v>
      </c>
      <c r="O9" s="774">
        <v>1</v>
      </c>
      <c r="P9" s="773">
        <f t="shared" ref="P9:Q26" si="0">H9+N9</f>
        <v>34</v>
      </c>
      <c r="Q9" s="774">
        <f t="shared" si="0"/>
        <v>34</v>
      </c>
      <c r="S9" s="756"/>
    </row>
    <row r="10" spans="1:19" s="776" customFormat="1" ht="45.75" customHeight="1" x14ac:dyDescent="0.5">
      <c r="A10" s="777" t="s">
        <v>1023</v>
      </c>
      <c r="B10" s="778">
        <f>'[5]létszám ei mód RM II.'!H10</f>
        <v>22</v>
      </c>
      <c r="C10" s="779">
        <f>'[5]létszám ei mód RM II.'!I10</f>
        <v>22</v>
      </c>
      <c r="D10" s="780"/>
      <c r="E10" s="781"/>
      <c r="F10" s="780"/>
      <c r="G10" s="781"/>
      <c r="H10" s="781">
        <f t="shared" ref="H10:H26" si="1">B10+D10+E10+F10+G10</f>
        <v>22</v>
      </c>
      <c r="I10" s="779">
        <v>22</v>
      </c>
      <c r="J10" s="778">
        <f>'[5]létszám ei mód RM II.'!N10</f>
        <v>1</v>
      </c>
      <c r="K10" s="782">
        <f>'[5]létszám ei mód RM II.'!O10</f>
        <v>1</v>
      </c>
      <c r="L10" s="778"/>
      <c r="M10" s="779"/>
      <c r="N10" s="781">
        <f t="shared" ref="N10:N25" si="2">J10+L10+M10</f>
        <v>1</v>
      </c>
      <c r="O10" s="779">
        <v>1</v>
      </c>
      <c r="P10" s="781">
        <f t="shared" si="0"/>
        <v>23</v>
      </c>
      <c r="Q10" s="779">
        <f t="shared" si="0"/>
        <v>23</v>
      </c>
      <c r="S10" s="756"/>
    </row>
    <row r="11" spans="1:19" s="776" customFormat="1" ht="45.75" customHeight="1" x14ac:dyDescent="0.5">
      <c r="A11" s="777" t="s">
        <v>1024</v>
      </c>
      <c r="B11" s="775">
        <f>'[5]létszám ei mód RM II.'!H11</f>
        <v>22</v>
      </c>
      <c r="C11" s="779">
        <f>'[5]létszám ei mód RM II.'!I11</f>
        <v>22</v>
      </c>
      <c r="D11" s="778"/>
      <c r="E11" s="783"/>
      <c r="F11" s="784"/>
      <c r="G11" s="783"/>
      <c r="H11" s="785">
        <f t="shared" si="1"/>
        <v>22</v>
      </c>
      <c r="I11" s="782">
        <v>22</v>
      </c>
      <c r="J11" s="773">
        <f>'[5]létszám ei mód RM II.'!N11</f>
        <v>1</v>
      </c>
      <c r="K11" s="774">
        <f>'[5]létszám ei mód RM II.'!O11</f>
        <v>1</v>
      </c>
      <c r="L11" s="773"/>
      <c r="M11" s="782"/>
      <c r="N11" s="785">
        <f t="shared" si="2"/>
        <v>1</v>
      </c>
      <c r="O11" s="782">
        <v>1</v>
      </c>
      <c r="P11" s="785">
        <f t="shared" si="0"/>
        <v>23</v>
      </c>
      <c r="Q11" s="782">
        <f t="shared" si="0"/>
        <v>23</v>
      </c>
      <c r="S11" s="756"/>
    </row>
    <row r="12" spans="1:19" s="776" customFormat="1" ht="45.75" customHeight="1" x14ac:dyDescent="0.5">
      <c r="A12" s="777" t="s">
        <v>1025</v>
      </c>
      <c r="B12" s="778">
        <f>'[5]létszám ei mód RM II.'!H12</f>
        <v>27</v>
      </c>
      <c r="C12" s="779">
        <f>'[5]létszám ei mód RM II.'!I12</f>
        <v>27</v>
      </c>
      <c r="D12" s="775"/>
      <c r="E12" s="773"/>
      <c r="F12" s="775"/>
      <c r="G12" s="773"/>
      <c r="H12" s="773">
        <f t="shared" si="1"/>
        <v>27</v>
      </c>
      <c r="I12" s="774">
        <v>27</v>
      </c>
      <c r="J12" s="778">
        <f>'[5]létszám ei mód RM II.'!N12</f>
        <v>1</v>
      </c>
      <c r="K12" s="782">
        <f>'[5]létszám ei mód RM II.'!O12</f>
        <v>1</v>
      </c>
      <c r="L12" s="778"/>
      <c r="M12" s="774"/>
      <c r="N12" s="773">
        <f t="shared" si="2"/>
        <v>1</v>
      </c>
      <c r="O12" s="774">
        <v>1</v>
      </c>
      <c r="P12" s="773">
        <f t="shared" si="0"/>
        <v>28</v>
      </c>
      <c r="Q12" s="774">
        <f t="shared" si="0"/>
        <v>28</v>
      </c>
      <c r="S12" s="756"/>
    </row>
    <row r="13" spans="1:19" s="776" customFormat="1" ht="45.75" customHeight="1" x14ac:dyDescent="0.5">
      <c r="A13" s="777" t="s">
        <v>1026</v>
      </c>
      <c r="B13" s="778">
        <f>'[5]létszám ei mód RM II.'!H13</f>
        <v>25</v>
      </c>
      <c r="C13" s="779">
        <f>'[5]létszám ei mód RM II.'!I13</f>
        <v>25</v>
      </c>
      <c r="D13" s="780"/>
      <c r="E13" s="781"/>
      <c r="F13" s="780"/>
      <c r="G13" s="781"/>
      <c r="H13" s="781">
        <f t="shared" si="1"/>
        <v>25</v>
      </c>
      <c r="I13" s="779">
        <v>25</v>
      </c>
      <c r="J13" s="778">
        <f>'[5]létszám ei mód RM II.'!N13</f>
        <v>1</v>
      </c>
      <c r="K13" s="774">
        <f>'[5]létszám ei mód RM II.'!O13</f>
        <v>1</v>
      </c>
      <c r="L13" s="778"/>
      <c r="M13" s="779"/>
      <c r="N13" s="781">
        <f t="shared" si="2"/>
        <v>1</v>
      </c>
      <c r="O13" s="779">
        <v>1</v>
      </c>
      <c r="P13" s="781">
        <f t="shared" si="0"/>
        <v>26</v>
      </c>
      <c r="Q13" s="779">
        <f t="shared" si="0"/>
        <v>26</v>
      </c>
      <c r="S13" s="756"/>
    </row>
    <row r="14" spans="1:19" s="776" customFormat="1" ht="45.75" customHeight="1" x14ac:dyDescent="0.5">
      <c r="A14" s="777" t="s">
        <v>1027</v>
      </c>
      <c r="B14" s="778">
        <f>'[5]létszám ei mód RM II.'!H14</f>
        <v>22</v>
      </c>
      <c r="C14" s="779">
        <f>'[5]létszám ei mód RM II.'!I14</f>
        <v>22</v>
      </c>
      <c r="D14" s="778"/>
      <c r="E14" s="785"/>
      <c r="F14" s="778"/>
      <c r="G14" s="785"/>
      <c r="H14" s="785">
        <f t="shared" si="1"/>
        <v>22</v>
      </c>
      <c r="I14" s="782">
        <v>22</v>
      </c>
      <c r="J14" s="778">
        <f>'[5]létszám ei mód RM II.'!N14</f>
        <v>1</v>
      </c>
      <c r="K14" s="782">
        <f>'[5]létszám ei mód RM II.'!O14</f>
        <v>1</v>
      </c>
      <c r="L14" s="778"/>
      <c r="M14" s="782"/>
      <c r="N14" s="785">
        <f t="shared" si="2"/>
        <v>1</v>
      </c>
      <c r="O14" s="782">
        <v>1</v>
      </c>
      <c r="P14" s="785">
        <f t="shared" si="0"/>
        <v>23</v>
      </c>
      <c r="Q14" s="782">
        <f t="shared" si="0"/>
        <v>23</v>
      </c>
      <c r="S14" s="756"/>
    </row>
    <row r="15" spans="1:19" s="776" customFormat="1" ht="45.75" customHeight="1" x14ac:dyDescent="0.5">
      <c r="A15" s="777" t="s">
        <v>1028</v>
      </c>
      <c r="B15" s="778">
        <f>'[5]létszám ei mód RM II.'!H15</f>
        <v>18</v>
      </c>
      <c r="C15" s="779">
        <f>'[5]létszám ei mód RM II.'!I15</f>
        <v>18</v>
      </c>
      <c r="D15" s="780"/>
      <c r="E15" s="781"/>
      <c r="F15" s="780"/>
      <c r="G15" s="781"/>
      <c r="H15" s="781">
        <f t="shared" si="1"/>
        <v>18</v>
      </c>
      <c r="I15" s="779">
        <v>18</v>
      </c>
      <c r="J15" s="778">
        <f>'[5]létszám ei mód RM II.'!N15</f>
        <v>1</v>
      </c>
      <c r="K15" s="774">
        <f>'[5]létszám ei mód RM II.'!O15</f>
        <v>1</v>
      </c>
      <c r="L15" s="778"/>
      <c r="M15" s="779"/>
      <c r="N15" s="781">
        <f t="shared" si="2"/>
        <v>1</v>
      </c>
      <c r="O15" s="779">
        <v>1</v>
      </c>
      <c r="P15" s="781">
        <f t="shared" si="0"/>
        <v>19</v>
      </c>
      <c r="Q15" s="779">
        <f t="shared" si="0"/>
        <v>19</v>
      </c>
      <c r="S15" s="756"/>
    </row>
    <row r="16" spans="1:19" s="776" customFormat="1" ht="45.75" customHeight="1" x14ac:dyDescent="0.5">
      <c r="A16" s="777" t="s">
        <v>1030</v>
      </c>
      <c r="B16" s="778">
        <f>'[5]létszám ei mód RM II.'!H16</f>
        <v>18</v>
      </c>
      <c r="C16" s="779">
        <f>'[5]létszám ei mód RM II.'!I16</f>
        <v>18</v>
      </c>
      <c r="D16" s="778"/>
      <c r="E16" s="785"/>
      <c r="F16" s="778"/>
      <c r="G16" s="785"/>
      <c r="H16" s="785">
        <f t="shared" si="1"/>
        <v>18</v>
      </c>
      <c r="I16" s="782">
        <v>18</v>
      </c>
      <c r="J16" s="778">
        <f>'[5]létszám ei mód RM II.'!N16</f>
        <v>1</v>
      </c>
      <c r="K16" s="782">
        <f>'[5]létszám ei mód RM II.'!O16</f>
        <v>1</v>
      </c>
      <c r="L16" s="778"/>
      <c r="M16" s="782"/>
      <c r="N16" s="785">
        <f t="shared" si="2"/>
        <v>1</v>
      </c>
      <c r="O16" s="782">
        <v>1</v>
      </c>
      <c r="P16" s="785">
        <f t="shared" si="0"/>
        <v>19</v>
      </c>
      <c r="Q16" s="782">
        <f t="shared" si="0"/>
        <v>19</v>
      </c>
      <c r="S16" s="756"/>
    </row>
    <row r="17" spans="1:19" s="776" customFormat="1" ht="45.75" customHeight="1" x14ac:dyDescent="0.5">
      <c r="A17" s="777" t="s">
        <v>1031</v>
      </c>
      <c r="B17" s="778">
        <f>'[5]létszám ei mód RM II.'!H17</f>
        <v>25</v>
      </c>
      <c r="C17" s="779">
        <f>'[5]létszám ei mód RM II.'!I17</f>
        <v>25</v>
      </c>
      <c r="D17" s="780"/>
      <c r="E17" s="786"/>
      <c r="F17" s="787"/>
      <c r="G17" s="786"/>
      <c r="H17" s="781">
        <f t="shared" si="1"/>
        <v>25</v>
      </c>
      <c r="I17" s="779">
        <v>25</v>
      </c>
      <c r="J17" s="778">
        <f>'[5]létszám ei mód RM II.'!N17</f>
        <v>1</v>
      </c>
      <c r="K17" s="774">
        <f>'[5]létszám ei mód RM II.'!O17</f>
        <v>1</v>
      </c>
      <c r="L17" s="778"/>
      <c r="M17" s="779"/>
      <c r="N17" s="781">
        <f t="shared" si="2"/>
        <v>1</v>
      </c>
      <c r="O17" s="779">
        <v>1</v>
      </c>
      <c r="P17" s="781">
        <f t="shared" si="0"/>
        <v>26</v>
      </c>
      <c r="Q17" s="779">
        <f t="shared" si="0"/>
        <v>26</v>
      </c>
      <c r="S17" s="756"/>
    </row>
    <row r="18" spans="1:19" s="776" customFormat="1" ht="45.75" customHeight="1" x14ac:dyDescent="0.5">
      <c r="A18" s="777" t="s">
        <v>1033</v>
      </c>
      <c r="B18" s="778">
        <f>'[5]létszám ei mód RM II.'!H18</f>
        <v>28</v>
      </c>
      <c r="C18" s="779">
        <f>'[5]létszám ei mód RM II.'!I18</f>
        <v>28</v>
      </c>
      <c r="D18" s="778"/>
      <c r="E18" s="785"/>
      <c r="F18" s="778"/>
      <c r="G18" s="785"/>
      <c r="H18" s="785">
        <f t="shared" si="1"/>
        <v>28</v>
      </c>
      <c r="I18" s="782">
        <v>28</v>
      </c>
      <c r="J18" s="778">
        <f>'[5]létszám ei mód RM II.'!N18</f>
        <v>1</v>
      </c>
      <c r="K18" s="782">
        <f>'[5]létszám ei mód RM II.'!O18</f>
        <v>1</v>
      </c>
      <c r="L18" s="778"/>
      <c r="M18" s="782"/>
      <c r="N18" s="785">
        <f t="shared" si="2"/>
        <v>1</v>
      </c>
      <c r="O18" s="782">
        <v>1</v>
      </c>
      <c r="P18" s="785">
        <f t="shared" si="0"/>
        <v>29</v>
      </c>
      <c r="Q18" s="782">
        <f t="shared" si="0"/>
        <v>29</v>
      </c>
      <c r="S18" s="756"/>
    </row>
    <row r="19" spans="1:19" s="776" customFormat="1" ht="45.75" customHeight="1" x14ac:dyDescent="0.5">
      <c r="A19" s="777" t="s">
        <v>1034</v>
      </c>
      <c r="B19" s="778">
        <f>'[5]létszám ei mód RM II.'!H19</f>
        <v>15</v>
      </c>
      <c r="C19" s="779">
        <f>'[5]létszám ei mód RM II.'!I19</f>
        <v>15</v>
      </c>
      <c r="D19" s="780"/>
      <c r="E19" s="781"/>
      <c r="F19" s="780"/>
      <c r="G19" s="781"/>
      <c r="H19" s="781">
        <f t="shared" si="1"/>
        <v>15</v>
      </c>
      <c r="I19" s="779">
        <v>15</v>
      </c>
      <c r="J19" s="778">
        <f>'[5]létszám ei mód RM II.'!N19</f>
        <v>1</v>
      </c>
      <c r="K19" s="774">
        <f>'[5]létszám ei mód RM II.'!O19</f>
        <v>1</v>
      </c>
      <c r="L19" s="778"/>
      <c r="M19" s="779"/>
      <c r="N19" s="781">
        <f t="shared" si="2"/>
        <v>1</v>
      </c>
      <c r="O19" s="779">
        <v>1</v>
      </c>
      <c r="P19" s="781">
        <f t="shared" si="0"/>
        <v>16</v>
      </c>
      <c r="Q19" s="779">
        <f t="shared" si="0"/>
        <v>16</v>
      </c>
      <c r="S19" s="756"/>
    </row>
    <row r="20" spans="1:19" s="776" customFormat="1" ht="45.75" customHeight="1" x14ac:dyDescent="0.5">
      <c r="A20" s="777" t="s">
        <v>1035</v>
      </c>
      <c r="B20" s="778">
        <f>'[5]létszám ei mód RM II.'!H20</f>
        <v>11.5</v>
      </c>
      <c r="C20" s="779">
        <f>'[5]létszám ei mód RM II.'!I20</f>
        <v>11</v>
      </c>
      <c r="D20" s="788"/>
      <c r="E20" s="785"/>
      <c r="F20" s="778"/>
      <c r="G20" s="785"/>
      <c r="H20" s="785">
        <f t="shared" si="1"/>
        <v>11.5</v>
      </c>
      <c r="I20" s="782">
        <v>11</v>
      </c>
      <c r="J20" s="778">
        <f>'[5]létszám ei mód RM II.'!N20</f>
        <v>1</v>
      </c>
      <c r="K20" s="782">
        <f>'[5]létszám ei mód RM II.'!O20</f>
        <v>1</v>
      </c>
      <c r="L20" s="788"/>
      <c r="M20" s="782"/>
      <c r="N20" s="785">
        <f t="shared" si="2"/>
        <v>1</v>
      </c>
      <c r="O20" s="782">
        <v>1</v>
      </c>
      <c r="P20" s="785">
        <f t="shared" si="0"/>
        <v>12.5</v>
      </c>
      <c r="Q20" s="782">
        <f t="shared" si="0"/>
        <v>12</v>
      </c>
      <c r="S20" s="756"/>
    </row>
    <row r="21" spans="1:19" s="776" customFormat="1" ht="45.75" customHeight="1" x14ac:dyDescent="0.5">
      <c r="A21" s="777" t="s">
        <v>1036</v>
      </c>
      <c r="B21" s="778">
        <f>'[5]létszám ei mód RM II.'!H21</f>
        <v>18</v>
      </c>
      <c r="C21" s="779">
        <f>'[5]létszám ei mód RM II.'!I21</f>
        <v>18</v>
      </c>
      <c r="D21" s="780"/>
      <c r="E21" s="781"/>
      <c r="F21" s="780"/>
      <c r="G21" s="781"/>
      <c r="H21" s="781">
        <f t="shared" si="1"/>
        <v>18</v>
      </c>
      <c r="I21" s="779">
        <v>18</v>
      </c>
      <c r="J21" s="778">
        <f>'[5]létszám ei mód RM II.'!N21</f>
        <v>1</v>
      </c>
      <c r="K21" s="774">
        <f>'[5]létszám ei mód RM II.'!O21</f>
        <v>1</v>
      </c>
      <c r="L21" s="778"/>
      <c r="M21" s="779"/>
      <c r="N21" s="781">
        <f t="shared" si="2"/>
        <v>1</v>
      </c>
      <c r="O21" s="779">
        <v>1</v>
      </c>
      <c r="P21" s="781">
        <f t="shared" si="0"/>
        <v>19</v>
      </c>
      <c r="Q21" s="779">
        <f t="shared" si="0"/>
        <v>19</v>
      </c>
      <c r="S21" s="756"/>
    </row>
    <row r="22" spans="1:19" s="776" customFormat="1" ht="45.75" customHeight="1" x14ac:dyDescent="0.5">
      <c r="A22" s="777" t="s">
        <v>1037</v>
      </c>
      <c r="B22" s="778">
        <f>'[5]létszám ei mód RM II.'!H22</f>
        <v>20</v>
      </c>
      <c r="C22" s="779">
        <f>'[5]létszám ei mód RM II.'!I22</f>
        <v>20</v>
      </c>
      <c r="D22" s="778"/>
      <c r="E22" s="785"/>
      <c r="F22" s="778"/>
      <c r="G22" s="785"/>
      <c r="H22" s="785">
        <f t="shared" si="1"/>
        <v>20</v>
      </c>
      <c r="I22" s="782">
        <v>20</v>
      </c>
      <c r="J22" s="778">
        <f>'[5]létszám ei mód RM II.'!N22</f>
        <v>1</v>
      </c>
      <c r="K22" s="789">
        <f>'[5]létszám ei mód RM II.'!O22</f>
        <v>1</v>
      </c>
      <c r="L22" s="778"/>
      <c r="M22" s="778"/>
      <c r="N22" s="785">
        <f t="shared" si="2"/>
        <v>1</v>
      </c>
      <c r="O22" s="782">
        <v>1</v>
      </c>
      <c r="P22" s="785">
        <f t="shared" si="0"/>
        <v>21</v>
      </c>
      <c r="Q22" s="782">
        <f t="shared" si="0"/>
        <v>21</v>
      </c>
      <c r="S22" s="756"/>
    </row>
    <row r="23" spans="1:19" s="776" customFormat="1" ht="45.75" customHeight="1" x14ac:dyDescent="0.5">
      <c r="A23" s="777" t="s">
        <v>1038</v>
      </c>
      <c r="B23" s="778">
        <f>'[5]létszám ei mód RM II.'!H23</f>
        <v>28</v>
      </c>
      <c r="C23" s="779">
        <f>'[5]létszám ei mód RM II.'!I23</f>
        <v>28</v>
      </c>
      <c r="D23" s="780"/>
      <c r="E23" s="781"/>
      <c r="F23" s="780"/>
      <c r="G23" s="781"/>
      <c r="H23" s="781">
        <f t="shared" si="1"/>
        <v>28</v>
      </c>
      <c r="I23" s="779">
        <v>28</v>
      </c>
      <c r="J23" s="778">
        <f>'[5]létszám ei mód RM II.'!N23</f>
        <v>1</v>
      </c>
      <c r="K23" s="782">
        <f>'[5]létszám ei mód RM II.'!O23</f>
        <v>1</v>
      </c>
      <c r="L23" s="778"/>
      <c r="M23" s="779"/>
      <c r="N23" s="781">
        <f t="shared" si="2"/>
        <v>1</v>
      </c>
      <c r="O23" s="779">
        <v>1</v>
      </c>
      <c r="P23" s="781">
        <f t="shared" si="0"/>
        <v>29</v>
      </c>
      <c r="Q23" s="779">
        <f t="shared" si="0"/>
        <v>29</v>
      </c>
      <c r="S23" s="756"/>
    </row>
    <row r="24" spans="1:19" s="776" customFormat="1" ht="45.75" customHeight="1" x14ac:dyDescent="0.5">
      <c r="A24" s="777" t="s">
        <v>1039</v>
      </c>
      <c r="B24" s="778">
        <f>'[5]létszám ei mód RM II.'!H24</f>
        <v>22</v>
      </c>
      <c r="C24" s="779">
        <f>'[5]létszám ei mód RM II.'!I24</f>
        <v>22</v>
      </c>
      <c r="D24" s="778"/>
      <c r="E24" s="785"/>
      <c r="F24" s="778"/>
      <c r="G24" s="785"/>
      <c r="H24" s="785">
        <f t="shared" si="1"/>
        <v>22</v>
      </c>
      <c r="I24" s="782">
        <v>22</v>
      </c>
      <c r="J24" s="778">
        <f>'[5]létszám ei mód RM II.'!N24</f>
        <v>1</v>
      </c>
      <c r="K24" s="774">
        <f>'[5]létszám ei mód RM II.'!O24</f>
        <v>1</v>
      </c>
      <c r="L24" s="778"/>
      <c r="M24" s="782"/>
      <c r="N24" s="785">
        <f t="shared" si="2"/>
        <v>1</v>
      </c>
      <c r="O24" s="782">
        <v>1</v>
      </c>
      <c r="P24" s="785">
        <f t="shared" si="0"/>
        <v>23</v>
      </c>
      <c r="Q24" s="782">
        <f t="shared" si="0"/>
        <v>23</v>
      </c>
      <c r="S24" s="756"/>
    </row>
    <row r="25" spans="1:19" s="776" customFormat="1" ht="45.75" customHeight="1" x14ac:dyDescent="0.5">
      <c r="A25" s="772" t="s">
        <v>1040</v>
      </c>
      <c r="B25" s="778">
        <f>'[5]létszám ei mód RM II.'!H25</f>
        <v>16</v>
      </c>
      <c r="C25" s="789">
        <f>'[5]létszám ei mód RM II.'!I25</f>
        <v>16</v>
      </c>
      <c r="D25" s="790"/>
      <c r="E25" s="791"/>
      <c r="F25" s="790"/>
      <c r="G25" s="791"/>
      <c r="H25" s="791">
        <f t="shared" si="1"/>
        <v>16</v>
      </c>
      <c r="I25" s="792">
        <v>16</v>
      </c>
      <c r="J25" s="778">
        <f>'[5]létszám ei mód RM II.'!N25</f>
        <v>1</v>
      </c>
      <c r="K25" s="782">
        <f>'[5]létszám ei mód RM II.'!O25</f>
        <v>1</v>
      </c>
      <c r="L25" s="778"/>
      <c r="M25" s="792"/>
      <c r="N25" s="791">
        <f t="shared" si="2"/>
        <v>1</v>
      </c>
      <c r="O25" s="792">
        <v>1</v>
      </c>
      <c r="P25" s="791">
        <f t="shared" si="0"/>
        <v>17</v>
      </c>
      <c r="Q25" s="792">
        <f t="shared" si="0"/>
        <v>17</v>
      </c>
      <c r="S25" s="756"/>
    </row>
    <row r="26" spans="1:19" s="776" customFormat="1" ht="45.75" customHeight="1" thickBot="1" x14ac:dyDescent="0.55000000000000004">
      <c r="A26" s="793" t="s">
        <v>1041</v>
      </c>
      <c r="B26" s="775">
        <f>'[5]létszám ei mód RM II.'!H26</f>
        <v>11.5</v>
      </c>
      <c r="C26" s="774">
        <f>'[5]létszám ei mód RM II.'!I26</f>
        <v>12</v>
      </c>
      <c r="D26" s="794"/>
      <c r="E26" s="773"/>
      <c r="F26" s="795"/>
      <c r="G26" s="773"/>
      <c r="H26" s="773">
        <f t="shared" si="1"/>
        <v>11.5</v>
      </c>
      <c r="I26" s="774">
        <v>12</v>
      </c>
      <c r="J26" s="773">
        <f>'[5]létszám ei mód RM II.'!N26</f>
        <v>1.5</v>
      </c>
      <c r="K26" s="774">
        <f>'[5]létszám ei mód RM II.'!O26</f>
        <v>1</v>
      </c>
      <c r="L26" s="773"/>
      <c r="M26" s="774"/>
      <c r="N26" s="773">
        <f>J26+L26+M26</f>
        <v>1.5</v>
      </c>
      <c r="O26" s="774">
        <v>1</v>
      </c>
      <c r="P26" s="773">
        <f t="shared" si="0"/>
        <v>13</v>
      </c>
      <c r="Q26" s="774">
        <f t="shared" si="0"/>
        <v>13</v>
      </c>
      <c r="S26" s="756"/>
    </row>
    <row r="27" spans="1:19" s="776" customFormat="1" ht="45.75" customHeight="1" thickBot="1" x14ac:dyDescent="0.55000000000000004">
      <c r="A27" s="796" t="s">
        <v>1042</v>
      </c>
      <c r="B27" s="797">
        <f t="shared" ref="B27:Q27" si="3">SUM(B9:B26)</f>
        <v>382</v>
      </c>
      <c r="C27" s="798">
        <f t="shared" si="3"/>
        <v>382</v>
      </c>
      <c r="D27" s="797">
        <f t="shared" si="3"/>
        <v>0</v>
      </c>
      <c r="E27" s="797">
        <f t="shared" si="3"/>
        <v>0</v>
      </c>
      <c r="F27" s="797">
        <f>SUM(F9:F26)</f>
        <v>0</v>
      </c>
      <c r="G27" s="797">
        <f>SUM(G9:G26)</f>
        <v>0</v>
      </c>
      <c r="H27" s="797">
        <f t="shared" si="3"/>
        <v>382</v>
      </c>
      <c r="I27" s="798">
        <f t="shared" si="3"/>
        <v>382</v>
      </c>
      <c r="J27" s="797">
        <f t="shared" si="3"/>
        <v>18.5</v>
      </c>
      <c r="K27" s="798">
        <f t="shared" si="3"/>
        <v>18</v>
      </c>
      <c r="L27" s="797">
        <f t="shared" si="3"/>
        <v>0</v>
      </c>
      <c r="M27" s="797">
        <f t="shared" si="3"/>
        <v>0</v>
      </c>
      <c r="N27" s="797">
        <f t="shared" si="3"/>
        <v>18.5</v>
      </c>
      <c r="O27" s="798">
        <f t="shared" si="3"/>
        <v>18</v>
      </c>
      <c r="P27" s="797">
        <f t="shared" si="3"/>
        <v>400.5</v>
      </c>
      <c r="Q27" s="798">
        <f t="shared" si="3"/>
        <v>400</v>
      </c>
      <c r="S27" s="756"/>
    </row>
    <row r="28" spans="1:19" s="776" customFormat="1" ht="44.25" customHeight="1" thickBot="1" x14ac:dyDescent="0.55000000000000004">
      <c r="A28" s="796" t="s">
        <v>1043</v>
      </c>
      <c r="B28" s="775">
        <f>'[5]létszám ei mód RM II.'!H28</f>
        <v>0</v>
      </c>
      <c r="C28" s="774">
        <f>'[5]létszám ei mód RM II.'!I28</f>
        <v>0</v>
      </c>
      <c r="D28" s="773"/>
      <c r="E28" s="773"/>
      <c r="F28" s="773"/>
      <c r="G28" s="773"/>
      <c r="H28" s="773">
        <f>B28+D28+E28+F28+G28</f>
        <v>0</v>
      </c>
      <c r="I28" s="774">
        <v>0</v>
      </c>
      <c r="J28" s="791">
        <f>'[5]létszám ei mód RM II.'!N28</f>
        <v>44</v>
      </c>
      <c r="K28" s="798">
        <f>'[5]létszám ei mód RM II.'!O28</f>
        <v>44</v>
      </c>
      <c r="L28" s="791"/>
      <c r="M28" s="778"/>
      <c r="N28" s="781">
        <f>J28+L28+M28</f>
        <v>44</v>
      </c>
      <c r="O28" s="798">
        <v>44</v>
      </c>
      <c r="P28" s="781">
        <f>H28+N28</f>
        <v>44</v>
      </c>
      <c r="Q28" s="782">
        <f>I28+O28</f>
        <v>44</v>
      </c>
      <c r="S28" s="756"/>
    </row>
    <row r="29" spans="1:19" s="776" customFormat="1" ht="42.75" customHeight="1" thickBot="1" x14ac:dyDescent="0.55000000000000004">
      <c r="A29" s="796" t="s">
        <v>1044</v>
      </c>
      <c r="B29" s="799">
        <f>SUM(B27:B28)</f>
        <v>382</v>
      </c>
      <c r="C29" s="800">
        <f>SUM(C27:C28)</f>
        <v>382</v>
      </c>
      <c r="D29" s="799">
        <f>D28+D27</f>
        <v>0</v>
      </c>
      <c r="E29" s="799">
        <f>E28+E27</f>
        <v>0</v>
      </c>
      <c r="F29" s="799">
        <f>F28+F27</f>
        <v>0</v>
      </c>
      <c r="G29" s="799">
        <f>G28+G27</f>
        <v>0</v>
      </c>
      <c r="H29" s="799">
        <f>SUM(H27:H28)</f>
        <v>382</v>
      </c>
      <c r="I29" s="800">
        <f>SUM(I27:I28)</f>
        <v>382</v>
      </c>
      <c r="J29" s="799">
        <f t="shared" ref="J29:Q29" si="4">J28+J27</f>
        <v>62.5</v>
      </c>
      <c r="K29" s="800">
        <f t="shared" si="4"/>
        <v>62</v>
      </c>
      <c r="L29" s="799">
        <f t="shared" si="4"/>
        <v>0</v>
      </c>
      <c r="M29" s="799">
        <f t="shared" si="4"/>
        <v>0</v>
      </c>
      <c r="N29" s="799">
        <f t="shared" si="4"/>
        <v>62.5</v>
      </c>
      <c r="O29" s="800">
        <f t="shared" si="4"/>
        <v>62</v>
      </c>
      <c r="P29" s="799">
        <f t="shared" si="4"/>
        <v>444.5</v>
      </c>
      <c r="Q29" s="800">
        <f t="shared" si="4"/>
        <v>444</v>
      </c>
      <c r="S29" s="756"/>
    </row>
    <row r="30" spans="1:19" s="776" customFormat="1" ht="42.75" customHeight="1" x14ac:dyDescent="0.5">
      <c r="A30" s="801" t="s">
        <v>1045</v>
      </c>
      <c r="B30" s="802"/>
      <c r="C30" s="773"/>
      <c r="D30" s="773"/>
      <c r="E30" s="773"/>
      <c r="F30" s="773"/>
      <c r="G30" s="773"/>
      <c r="H30" s="773"/>
      <c r="I30" s="773"/>
      <c r="J30" s="773"/>
      <c r="K30" s="773"/>
      <c r="L30" s="803"/>
      <c r="M30" s="802"/>
      <c r="N30" s="773"/>
      <c r="O30" s="773"/>
      <c r="P30" s="773"/>
      <c r="Q30" s="773"/>
      <c r="S30" s="756"/>
    </row>
    <row r="31" spans="1:19" s="776" customFormat="1" ht="45.75" customHeight="1" x14ac:dyDescent="0.5">
      <c r="A31" s="766" t="s">
        <v>1046</v>
      </c>
      <c r="B31" s="775"/>
      <c r="C31" s="773"/>
      <c r="D31" s="773"/>
      <c r="E31" s="773"/>
      <c r="F31" s="773"/>
      <c r="G31" s="773"/>
      <c r="H31" s="773"/>
      <c r="I31" s="773"/>
      <c r="J31" s="773"/>
      <c r="K31" s="773"/>
      <c r="L31" s="803"/>
      <c r="M31" s="775"/>
      <c r="N31" s="773"/>
      <c r="O31" s="773"/>
      <c r="P31" s="773"/>
      <c r="Q31" s="773"/>
      <c r="S31" s="756"/>
    </row>
    <row r="32" spans="1:19" s="776" customFormat="1" ht="44.25" customHeight="1" x14ac:dyDescent="0.5">
      <c r="A32" s="772" t="s">
        <v>1047</v>
      </c>
      <c r="B32" s="790">
        <f>'[5]létszám ei mód RM II.'!H32</f>
        <v>21.5</v>
      </c>
      <c r="C32" s="774">
        <f>'[5]létszám ei mód RM II.'!I32</f>
        <v>21</v>
      </c>
      <c r="D32" s="773"/>
      <c r="E32" s="773"/>
      <c r="F32" s="773">
        <v>3</v>
      </c>
      <c r="G32" s="773"/>
      <c r="H32" s="773">
        <f>B32+D32+E32+F32+G32</f>
        <v>24.5</v>
      </c>
      <c r="I32" s="774">
        <v>24</v>
      </c>
      <c r="J32" s="790">
        <f>'[5]létszám ei mód RM II.'!N32</f>
        <v>15.5</v>
      </c>
      <c r="K32" s="804">
        <f>'[5]létszám ei mód RM II.'!O32</f>
        <v>16</v>
      </c>
      <c r="L32" s="805"/>
      <c r="M32" s="790"/>
      <c r="N32" s="773">
        <f>J32+L32+M32</f>
        <v>15.5</v>
      </c>
      <c r="O32" s="774">
        <v>16</v>
      </c>
      <c r="P32" s="773">
        <f t="shared" ref="P32:Q36" si="5">H32+N32</f>
        <v>40</v>
      </c>
      <c r="Q32" s="774">
        <f t="shared" si="5"/>
        <v>40</v>
      </c>
      <c r="S32" s="756"/>
    </row>
    <row r="33" spans="1:19" s="776" customFormat="1" ht="44.25" customHeight="1" x14ac:dyDescent="0.5">
      <c r="A33" s="777" t="s">
        <v>169</v>
      </c>
      <c r="B33" s="778">
        <f>'[5]létszám ei mód RM II.'!H33</f>
        <v>18</v>
      </c>
      <c r="C33" s="779">
        <f>'[5]létszám ei mód RM II.'!I33</f>
        <v>18</v>
      </c>
      <c r="D33" s="785"/>
      <c r="E33" s="785"/>
      <c r="F33" s="785"/>
      <c r="G33" s="785"/>
      <c r="H33" s="785">
        <f>B33+D33+E33+F33+G33</f>
        <v>18</v>
      </c>
      <c r="I33" s="782">
        <v>18</v>
      </c>
      <c r="J33" s="773">
        <f>'[5]létszám ei mód RM II.'!N33</f>
        <v>1</v>
      </c>
      <c r="K33" s="774">
        <f>'[5]létszám ei mód RM II.'!O33</f>
        <v>1</v>
      </c>
      <c r="L33" s="806"/>
      <c r="M33" s="790"/>
      <c r="N33" s="785">
        <f>J33+L33+M33</f>
        <v>1</v>
      </c>
      <c r="O33" s="782">
        <v>1</v>
      </c>
      <c r="P33" s="785">
        <f t="shared" si="5"/>
        <v>19</v>
      </c>
      <c r="Q33" s="779">
        <f t="shared" si="5"/>
        <v>19</v>
      </c>
      <c r="S33" s="756"/>
    </row>
    <row r="34" spans="1:19" s="776" customFormat="1" ht="44.25" customHeight="1" x14ac:dyDescent="0.5">
      <c r="A34" s="777" t="s">
        <v>1048</v>
      </c>
      <c r="B34" s="778">
        <f>'[5]létszám ei mód RM II.'!H34</f>
        <v>77</v>
      </c>
      <c r="C34" s="779">
        <f>'[5]létszám ei mód RM II.'!I34</f>
        <v>77</v>
      </c>
      <c r="D34" s="785"/>
      <c r="E34" s="785"/>
      <c r="F34" s="785"/>
      <c r="G34" s="785"/>
      <c r="H34" s="785">
        <f>B34+D34+E34+F34+G34</f>
        <v>77</v>
      </c>
      <c r="I34" s="782">
        <v>77</v>
      </c>
      <c r="J34" s="778">
        <f>'[5]létszám ei mód RM II.'!N34</f>
        <v>7.5</v>
      </c>
      <c r="K34" s="782">
        <f>'[5]létszám ei mód RM II.'!O34</f>
        <v>7</v>
      </c>
      <c r="L34" s="807"/>
      <c r="M34" s="790"/>
      <c r="N34" s="785">
        <f>J34+L34+M34</f>
        <v>7.5</v>
      </c>
      <c r="O34" s="782">
        <v>7</v>
      </c>
      <c r="P34" s="785">
        <f t="shared" si="5"/>
        <v>84.5</v>
      </c>
      <c r="Q34" s="779">
        <f t="shared" si="5"/>
        <v>84</v>
      </c>
      <c r="S34" s="756"/>
    </row>
    <row r="35" spans="1:19" s="776" customFormat="1" ht="44.25" customHeight="1" x14ac:dyDescent="0.5">
      <c r="A35" s="777" t="s">
        <v>1049</v>
      </c>
      <c r="B35" s="778">
        <f>'[5]létszám ei mód RM II.'!H35</f>
        <v>35</v>
      </c>
      <c r="C35" s="782">
        <f>'[5]létszám ei mód RM II.'!I35</f>
        <v>35</v>
      </c>
      <c r="D35" s="785"/>
      <c r="E35" s="785"/>
      <c r="F35" s="785"/>
      <c r="G35" s="785"/>
      <c r="H35" s="785">
        <f>B35+D35+E35+F35+G35</f>
        <v>35</v>
      </c>
      <c r="I35" s="782">
        <v>35</v>
      </c>
      <c r="J35" s="778">
        <f>'[5]létszám ei mód RM II.'!N35</f>
        <v>11</v>
      </c>
      <c r="K35" s="782">
        <f>'[5]létszám ei mód RM II.'!O35</f>
        <v>11</v>
      </c>
      <c r="L35" s="806"/>
      <c r="M35" s="790"/>
      <c r="N35" s="785">
        <f>J35+L35+M35</f>
        <v>11</v>
      </c>
      <c r="O35" s="782">
        <v>11</v>
      </c>
      <c r="P35" s="785">
        <f t="shared" si="5"/>
        <v>46</v>
      </c>
      <c r="Q35" s="779">
        <f t="shared" si="5"/>
        <v>46</v>
      </c>
      <c r="S35" s="756"/>
    </row>
    <row r="36" spans="1:19" s="776" customFormat="1" ht="44.25" customHeight="1" thickBot="1" x14ac:dyDescent="0.55000000000000004">
      <c r="A36" s="808" t="s">
        <v>1050</v>
      </c>
      <c r="B36" s="809">
        <f>'[5]létszám ei mód RM II.'!H36</f>
        <v>64.5</v>
      </c>
      <c r="C36" s="774">
        <f>'[5]létszám ei mód RM II.'!I36</f>
        <v>65</v>
      </c>
      <c r="D36" s="773"/>
      <c r="E36" s="773"/>
      <c r="F36" s="773"/>
      <c r="G36" s="773"/>
      <c r="H36" s="773">
        <f>B36+D36+E36+F36+G36</f>
        <v>64.5</v>
      </c>
      <c r="I36" s="774">
        <v>65</v>
      </c>
      <c r="J36" s="773">
        <f>'[5]létszám ei mód RM II.'!N36</f>
        <v>30.25</v>
      </c>
      <c r="K36" s="774">
        <f>'[5]létszám ei mód RM II.'!O36</f>
        <v>30</v>
      </c>
      <c r="L36" s="805"/>
      <c r="M36" s="809"/>
      <c r="N36" s="773">
        <f>J36+L36+M36</f>
        <v>30.25</v>
      </c>
      <c r="O36" s="774">
        <v>30</v>
      </c>
      <c r="P36" s="773">
        <f t="shared" si="5"/>
        <v>94.75</v>
      </c>
      <c r="Q36" s="779">
        <f t="shared" si="5"/>
        <v>95</v>
      </c>
      <c r="S36" s="756"/>
    </row>
    <row r="37" spans="1:19" s="776" customFormat="1" ht="44.25" customHeight="1" thickBot="1" x14ac:dyDescent="0.55000000000000004">
      <c r="A37" s="796" t="s">
        <v>1051</v>
      </c>
      <c r="B37" s="799">
        <f t="shared" ref="B37:Q37" si="6">SUM(B32:B36)</f>
        <v>216</v>
      </c>
      <c r="C37" s="800">
        <f t="shared" si="6"/>
        <v>216</v>
      </c>
      <c r="D37" s="799">
        <f t="shared" si="6"/>
        <v>0</v>
      </c>
      <c r="E37" s="799">
        <f t="shared" si="6"/>
        <v>0</v>
      </c>
      <c r="F37" s="799">
        <f t="shared" si="6"/>
        <v>3</v>
      </c>
      <c r="G37" s="799">
        <f t="shared" si="6"/>
        <v>0</v>
      </c>
      <c r="H37" s="799">
        <f t="shared" si="6"/>
        <v>219</v>
      </c>
      <c r="I37" s="800">
        <f t="shared" si="6"/>
        <v>219</v>
      </c>
      <c r="J37" s="799">
        <f t="shared" si="6"/>
        <v>65.25</v>
      </c>
      <c r="K37" s="800">
        <f t="shared" si="6"/>
        <v>65</v>
      </c>
      <c r="L37" s="797">
        <f t="shared" si="6"/>
        <v>0</v>
      </c>
      <c r="M37" s="797">
        <f t="shared" si="6"/>
        <v>0</v>
      </c>
      <c r="N37" s="799">
        <f t="shared" si="6"/>
        <v>65.25</v>
      </c>
      <c r="O37" s="800">
        <f t="shared" si="6"/>
        <v>65</v>
      </c>
      <c r="P37" s="799">
        <f t="shared" si="6"/>
        <v>284.25</v>
      </c>
      <c r="Q37" s="800">
        <f t="shared" si="6"/>
        <v>284</v>
      </c>
      <c r="S37" s="756"/>
    </row>
    <row r="38" spans="1:19" s="776" customFormat="1" ht="45.75" customHeight="1" x14ac:dyDescent="0.5">
      <c r="A38" s="801" t="s">
        <v>1052</v>
      </c>
      <c r="B38" s="810"/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S38" s="756"/>
    </row>
    <row r="39" spans="1:19" s="776" customFormat="1" ht="68.25" thickBot="1" x14ac:dyDescent="0.55000000000000004">
      <c r="A39" s="811" t="s">
        <v>1053</v>
      </c>
      <c r="B39" s="775">
        <f>'[5]létszám ei mód RM II.'!H39</f>
        <v>166.25</v>
      </c>
      <c r="C39" s="774">
        <f>'[5]létszám ei mód RM II.'!I39</f>
        <v>166</v>
      </c>
      <c r="D39" s="791"/>
      <c r="E39" s="791"/>
      <c r="F39" s="791"/>
      <c r="G39" s="791"/>
      <c r="H39" s="791">
        <f>B39+D39+E39+F39+G39</f>
        <v>166.25</v>
      </c>
      <c r="I39" s="792">
        <v>166</v>
      </c>
      <c r="J39" s="773">
        <f>'[5]létszám ei mód RM II.'!N39</f>
        <v>19</v>
      </c>
      <c r="K39" s="774">
        <f>'[5]létszám ei mód RM II.'!O39</f>
        <v>19</v>
      </c>
      <c r="L39" s="812"/>
      <c r="M39" s="790"/>
      <c r="N39" s="791">
        <f>J39+L39+M39</f>
        <v>19</v>
      </c>
      <c r="O39" s="792">
        <v>19</v>
      </c>
      <c r="P39" s="791">
        <f>H39+N39</f>
        <v>185.25</v>
      </c>
      <c r="Q39" s="774">
        <f>I39+O39</f>
        <v>185</v>
      </c>
      <c r="S39" s="756"/>
    </row>
    <row r="40" spans="1:19" s="776" customFormat="1" ht="44.25" customHeight="1" x14ac:dyDescent="0.5">
      <c r="A40" s="801" t="s">
        <v>1054</v>
      </c>
      <c r="B40" s="810"/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S40" s="756"/>
    </row>
    <row r="41" spans="1:19" s="776" customFormat="1" ht="45.75" customHeight="1" thickBot="1" x14ac:dyDescent="0.55000000000000004">
      <c r="A41" s="813" t="s">
        <v>1055</v>
      </c>
      <c r="B41" s="795">
        <f>'[5]létszám ei mód RM II.'!H41</f>
        <v>65</v>
      </c>
      <c r="C41" s="814">
        <f>'[5]létszám ei mód RM II.'!I41</f>
        <v>65</v>
      </c>
      <c r="D41" s="815"/>
      <c r="E41" s="815"/>
      <c r="F41" s="815"/>
      <c r="G41" s="815"/>
      <c r="H41" s="815">
        <f>B41+D41+E41+F41+G41</f>
        <v>65</v>
      </c>
      <c r="I41" s="814">
        <v>65</v>
      </c>
      <c r="J41" s="795">
        <f>'[5]létszám ei mód RM II.'!N41</f>
        <v>34</v>
      </c>
      <c r="K41" s="814">
        <f>'[5]létszám ei mód RM II.'!O41</f>
        <v>34</v>
      </c>
      <c r="L41" s="815"/>
      <c r="M41" s="815"/>
      <c r="N41" s="815">
        <f>J41+L41+M41</f>
        <v>34</v>
      </c>
      <c r="O41" s="814">
        <v>34</v>
      </c>
      <c r="P41" s="815">
        <f>H41+N41</f>
        <v>99</v>
      </c>
      <c r="Q41" s="814">
        <f>I41+O41</f>
        <v>99</v>
      </c>
      <c r="S41" s="756"/>
    </row>
    <row r="42" spans="1:19" s="776" customFormat="1" ht="45" customHeight="1" x14ac:dyDescent="0.5">
      <c r="A42" s="801" t="s">
        <v>1056</v>
      </c>
      <c r="B42" s="810"/>
      <c r="C42" s="810"/>
      <c r="D42" s="810"/>
      <c r="E42" s="810"/>
      <c r="F42" s="810"/>
      <c r="G42" s="810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S42" s="756"/>
    </row>
    <row r="43" spans="1:19" s="776" customFormat="1" ht="44.25" customHeight="1" thickBot="1" x14ac:dyDescent="0.55000000000000004">
      <c r="A43" s="813" t="s">
        <v>1057</v>
      </c>
      <c r="B43" s="795">
        <f>'[5]létszám ei mód RM II.'!H43</f>
        <v>132.76</v>
      </c>
      <c r="C43" s="814">
        <f>'[5]létszám ei mód RM II.'!I43</f>
        <v>133</v>
      </c>
      <c r="D43" s="815"/>
      <c r="E43" s="815"/>
      <c r="F43" s="815"/>
      <c r="G43" s="815"/>
      <c r="H43" s="815">
        <f>B43+D43+E43+F43+G43</f>
        <v>132.76</v>
      </c>
      <c r="I43" s="814">
        <v>133</v>
      </c>
      <c r="J43" s="795">
        <f>'[5]létszám ei mód RM II.'!N43</f>
        <v>40.99499999999999</v>
      </c>
      <c r="K43" s="814">
        <f>'[5]létszám ei mód RM II.'!O43</f>
        <v>41</v>
      </c>
      <c r="L43" s="815">
        <f>SUM(L42)</f>
        <v>0</v>
      </c>
      <c r="M43" s="815">
        <f>SUM(M42)</f>
        <v>0</v>
      </c>
      <c r="N43" s="815">
        <f>J43+L43+M43</f>
        <v>40.99499999999999</v>
      </c>
      <c r="O43" s="814">
        <v>41</v>
      </c>
      <c r="P43" s="815">
        <f>H43+N43</f>
        <v>173.755</v>
      </c>
      <c r="Q43" s="814">
        <f>I43+O43</f>
        <v>174</v>
      </c>
      <c r="S43" s="756"/>
    </row>
    <row r="44" spans="1:19" s="776" customFormat="1" ht="45.75" customHeight="1" x14ac:dyDescent="0.5">
      <c r="A44" s="801" t="s">
        <v>1058</v>
      </c>
      <c r="B44" s="810"/>
      <c r="C44" s="810"/>
      <c r="D44" s="810"/>
      <c r="E44" s="810"/>
      <c r="F44" s="810"/>
      <c r="G44" s="810"/>
      <c r="H44" s="810"/>
      <c r="I44" s="810"/>
      <c r="J44" s="810"/>
      <c r="K44" s="810"/>
      <c r="L44" s="810"/>
      <c r="M44" s="810"/>
      <c r="N44" s="810"/>
      <c r="O44" s="810"/>
      <c r="P44" s="810"/>
      <c r="Q44" s="810"/>
      <c r="S44" s="756"/>
    </row>
    <row r="45" spans="1:19" s="776" customFormat="1" ht="44.25" customHeight="1" x14ac:dyDescent="0.5">
      <c r="A45" s="813" t="s">
        <v>1059</v>
      </c>
      <c r="B45" s="773">
        <f>'[5]létszám ei mód RM II.'!H45</f>
        <v>1</v>
      </c>
      <c r="C45" s="774">
        <f>'[5]létszám ei mód RM II.'!I45</f>
        <v>1</v>
      </c>
      <c r="D45" s="816"/>
      <c r="E45" s="816"/>
      <c r="F45" s="816"/>
      <c r="G45" s="816"/>
      <c r="H45" s="773">
        <f>B45+D45+E45+F45+G45</f>
        <v>1</v>
      </c>
      <c r="I45" s="774">
        <v>1</v>
      </c>
      <c r="J45" s="773">
        <f>'[5]létszám ei mód RM II.'!N45</f>
        <v>15</v>
      </c>
      <c r="K45" s="774">
        <f>'[5]létszám ei mód RM II.'!O45</f>
        <v>15</v>
      </c>
      <c r="L45" s="773"/>
      <c r="M45" s="790"/>
      <c r="N45" s="773">
        <f>J45+L45+M45</f>
        <v>15</v>
      </c>
      <c r="O45" s="774">
        <v>15</v>
      </c>
      <c r="P45" s="773">
        <f t="shared" ref="P45:Q47" si="7">H45+N45</f>
        <v>16</v>
      </c>
      <c r="Q45" s="774">
        <f t="shared" si="7"/>
        <v>16</v>
      </c>
      <c r="S45" s="756"/>
    </row>
    <row r="46" spans="1:19" s="776" customFormat="1" ht="44.25" customHeight="1" x14ac:dyDescent="0.5">
      <c r="A46" s="817" t="s">
        <v>8</v>
      </c>
      <c r="B46" s="778">
        <f>'[5]létszám ei mód RM II.'!H46</f>
        <v>230.5</v>
      </c>
      <c r="C46" s="782">
        <f>'[5]létszám ei mód RM II.'!I46</f>
        <v>231</v>
      </c>
      <c r="D46" s="785">
        <v>16</v>
      </c>
      <c r="E46" s="785">
        <v>2</v>
      </c>
      <c r="F46" s="785"/>
      <c r="G46" s="785"/>
      <c r="H46" s="785">
        <f>B46+D46+E46+F46+G46</f>
        <v>248.5</v>
      </c>
      <c r="I46" s="782">
        <v>249</v>
      </c>
      <c r="J46" s="785">
        <f>'[5]létszám ei mód RM II.'!N46</f>
        <v>0</v>
      </c>
      <c r="K46" s="782">
        <f>'[5]létszám ei mód RM II.'!O46</f>
        <v>0</v>
      </c>
      <c r="L46" s="782"/>
      <c r="M46" s="778"/>
      <c r="N46" s="785">
        <f>J46+L46+M46</f>
        <v>0</v>
      </c>
      <c r="O46" s="782">
        <v>0</v>
      </c>
      <c r="P46" s="785">
        <f t="shared" si="7"/>
        <v>248.5</v>
      </c>
      <c r="Q46" s="782">
        <f t="shared" si="7"/>
        <v>249</v>
      </c>
      <c r="S46" s="756"/>
    </row>
    <row r="47" spans="1:19" s="776" customFormat="1" ht="44.25" customHeight="1" thickBot="1" x14ac:dyDescent="0.55000000000000004">
      <c r="A47" s="772" t="s">
        <v>1060</v>
      </c>
      <c r="B47" s="815">
        <f>'[5]létszám ei mód RM II.'!H47</f>
        <v>30</v>
      </c>
      <c r="C47" s="814">
        <f>'[5]létszám ei mód RM II.'!I47</f>
        <v>30</v>
      </c>
      <c r="D47" s="815"/>
      <c r="E47" s="815"/>
      <c r="F47" s="815"/>
      <c r="G47" s="815"/>
      <c r="H47" s="809">
        <f>B47+D47+E47+F47+G47</f>
        <v>30</v>
      </c>
      <c r="I47" s="814">
        <v>30</v>
      </c>
      <c r="J47" s="815">
        <f>'[5]létszám ei mód RM II.'!N47</f>
        <v>0</v>
      </c>
      <c r="K47" s="814">
        <f>'[5]létszám ei mód RM II.'!O47</f>
        <v>0</v>
      </c>
      <c r="L47" s="815"/>
      <c r="M47" s="815"/>
      <c r="N47" s="809">
        <f>J47+L47+M47</f>
        <v>0</v>
      </c>
      <c r="O47" s="814">
        <v>0</v>
      </c>
      <c r="P47" s="815">
        <f t="shared" si="7"/>
        <v>30</v>
      </c>
      <c r="Q47" s="814">
        <f t="shared" si="7"/>
        <v>30</v>
      </c>
      <c r="S47" s="756"/>
    </row>
    <row r="48" spans="1:19" s="776" customFormat="1" ht="44.25" customHeight="1" thickBot="1" x14ac:dyDescent="0.55000000000000004">
      <c r="A48" s="796" t="s">
        <v>1061</v>
      </c>
      <c r="B48" s="815">
        <f t="shared" ref="B48:Q48" si="8">SUM(B45:B47)</f>
        <v>261.5</v>
      </c>
      <c r="C48" s="814">
        <f t="shared" si="8"/>
        <v>262</v>
      </c>
      <c r="D48" s="815">
        <f t="shared" si="8"/>
        <v>16</v>
      </c>
      <c r="E48" s="815">
        <f t="shared" si="8"/>
        <v>2</v>
      </c>
      <c r="F48" s="815">
        <f>SUM(F45:F47)</f>
        <v>0</v>
      </c>
      <c r="G48" s="815">
        <f>SUM(G45:G47)</f>
        <v>0</v>
      </c>
      <c r="H48" s="815">
        <f t="shared" si="8"/>
        <v>279.5</v>
      </c>
      <c r="I48" s="814">
        <f t="shared" si="8"/>
        <v>280</v>
      </c>
      <c r="J48" s="815">
        <f t="shared" si="8"/>
        <v>15</v>
      </c>
      <c r="K48" s="814">
        <f t="shared" si="8"/>
        <v>15</v>
      </c>
      <c r="L48" s="815">
        <f t="shared" si="8"/>
        <v>0</v>
      </c>
      <c r="M48" s="815">
        <f t="shared" si="8"/>
        <v>0</v>
      </c>
      <c r="N48" s="815">
        <f t="shared" si="8"/>
        <v>15</v>
      </c>
      <c r="O48" s="814">
        <f t="shared" si="8"/>
        <v>15</v>
      </c>
      <c r="P48" s="815">
        <f t="shared" si="8"/>
        <v>294.5</v>
      </c>
      <c r="Q48" s="814">
        <f t="shared" si="8"/>
        <v>295</v>
      </c>
      <c r="S48" s="756"/>
    </row>
    <row r="49" spans="1:19" s="776" customFormat="1" ht="44.25" customHeight="1" thickBot="1" x14ac:dyDescent="0.55000000000000004">
      <c r="A49" s="818" t="s">
        <v>1062</v>
      </c>
      <c r="B49" s="815">
        <f>B37+B39+B41+B43+B48</f>
        <v>841.51</v>
      </c>
      <c r="C49" s="814">
        <f>C37+C39+C41+C43+C48</f>
        <v>842</v>
      </c>
      <c r="D49" s="815">
        <f>D37+D39+D41+D43+D48</f>
        <v>16</v>
      </c>
      <c r="E49" s="815">
        <f t="shared" ref="E49:Q49" si="9">E37+E39+E41+E43+E48</f>
        <v>2</v>
      </c>
      <c r="F49" s="815">
        <f>F37+F39+F41+F43+F48</f>
        <v>3</v>
      </c>
      <c r="G49" s="815">
        <f>G37+G39+G41+G43+G48</f>
        <v>0</v>
      </c>
      <c r="H49" s="815">
        <f t="shared" si="9"/>
        <v>862.51</v>
      </c>
      <c r="I49" s="814">
        <f t="shared" si="9"/>
        <v>863</v>
      </c>
      <c r="J49" s="815">
        <f t="shared" si="9"/>
        <v>174.245</v>
      </c>
      <c r="K49" s="814">
        <f t="shared" si="9"/>
        <v>174</v>
      </c>
      <c r="L49" s="815">
        <f t="shared" si="9"/>
        <v>0</v>
      </c>
      <c r="M49" s="815">
        <f t="shared" si="9"/>
        <v>0</v>
      </c>
      <c r="N49" s="815">
        <f t="shared" si="9"/>
        <v>174.245</v>
      </c>
      <c r="O49" s="814">
        <f t="shared" si="9"/>
        <v>174</v>
      </c>
      <c r="P49" s="815">
        <f t="shared" si="9"/>
        <v>1036.7550000000001</v>
      </c>
      <c r="Q49" s="814">
        <f t="shared" si="9"/>
        <v>1037</v>
      </c>
      <c r="S49" s="756"/>
    </row>
    <row r="50" spans="1:19" s="776" customFormat="1" ht="42.75" customHeight="1" thickBot="1" x14ac:dyDescent="0.55000000000000004">
      <c r="A50" s="819" t="s">
        <v>1063</v>
      </c>
      <c r="B50" s="815">
        <f>B29+B49</f>
        <v>1223.51</v>
      </c>
      <c r="C50" s="814">
        <f>C29+C49</f>
        <v>1224</v>
      </c>
      <c r="D50" s="815">
        <f>D29+D49</f>
        <v>16</v>
      </c>
      <c r="E50" s="797">
        <f t="shared" ref="E50:Q50" si="10">E29+E49</f>
        <v>2</v>
      </c>
      <c r="F50" s="797">
        <f>F29+F49</f>
        <v>3</v>
      </c>
      <c r="G50" s="797">
        <f>G29+G49</f>
        <v>0</v>
      </c>
      <c r="H50" s="815">
        <f t="shared" si="10"/>
        <v>1244.51</v>
      </c>
      <c r="I50" s="814">
        <f t="shared" si="10"/>
        <v>1245</v>
      </c>
      <c r="J50" s="815">
        <f t="shared" si="10"/>
        <v>236.745</v>
      </c>
      <c r="K50" s="814">
        <f t="shared" si="10"/>
        <v>236</v>
      </c>
      <c r="L50" s="815">
        <f t="shared" si="10"/>
        <v>0</v>
      </c>
      <c r="M50" s="815">
        <f t="shared" si="10"/>
        <v>0</v>
      </c>
      <c r="N50" s="815">
        <f t="shared" si="10"/>
        <v>236.745</v>
      </c>
      <c r="O50" s="814">
        <f t="shared" si="10"/>
        <v>236</v>
      </c>
      <c r="P50" s="815">
        <f t="shared" si="10"/>
        <v>1481.2550000000001</v>
      </c>
      <c r="Q50" s="814">
        <f t="shared" si="10"/>
        <v>1481</v>
      </c>
      <c r="S50" s="756"/>
    </row>
    <row r="51" spans="1:19" s="776" customFormat="1" x14ac:dyDescent="0.5">
      <c r="A51" s="752"/>
      <c r="S51" s="820"/>
    </row>
    <row r="52" spans="1:19" s="776" customFormat="1" x14ac:dyDescent="0.5">
      <c r="A52" s="752"/>
      <c r="S52" s="820"/>
    </row>
  </sheetData>
  <mergeCells count="15">
    <mergeCell ref="N6:O6"/>
    <mergeCell ref="A1:Q1"/>
    <mergeCell ref="A2:Q2"/>
    <mergeCell ref="B3:K3"/>
    <mergeCell ref="B4:O4"/>
    <mergeCell ref="P4:Q5"/>
    <mergeCell ref="B5:I5"/>
    <mergeCell ref="J5:O5"/>
    <mergeCell ref="D7:G7"/>
    <mergeCell ref="L7:M7"/>
    <mergeCell ref="B6:C6"/>
    <mergeCell ref="D6:G6"/>
    <mergeCell ref="H6:I6"/>
    <mergeCell ref="J6:K6"/>
    <mergeCell ref="L6:M6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r:id="rId1"/>
  <headerFooter alignWithMargins="0">
    <oddHeader>&amp;L&amp;20&amp;F &amp;A&amp;R&amp;"Arial,Félkövér"&amp;32 7.  melléklet a ..../2019.(.....) önkormányzati rendelethez
"7. melléklet a 5/2019.(IV.1.)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9"/>
  <dimension ref="A1:K53"/>
  <sheetViews>
    <sheetView zoomScale="96" zoomScaleNormal="96" zoomScaleSheetLayoutView="100" workbookViewId="0">
      <selection activeCell="D19" sqref="D19"/>
    </sheetView>
  </sheetViews>
  <sheetFormatPr defaultColWidth="9.33203125" defaultRowHeight="15" customHeight="1" x14ac:dyDescent="0.2"/>
  <cols>
    <col min="1" max="1" width="19.5" style="5" customWidth="1"/>
    <col min="2" max="2" width="108.33203125" style="5" bestFit="1" customWidth="1"/>
    <col min="3" max="3" width="36.6640625" style="5" bestFit="1" customWidth="1"/>
    <col min="4" max="4" width="38.83203125" style="5" bestFit="1" customWidth="1"/>
    <col min="5" max="5" width="37.6640625" style="4" bestFit="1" customWidth="1"/>
    <col min="6" max="6" width="13.33203125" style="5" bestFit="1" customWidth="1"/>
    <col min="7" max="7" width="9.33203125" style="5"/>
    <col min="8" max="8" width="13.33203125" style="5" bestFit="1" customWidth="1"/>
    <col min="9" max="10" width="9.33203125" style="5"/>
    <col min="11" max="11" width="12.6640625" style="5" bestFit="1" customWidth="1"/>
    <col min="12" max="16384" width="9.33203125" style="5"/>
  </cols>
  <sheetData>
    <row r="1" spans="2:11" ht="15" customHeight="1" x14ac:dyDescent="0.25">
      <c r="B1" s="2"/>
      <c r="C1" s="2"/>
      <c r="D1" s="2"/>
      <c r="E1" s="224"/>
    </row>
    <row r="2" spans="2:11" ht="15" customHeight="1" x14ac:dyDescent="0.25">
      <c r="B2" s="962" t="s">
        <v>104</v>
      </c>
      <c r="C2" s="962"/>
      <c r="D2" s="962"/>
      <c r="E2" s="962"/>
    </row>
    <row r="3" spans="2:11" ht="15" customHeight="1" x14ac:dyDescent="0.25">
      <c r="B3" s="2"/>
      <c r="C3" s="2"/>
      <c r="D3" s="2"/>
      <c r="E3" s="224"/>
    </row>
    <row r="4" spans="2:11" ht="19.5" thickBot="1" x14ac:dyDescent="0.35">
      <c r="B4" s="74" t="s">
        <v>59</v>
      </c>
      <c r="C4" s="74"/>
      <c r="D4" s="74"/>
      <c r="E4" s="302" t="s">
        <v>380</v>
      </c>
    </row>
    <row r="5" spans="2:11" ht="20.100000000000001" customHeight="1" x14ac:dyDescent="0.25">
      <c r="B5" s="63" t="s">
        <v>303</v>
      </c>
      <c r="C5" s="529" t="s">
        <v>923</v>
      </c>
      <c r="D5" s="529" t="s">
        <v>863</v>
      </c>
      <c r="E5" s="529" t="s">
        <v>955</v>
      </c>
    </row>
    <row r="6" spans="2:11" ht="20.100000000000001" customHeight="1" thickBot="1" x14ac:dyDescent="0.3">
      <c r="B6" s="113"/>
      <c r="C6" s="395" t="s">
        <v>635</v>
      </c>
      <c r="D6" s="395" t="s">
        <v>864</v>
      </c>
      <c r="E6" s="395" t="s">
        <v>635</v>
      </c>
    </row>
    <row r="7" spans="2:11" ht="20.100000000000001" customHeight="1" x14ac:dyDescent="0.2">
      <c r="B7" s="191" t="s">
        <v>339</v>
      </c>
      <c r="C7" s="89">
        <v>1843759</v>
      </c>
      <c r="D7" s="89">
        <f>878+3250+1930+3037+800+6743-11711</f>
        <v>4927</v>
      </c>
      <c r="E7" s="89">
        <f>C7+D7</f>
        <v>1848686</v>
      </c>
      <c r="F7" s="4"/>
      <c r="G7" s="4"/>
      <c r="H7" s="4"/>
      <c r="K7" s="4"/>
    </row>
    <row r="8" spans="2:11" ht="20.100000000000001" customHeight="1" x14ac:dyDescent="0.2">
      <c r="B8" s="191" t="s">
        <v>140</v>
      </c>
      <c r="C8" s="192">
        <v>1624324</v>
      </c>
      <c r="D8" s="192">
        <f>191-40253+600+250+250+435-3037-800-1366</f>
        <v>-43730</v>
      </c>
      <c r="E8" s="192">
        <f>C8+D8</f>
        <v>1580594</v>
      </c>
      <c r="F8" s="4"/>
      <c r="G8" s="4"/>
      <c r="H8" s="4"/>
    </row>
    <row r="9" spans="2:11" ht="20.100000000000001" customHeight="1" thickBot="1" x14ac:dyDescent="0.3">
      <c r="B9" s="7" t="s">
        <v>365</v>
      </c>
      <c r="C9" s="188">
        <f>C7+C8</f>
        <v>3468083</v>
      </c>
      <c r="D9" s="188">
        <f>D7+D8</f>
        <v>-38803</v>
      </c>
      <c r="E9" s="188">
        <f>E7+E8</f>
        <v>3429280</v>
      </c>
      <c r="H9" s="4"/>
    </row>
    <row r="10" spans="2:11" ht="20.100000000000001" customHeight="1" x14ac:dyDescent="0.2">
      <c r="B10" s="191" t="s">
        <v>741</v>
      </c>
      <c r="C10" s="199">
        <v>7679</v>
      </c>
      <c r="D10" s="199">
        <v>-2797</v>
      </c>
      <c r="E10" s="89">
        <f>C10+D10</f>
        <v>4882</v>
      </c>
      <c r="G10" s="4"/>
    </row>
    <row r="11" spans="2:11" x14ac:dyDescent="0.2">
      <c r="B11" s="193" t="s">
        <v>396</v>
      </c>
      <c r="C11" s="89">
        <v>57362</v>
      </c>
      <c r="D11" s="89">
        <v>-6000</v>
      </c>
      <c r="E11" s="89">
        <f t="shared" ref="E11:E33" si="0">C11+D11</f>
        <v>51362</v>
      </c>
    </row>
    <row r="12" spans="2:11" x14ac:dyDescent="0.2">
      <c r="B12" s="193" t="s">
        <v>646</v>
      </c>
      <c r="C12" s="89">
        <v>0</v>
      </c>
      <c r="D12" s="89"/>
      <c r="E12" s="89">
        <f t="shared" si="0"/>
        <v>0</v>
      </c>
    </row>
    <row r="13" spans="2:11" ht="20.100000000000001" customHeight="1" x14ac:dyDescent="0.2">
      <c r="B13" s="15" t="s">
        <v>503</v>
      </c>
      <c r="C13" s="44">
        <v>0</v>
      </c>
      <c r="D13" s="44"/>
      <c r="E13" s="695">
        <f t="shared" si="0"/>
        <v>0</v>
      </c>
    </row>
    <row r="14" spans="2:11" ht="19.5" customHeight="1" x14ac:dyDescent="0.2">
      <c r="B14" s="15" t="s">
        <v>197</v>
      </c>
      <c r="C14" s="44">
        <v>3427</v>
      </c>
      <c r="D14" s="44">
        <f>-600-250-250-1930+7550</f>
        <v>4520</v>
      </c>
      <c r="E14" s="695">
        <f t="shared" si="0"/>
        <v>7947</v>
      </c>
    </row>
    <row r="15" spans="2:11" ht="20.100000000000001" customHeight="1" x14ac:dyDescent="0.2">
      <c r="B15" s="15" t="s">
        <v>107</v>
      </c>
      <c r="C15" s="44">
        <v>5500</v>
      </c>
      <c r="D15" s="44"/>
      <c r="E15" s="695">
        <f t="shared" si="0"/>
        <v>5500</v>
      </c>
    </row>
    <row r="16" spans="2:11" ht="20.100000000000001" customHeight="1" x14ac:dyDescent="0.2">
      <c r="B16" s="29" t="s">
        <v>972</v>
      </c>
      <c r="C16" s="44">
        <v>500</v>
      </c>
      <c r="D16" s="44">
        <v>-500</v>
      </c>
      <c r="E16" s="695">
        <f t="shared" si="0"/>
        <v>0</v>
      </c>
    </row>
    <row r="17" spans="2:5" ht="30" x14ac:dyDescent="0.2">
      <c r="B17" s="29" t="s">
        <v>482</v>
      </c>
      <c r="C17" s="44">
        <v>2000</v>
      </c>
      <c r="D17" s="44">
        <v>-503</v>
      </c>
      <c r="E17" s="695">
        <f t="shared" si="0"/>
        <v>1497</v>
      </c>
    </row>
    <row r="18" spans="2:5" ht="20.100000000000001" customHeight="1" x14ac:dyDescent="0.2">
      <c r="B18" s="15" t="s">
        <v>198</v>
      </c>
      <c r="C18" s="44">
        <v>0</v>
      </c>
      <c r="D18" s="44"/>
      <c r="E18" s="695">
        <f t="shared" si="0"/>
        <v>0</v>
      </c>
    </row>
    <row r="19" spans="2:5" ht="20.100000000000001" customHeight="1" x14ac:dyDescent="0.2">
      <c r="B19" s="15" t="s">
        <v>222</v>
      </c>
      <c r="C19" s="44">
        <v>5000</v>
      </c>
      <c r="D19" s="44">
        <v>-250</v>
      </c>
      <c r="E19" s="695">
        <f t="shared" si="0"/>
        <v>4750</v>
      </c>
    </row>
    <row r="20" spans="2:5" ht="20.100000000000001" customHeight="1" x14ac:dyDescent="0.2">
      <c r="B20" s="15" t="s">
        <v>251</v>
      </c>
      <c r="C20" s="44">
        <v>1255</v>
      </c>
      <c r="D20" s="44"/>
      <c r="E20" s="695">
        <f t="shared" si="0"/>
        <v>1255</v>
      </c>
    </row>
    <row r="21" spans="2:5" ht="20.100000000000001" customHeight="1" x14ac:dyDescent="0.2">
      <c r="B21" s="15" t="s">
        <v>127</v>
      </c>
      <c r="C21" s="44">
        <v>15000</v>
      </c>
      <c r="D21" s="44"/>
      <c r="E21" s="695">
        <f t="shared" si="0"/>
        <v>15000</v>
      </c>
    </row>
    <row r="22" spans="2:5" ht="20.100000000000001" customHeight="1" x14ac:dyDescent="0.2">
      <c r="B22" s="15" t="s">
        <v>108</v>
      </c>
      <c r="C22" s="44">
        <v>600</v>
      </c>
      <c r="D22" s="44"/>
      <c r="E22" s="695">
        <f t="shared" si="0"/>
        <v>600</v>
      </c>
    </row>
    <row r="23" spans="2:5" ht="20.100000000000001" customHeight="1" x14ac:dyDescent="0.2">
      <c r="B23" s="15" t="s">
        <v>199</v>
      </c>
      <c r="C23" s="44">
        <v>1500</v>
      </c>
      <c r="D23" s="44">
        <v>503</v>
      </c>
      <c r="E23" s="695">
        <f t="shared" si="0"/>
        <v>2003</v>
      </c>
    </row>
    <row r="24" spans="2:5" ht="20.100000000000001" customHeight="1" x14ac:dyDescent="0.2">
      <c r="B24" s="6" t="s">
        <v>733</v>
      </c>
      <c r="C24" s="44">
        <v>687</v>
      </c>
      <c r="D24" s="44"/>
      <c r="E24" s="695">
        <f t="shared" si="0"/>
        <v>687</v>
      </c>
    </row>
    <row r="25" spans="2:5" x14ac:dyDescent="0.2">
      <c r="B25" s="29" t="s">
        <v>232</v>
      </c>
      <c r="C25" s="44">
        <v>21000</v>
      </c>
      <c r="D25" s="44"/>
      <c r="E25" s="695">
        <f t="shared" si="0"/>
        <v>21000</v>
      </c>
    </row>
    <row r="26" spans="2:5" x14ac:dyDescent="0.2">
      <c r="B26" s="133" t="s">
        <v>742</v>
      </c>
      <c r="C26" s="44">
        <v>0</v>
      </c>
      <c r="D26" s="44"/>
      <c r="E26" s="695">
        <f t="shared" si="0"/>
        <v>0</v>
      </c>
    </row>
    <row r="27" spans="2:5" ht="20.100000000000001" customHeight="1" x14ac:dyDescent="0.2">
      <c r="B27" s="15" t="s">
        <v>200</v>
      </c>
      <c r="C27" s="44">
        <v>911</v>
      </c>
      <c r="D27" s="44">
        <v>-800</v>
      </c>
      <c r="E27" s="695">
        <f t="shared" si="0"/>
        <v>111</v>
      </c>
    </row>
    <row r="28" spans="2:5" ht="39" customHeight="1" x14ac:dyDescent="0.2">
      <c r="B28" s="39" t="s">
        <v>156</v>
      </c>
      <c r="C28" s="44">
        <v>2550</v>
      </c>
      <c r="D28" s="44"/>
      <c r="E28" s="695">
        <f t="shared" si="0"/>
        <v>2550</v>
      </c>
    </row>
    <row r="29" spans="2:5" x14ac:dyDescent="0.2">
      <c r="B29" s="29" t="s">
        <v>19</v>
      </c>
      <c r="C29" s="44">
        <v>0</v>
      </c>
      <c r="D29" s="44"/>
      <c r="E29" s="695">
        <f t="shared" si="0"/>
        <v>0</v>
      </c>
    </row>
    <row r="30" spans="2:5" x14ac:dyDescent="0.2">
      <c r="B30" s="29" t="s">
        <v>504</v>
      </c>
      <c r="C30" s="44">
        <v>0</v>
      </c>
      <c r="D30" s="44"/>
      <c r="E30" s="695">
        <f t="shared" si="0"/>
        <v>0</v>
      </c>
    </row>
    <row r="31" spans="2:5" x14ac:dyDescent="0.2">
      <c r="B31" s="702" t="s">
        <v>663</v>
      </c>
      <c r="C31" s="44">
        <v>6897</v>
      </c>
      <c r="D31" s="44"/>
      <c r="E31" s="695">
        <f t="shared" si="0"/>
        <v>6897</v>
      </c>
    </row>
    <row r="32" spans="2:5" ht="30" x14ac:dyDescent="0.2">
      <c r="B32" s="29" t="s">
        <v>922</v>
      </c>
      <c r="C32" s="44">
        <v>4000</v>
      </c>
      <c r="D32" s="44"/>
      <c r="E32" s="695">
        <f t="shared" si="0"/>
        <v>4000</v>
      </c>
    </row>
    <row r="33" spans="1:5" x14ac:dyDescent="0.2">
      <c r="B33" s="29" t="s">
        <v>240</v>
      </c>
      <c r="C33" s="44">
        <v>5401</v>
      </c>
      <c r="D33" s="44"/>
      <c r="E33" s="695">
        <f t="shared" si="0"/>
        <v>5401</v>
      </c>
    </row>
    <row r="34" spans="1:5" ht="26.25" customHeight="1" thickBot="1" x14ac:dyDescent="0.3">
      <c r="B34" s="10" t="s">
        <v>68</v>
      </c>
      <c r="C34" s="226">
        <f>SUM(C10:C33)</f>
        <v>141269</v>
      </c>
      <c r="D34" s="226">
        <f>SUM(D10:D33)</f>
        <v>-5827</v>
      </c>
      <c r="E34" s="386">
        <f>SUM(E10:E33)</f>
        <v>135442</v>
      </c>
    </row>
    <row r="35" spans="1:5" ht="20.100000000000001" customHeight="1" thickBot="1" x14ac:dyDescent="0.3">
      <c r="B35" s="10" t="s">
        <v>524</v>
      </c>
      <c r="C35" s="226">
        <f>+C34+C9</f>
        <v>3609352</v>
      </c>
      <c r="D35" s="226">
        <f>+D34+D9</f>
        <v>-44630</v>
      </c>
      <c r="E35" s="386">
        <f>+E34+E9</f>
        <v>3564722</v>
      </c>
    </row>
    <row r="36" spans="1:5" s="9" customFormat="1" ht="20.100000000000001" customHeight="1" x14ac:dyDescent="0.25">
      <c r="E36" s="18"/>
    </row>
    <row r="37" spans="1:5" s="9" customFormat="1" ht="20.100000000000001" customHeight="1" thickBot="1" x14ac:dyDescent="0.35">
      <c r="B37" s="74" t="s">
        <v>139</v>
      </c>
      <c r="C37" s="74"/>
      <c r="D37" s="74"/>
      <c r="E37" s="225"/>
    </row>
    <row r="38" spans="1:5" s="9" customFormat="1" ht="20.100000000000001" customHeight="1" x14ac:dyDescent="0.25">
      <c r="B38" s="3" t="s">
        <v>303</v>
      </c>
      <c r="C38" s="529" t="s">
        <v>923</v>
      </c>
      <c r="D38" s="529" t="s">
        <v>863</v>
      </c>
      <c r="E38" s="529" t="s">
        <v>955</v>
      </c>
    </row>
    <row r="39" spans="1:5" s="9" customFormat="1" ht="20.100000000000001" customHeight="1" thickBot="1" x14ac:dyDescent="0.3">
      <c r="B39" s="17"/>
      <c r="C39" s="395" t="s">
        <v>635</v>
      </c>
      <c r="D39" s="395" t="s">
        <v>864</v>
      </c>
      <c r="E39" s="395" t="s">
        <v>635</v>
      </c>
    </row>
    <row r="40" spans="1:5" s="9" customFormat="1" ht="20.100000000000001" customHeight="1" x14ac:dyDescent="0.25">
      <c r="B40" s="544" t="s">
        <v>339</v>
      </c>
      <c r="C40" s="545">
        <v>107711</v>
      </c>
      <c r="D40" s="545">
        <f>4463+2831+1040+260+356+496+491+810+2797+20152+1800</f>
        <v>35496</v>
      </c>
      <c r="E40" s="89">
        <f>C40+D40</f>
        <v>143207</v>
      </c>
    </row>
    <row r="41" spans="1:5" s="9" customFormat="1" ht="20.100000000000001" customHeight="1" x14ac:dyDescent="0.25">
      <c r="B41" s="206" t="s">
        <v>140</v>
      </c>
      <c r="C41" s="194">
        <v>56441</v>
      </c>
      <c r="D41" s="89">
        <f>44428+300+6238</f>
        <v>50966</v>
      </c>
      <c r="E41" s="194">
        <f>C41+D41</f>
        <v>107407</v>
      </c>
    </row>
    <row r="42" spans="1:5" s="9" customFormat="1" ht="20.100000000000001" customHeight="1" thickBot="1" x14ac:dyDescent="0.3">
      <c r="B42" s="7" t="s">
        <v>525</v>
      </c>
      <c r="C42" s="227">
        <f>SUM(C40:C41)</f>
        <v>164152</v>
      </c>
      <c r="D42" s="227">
        <f>SUM(D40:D41)</f>
        <v>86462</v>
      </c>
      <c r="E42" s="45">
        <f>SUM(E40:E41)</f>
        <v>250614</v>
      </c>
    </row>
    <row r="43" spans="1:5" s="9" customFormat="1" ht="20.100000000000001" customHeight="1" thickBot="1" x14ac:dyDescent="0.3">
      <c r="A43" s="139"/>
      <c r="E43" s="18"/>
    </row>
    <row r="44" spans="1:5" s="9" customFormat="1" ht="20.100000000000001" customHeight="1" thickBot="1" x14ac:dyDescent="0.3">
      <c r="B44" s="75" t="s">
        <v>526</v>
      </c>
      <c r="C44" s="42">
        <f>+C42+C34+C9</f>
        <v>3773504</v>
      </c>
      <c r="D44" s="42">
        <f>+D42+D34+D9</f>
        <v>41832</v>
      </c>
      <c r="E44" s="42">
        <f>+E42+E34+E9</f>
        <v>3815336</v>
      </c>
    </row>
    <row r="45" spans="1:5" s="9" customFormat="1" ht="20.100000000000001" customHeight="1" x14ac:dyDescent="0.25">
      <c r="E45" s="18"/>
    </row>
    <row r="46" spans="1:5" s="9" customFormat="1" ht="20.100000000000001" customHeight="1" x14ac:dyDescent="0.25">
      <c r="B46" s="9" t="s">
        <v>129</v>
      </c>
      <c r="E46" s="297"/>
    </row>
    <row r="47" spans="1:5" s="9" customFormat="1" ht="20.100000000000001" customHeight="1" x14ac:dyDescent="0.25">
      <c r="B47" s="9" t="s">
        <v>130</v>
      </c>
      <c r="E47" s="18"/>
    </row>
    <row r="48" spans="1:5" s="9" customFormat="1" ht="20.100000000000001" customHeight="1" x14ac:dyDescent="0.25">
      <c r="E48" s="18"/>
    </row>
    <row r="49" spans="2:5" s="9" customFormat="1" ht="20.100000000000001" customHeight="1" x14ac:dyDescent="0.25">
      <c r="B49" s="110" t="s">
        <v>257</v>
      </c>
      <c r="C49" s="110"/>
      <c r="D49" s="110"/>
      <c r="E49" s="111"/>
    </row>
    <row r="50" spans="2:5" ht="15" customHeight="1" x14ac:dyDescent="0.25">
      <c r="B50" s="567" t="s">
        <v>339</v>
      </c>
      <c r="C50" s="568">
        <f t="shared" ref="C50:E51" si="1">C7+C40</f>
        <v>1951470</v>
      </c>
      <c r="D50" s="568">
        <f t="shared" si="1"/>
        <v>40423</v>
      </c>
      <c r="E50" s="568">
        <f t="shared" si="1"/>
        <v>1991893</v>
      </c>
    </row>
    <row r="51" spans="2:5" ht="15" customHeight="1" x14ac:dyDescent="0.25">
      <c r="B51" s="116" t="s">
        <v>140</v>
      </c>
      <c r="C51" s="115">
        <f t="shared" si="1"/>
        <v>1680765</v>
      </c>
      <c r="D51" s="115">
        <f t="shared" si="1"/>
        <v>7236</v>
      </c>
      <c r="E51" s="115">
        <f t="shared" si="1"/>
        <v>1688001</v>
      </c>
    </row>
    <row r="53" spans="2:5" ht="15" customHeight="1" x14ac:dyDescent="0.2">
      <c r="C53" s="4">
        <f>SUM(C50:C52)</f>
        <v>3632235</v>
      </c>
      <c r="D53" s="4">
        <f>SUM(D50:D52)</f>
        <v>47659</v>
      </c>
      <c r="E53" s="4">
        <f>SUM(E50:E52)</f>
        <v>3679894</v>
      </c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53" orientation="portrait" r:id="rId3"/>
  <headerFooter alignWithMargins="0">
    <oddHeader xml:space="preserve">&amp;R&amp;"Times New Roman CE,Félkövér"&amp;12 8. melléklet a …./2019. (…….) önkormányzati rendelethez
„8. melléklet a 5/2019. (IV. 1.) önkormányzati rendelethez”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B1:K141"/>
  <sheetViews>
    <sheetView zoomScale="89" zoomScaleNormal="89" workbookViewId="0">
      <selection activeCell="G30" sqref="G30"/>
    </sheetView>
  </sheetViews>
  <sheetFormatPr defaultColWidth="9.33203125" defaultRowHeight="21" customHeight="1" x14ac:dyDescent="0.2"/>
  <cols>
    <col min="1" max="1" width="22" style="5" customWidth="1"/>
    <col min="2" max="2" width="116.5" style="5" customWidth="1"/>
    <col min="3" max="3" width="37.33203125" style="4" bestFit="1" customWidth="1"/>
    <col min="4" max="4" width="39.1640625" style="4" bestFit="1" customWidth="1"/>
    <col min="5" max="5" width="38.1640625" style="4" bestFit="1" customWidth="1"/>
    <col min="6" max="6" width="13.5" style="4" bestFit="1" customWidth="1"/>
    <col min="7" max="7" width="19.33203125" style="5" customWidth="1"/>
    <col min="8" max="9" width="17.5" style="5" customWidth="1"/>
    <col min="10" max="10" width="9.33203125" style="5"/>
    <col min="11" max="11" width="11.5" style="5" bestFit="1" customWidth="1"/>
    <col min="12" max="16384" width="9.33203125" style="5"/>
  </cols>
  <sheetData>
    <row r="1" spans="2:9" ht="21" customHeight="1" x14ac:dyDescent="0.25">
      <c r="B1" s="2"/>
      <c r="C1" s="224"/>
      <c r="D1" s="224"/>
      <c r="E1" s="224"/>
    </row>
    <row r="2" spans="2:9" ht="21" customHeight="1" x14ac:dyDescent="0.25">
      <c r="B2" s="962" t="s">
        <v>528</v>
      </c>
      <c r="C2" s="962"/>
      <c r="D2" s="962"/>
      <c r="E2" s="962"/>
    </row>
    <row r="3" spans="2:9" ht="21" customHeight="1" x14ac:dyDescent="0.25">
      <c r="B3" s="1"/>
      <c r="C3" s="549"/>
      <c r="D3" s="549"/>
      <c r="E3" s="549"/>
    </row>
    <row r="4" spans="2:9" ht="21" customHeight="1" thickBot="1" x14ac:dyDescent="0.35">
      <c r="B4" s="74" t="s">
        <v>59</v>
      </c>
      <c r="C4" s="225"/>
      <c r="D4" s="225"/>
      <c r="E4" s="302" t="s">
        <v>380</v>
      </c>
      <c r="G4" s="392"/>
      <c r="H4" s="392"/>
      <c r="I4" s="392"/>
    </row>
    <row r="5" spans="2:9" ht="21" customHeight="1" x14ac:dyDescent="0.25">
      <c r="B5" s="63" t="s">
        <v>303</v>
      </c>
      <c r="C5" s="529" t="s">
        <v>923</v>
      </c>
      <c r="D5" s="529" t="s">
        <v>863</v>
      </c>
      <c r="E5" s="529" t="s">
        <v>955</v>
      </c>
    </row>
    <row r="6" spans="2:9" ht="21" customHeight="1" thickBot="1" x14ac:dyDescent="0.3">
      <c r="B6" s="64"/>
      <c r="C6" s="395" t="s">
        <v>635</v>
      </c>
      <c r="D6" s="395" t="s">
        <v>864</v>
      </c>
      <c r="E6" s="395" t="s">
        <v>635</v>
      </c>
    </row>
    <row r="7" spans="2:9" ht="21" customHeight="1" x14ac:dyDescent="0.25">
      <c r="B7" s="65" t="s">
        <v>254</v>
      </c>
      <c r="C7" s="693"/>
      <c r="D7" s="693"/>
      <c r="E7" s="693"/>
    </row>
    <row r="8" spans="2:9" ht="21" customHeight="1" x14ac:dyDescent="0.2">
      <c r="B8" s="57" t="s">
        <v>252</v>
      </c>
      <c r="C8" s="550"/>
      <c r="D8" s="550"/>
      <c r="E8" s="550"/>
    </row>
    <row r="9" spans="2:9" ht="15" x14ac:dyDescent="0.2">
      <c r="B9" s="195" t="s">
        <v>97</v>
      </c>
      <c r="C9" s="221">
        <v>125380</v>
      </c>
      <c r="D9" s="89">
        <f>4613+304+1270-865+18858+4950</f>
        <v>29130</v>
      </c>
      <c r="E9" s="221">
        <f>C9+D9</f>
        <v>154510</v>
      </c>
      <c r="G9" s="4"/>
      <c r="H9" s="4"/>
      <c r="I9" s="4"/>
    </row>
    <row r="10" spans="2:9" ht="15" x14ac:dyDescent="0.2">
      <c r="B10" s="196" t="s">
        <v>98</v>
      </c>
      <c r="C10" s="89">
        <v>417474</v>
      </c>
      <c r="D10" s="89">
        <f>1500-18858</f>
        <v>-17358</v>
      </c>
      <c r="E10" s="221">
        <f>C10+D10</f>
        <v>400116</v>
      </c>
    </row>
    <row r="11" spans="2:9" ht="15.75" thickBot="1" x14ac:dyDescent="0.25">
      <c r="B11" s="197" t="s">
        <v>880</v>
      </c>
      <c r="C11" s="221">
        <v>1040</v>
      </c>
      <c r="D11" s="89"/>
      <c r="E11" s="221">
        <f>C11+D11</f>
        <v>1040</v>
      </c>
    </row>
    <row r="12" spans="2:9" ht="21" customHeight="1" thickBot="1" x14ac:dyDescent="0.3">
      <c r="B12" s="61" t="s">
        <v>99</v>
      </c>
      <c r="C12" s="62">
        <f>SUM(C9:C11)</f>
        <v>543894</v>
      </c>
      <c r="D12" s="62">
        <f>SUM(D9:D11)</f>
        <v>11772</v>
      </c>
      <c r="E12" s="62">
        <f>SUM(E9:E11)</f>
        <v>555666</v>
      </c>
    </row>
    <row r="13" spans="2:9" ht="21" customHeight="1" x14ac:dyDescent="0.2">
      <c r="B13" s="80" t="s">
        <v>195</v>
      </c>
      <c r="C13" s="44">
        <v>36480</v>
      </c>
      <c r="D13" s="44">
        <f>2498+200-608-999</f>
        <v>1091</v>
      </c>
      <c r="E13" s="44">
        <f>C13+D13</f>
        <v>37571</v>
      </c>
      <c r="G13" s="4"/>
      <c r="H13" s="4"/>
      <c r="I13" s="4"/>
    </row>
    <row r="14" spans="2:9" ht="21" customHeight="1" x14ac:dyDescent="0.2">
      <c r="B14" s="80" t="s">
        <v>32</v>
      </c>
      <c r="C14" s="44">
        <v>42400</v>
      </c>
      <c r="D14" s="44"/>
      <c r="E14" s="44">
        <f>C14+D14</f>
        <v>42400</v>
      </c>
    </row>
    <row r="15" spans="2:9" ht="21" customHeight="1" x14ac:dyDescent="0.2">
      <c r="B15" s="80" t="s">
        <v>33</v>
      </c>
      <c r="C15" s="44">
        <v>28200</v>
      </c>
      <c r="D15" s="44"/>
      <c r="E15" s="44">
        <f>C15+D15</f>
        <v>28200</v>
      </c>
      <c r="G15" s="4"/>
    </row>
    <row r="16" spans="2:9" ht="21" customHeight="1" x14ac:dyDescent="0.2">
      <c r="B16" s="80" t="s">
        <v>34</v>
      </c>
      <c r="C16" s="44">
        <v>34820</v>
      </c>
      <c r="D16" s="44">
        <f>15946+999</f>
        <v>16945</v>
      </c>
      <c r="E16" s="44">
        <f>C16+D16</f>
        <v>51765</v>
      </c>
    </row>
    <row r="17" spans="2:11" ht="21.75" customHeight="1" thickBot="1" x14ac:dyDescent="0.25">
      <c r="B17" s="81" t="s">
        <v>881</v>
      </c>
      <c r="C17" s="44">
        <v>9666</v>
      </c>
      <c r="D17" s="44"/>
      <c r="E17" s="44">
        <f>C17+D17</f>
        <v>9666</v>
      </c>
    </row>
    <row r="18" spans="2:11" ht="21" customHeight="1" thickBot="1" x14ac:dyDescent="0.3">
      <c r="B18" s="82" t="s">
        <v>174</v>
      </c>
      <c r="C18" s="62">
        <f>SUM(C13:C17)</f>
        <v>151566</v>
      </c>
      <c r="D18" s="62">
        <f>SUM(D13:D17)</f>
        <v>18036</v>
      </c>
      <c r="E18" s="62">
        <f>SUM(E13:E17)</f>
        <v>169602</v>
      </c>
    </row>
    <row r="19" spans="2:11" ht="15" x14ac:dyDescent="0.2">
      <c r="B19" s="80" t="s">
        <v>155</v>
      </c>
      <c r="C19" s="44">
        <v>233604</v>
      </c>
      <c r="D19" s="44">
        <f>13185+149-2222</f>
        <v>11112</v>
      </c>
      <c r="E19" s="44">
        <f>C19+D19</f>
        <v>244716</v>
      </c>
      <c r="G19" s="4"/>
      <c r="H19" s="4"/>
      <c r="I19" s="4"/>
    </row>
    <row r="20" spans="2:11" ht="21" customHeight="1" x14ac:dyDescent="0.2">
      <c r="B20" s="109" t="s">
        <v>36</v>
      </c>
      <c r="C20" s="44">
        <v>245000</v>
      </c>
      <c r="D20" s="44"/>
      <c r="E20" s="44">
        <f>C20+D20</f>
        <v>245000</v>
      </c>
    </row>
    <row r="21" spans="2:11" ht="21" customHeight="1" x14ac:dyDescent="0.2">
      <c r="B21" s="80" t="s">
        <v>35</v>
      </c>
      <c r="C21" s="44">
        <v>87800</v>
      </c>
      <c r="D21" s="44">
        <v>1300</v>
      </c>
      <c r="E21" s="44">
        <f>C21+D21</f>
        <v>89100</v>
      </c>
    </row>
    <row r="22" spans="2:11" ht="21" customHeight="1" thickBot="1" x14ac:dyDescent="0.25">
      <c r="B22" s="81" t="s">
        <v>882</v>
      </c>
      <c r="C22" s="44">
        <v>12675</v>
      </c>
      <c r="D22" s="44"/>
      <c r="E22" s="44">
        <f>C22+D22</f>
        <v>12675</v>
      </c>
    </row>
    <row r="23" spans="2:11" ht="21" customHeight="1" thickBot="1" x14ac:dyDescent="0.3">
      <c r="B23" s="82" t="s">
        <v>154</v>
      </c>
      <c r="C23" s="62">
        <f>SUM(C19:C22)</f>
        <v>579079</v>
      </c>
      <c r="D23" s="62">
        <f>SUM(D19:D22)</f>
        <v>12412</v>
      </c>
      <c r="E23" s="62">
        <f>SUM(E19:E22)</f>
        <v>591491</v>
      </c>
    </row>
    <row r="24" spans="2:11" ht="21" customHeight="1" x14ac:dyDescent="0.25">
      <c r="B24" s="198" t="s">
        <v>54</v>
      </c>
      <c r="C24" s="89">
        <v>208936</v>
      </c>
      <c r="D24" s="89">
        <f>6207+56+250-1113</f>
        <v>5400</v>
      </c>
      <c r="E24" s="89">
        <f>C24+D24</f>
        <v>214336</v>
      </c>
      <c r="G24" s="4"/>
      <c r="H24" s="4"/>
      <c r="I24" s="4"/>
    </row>
    <row r="25" spans="2:11" ht="21" customHeight="1" x14ac:dyDescent="0.2">
      <c r="B25" s="200" t="s">
        <v>190</v>
      </c>
      <c r="C25" s="89">
        <v>150000</v>
      </c>
      <c r="D25" s="89"/>
      <c r="E25" s="89">
        <f>C25+D25</f>
        <v>150000</v>
      </c>
      <c r="G25" s="4"/>
    </row>
    <row r="26" spans="2:11" ht="21" customHeight="1" x14ac:dyDescent="0.2">
      <c r="B26" s="201" t="s">
        <v>55</v>
      </c>
      <c r="C26" s="89">
        <v>24000</v>
      </c>
      <c r="D26" s="89">
        <f>1676</f>
        <v>1676</v>
      </c>
      <c r="E26" s="89">
        <f>C26+D26</f>
        <v>25676</v>
      </c>
      <c r="G26" s="4"/>
    </row>
    <row r="27" spans="2:11" ht="21" customHeight="1" thickBot="1" x14ac:dyDescent="0.25">
      <c r="B27" s="202" t="s">
        <v>883</v>
      </c>
      <c r="C27" s="89">
        <v>38344</v>
      </c>
      <c r="D27" s="89"/>
      <c r="E27" s="89">
        <f>C27+D27</f>
        <v>38344</v>
      </c>
    </row>
    <row r="28" spans="2:11" ht="21" customHeight="1" thickBot="1" x14ac:dyDescent="0.3">
      <c r="B28" s="61" t="s">
        <v>191</v>
      </c>
      <c r="C28" s="62">
        <f>SUM(C24:C27)</f>
        <v>421280</v>
      </c>
      <c r="D28" s="62">
        <f>SUM(D24:D27)</f>
        <v>7076</v>
      </c>
      <c r="E28" s="62">
        <f>SUM(E24:E27)</f>
        <v>428356</v>
      </c>
    </row>
    <row r="29" spans="2:11" ht="15" x14ac:dyDescent="0.2">
      <c r="B29" s="106" t="s">
        <v>176</v>
      </c>
      <c r="C29" s="44">
        <v>228456</v>
      </c>
      <c r="D29" s="44">
        <f>13317+67+240+294-2334-7000</f>
        <v>4584</v>
      </c>
      <c r="E29" s="44">
        <f>C29+D29</f>
        <v>233040</v>
      </c>
      <c r="G29" s="4"/>
      <c r="H29" s="4"/>
      <c r="I29" s="4"/>
      <c r="K29" s="4"/>
    </row>
    <row r="30" spans="2:11" ht="21" customHeight="1" x14ac:dyDescent="0.2">
      <c r="B30" s="73" t="s">
        <v>52</v>
      </c>
      <c r="C30" s="551">
        <v>147600</v>
      </c>
      <c r="D30" s="44"/>
      <c r="E30" s="44">
        <f>C30+D30</f>
        <v>147600</v>
      </c>
      <c r="G30" s="189"/>
    </row>
    <row r="31" spans="2:11" ht="21" customHeight="1" x14ac:dyDescent="0.2">
      <c r="B31" s="73" t="s">
        <v>53</v>
      </c>
      <c r="C31" s="551">
        <v>180383</v>
      </c>
      <c r="D31" s="44">
        <f>58434+7000</f>
        <v>65434</v>
      </c>
      <c r="E31" s="44">
        <f>C31+D31</f>
        <v>245817</v>
      </c>
      <c r="G31" s="189"/>
    </row>
    <row r="32" spans="2:11" ht="21" customHeight="1" thickBot="1" x14ac:dyDescent="0.25">
      <c r="B32" s="135" t="s">
        <v>884</v>
      </c>
      <c r="C32" s="551">
        <v>28106</v>
      </c>
      <c r="D32" s="44"/>
      <c r="E32" s="44">
        <f>C32+D32</f>
        <v>28106</v>
      </c>
    </row>
    <row r="33" spans="2:7" ht="21" customHeight="1" thickBot="1" x14ac:dyDescent="0.3">
      <c r="B33" s="61" t="s">
        <v>290</v>
      </c>
      <c r="C33" s="62">
        <f>SUM(C29:C32)</f>
        <v>584545</v>
      </c>
      <c r="D33" s="62">
        <f>SUM(D29:D32)</f>
        <v>70018</v>
      </c>
      <c r="E33" s="62">
        <f>SUM(E29:E32)</f>
        <v>654563</v>
      </c>
    </row>
    <row r="34" spans="2:7" ht="21" customHeight="1" thickBot="1" x14ac:dyDescent="0.3">
      <c r="B34" s="398" t="s">
        <v>519</v>
      </c>
      <c r="C34" s="62">
        <f>C12+C18+C23+C28+C33</f>
        <v>2280364</v>
      </c>
      <c r="D34" s="62">
        <f>D12+D18+D23+D28+D33</f>
        <v>119314</v>
      </c>
      <c r="E34" s="62">
        <f>E12+E18+E23+E28+E33</f>
        <v>2399678</v>
      </c>
    </row>
    <row r="35" spans="2:7" ht="21" customHeight="1" x14ac:dyDescent="0.2">
      <c r="B35" s="106" t="s">
        <v>196</v>
      </c>
      <c r="C35" s="44">
        <v>185451</v>
      </c>
      <c r="D35" s="44"/>
      <c r="E35" s="44">
        <f>C35+D35</f>
        <v>185451</v>
      </c>
    </row>
    <row r="36" spans="2:7" ht="15" x14ac:dyDescent="0.2">
      <c r="B36" s="67" t="s">
        <v>886</v>
      </c>
      <c r="C36" s="44">
        <v>125000</v>
      </c>
      <c r="D36" s="44"/>
      <c r="E36" s="44">
        <f>C36+D36</f>
        <v>125000</v>
      </c>
    </row>
    <row r="37" spans="2:7" ht="15.75" thickBot="1" x14ac:dyDescent="0.25">
      <c r="B37" s="565" t="s">
        <v>885</v>
      </c>
      <c r="C37" s="44">
        <v>83400</v>
      </c>
      <c r="D37" s="44"/>
      <c r="E37" s="44">
        <f>C37+D37</f>
        <v>83400</v>
      </c>
    </row>
    <row r="38" spans="2:7" s="33" customFormat="1" ht="21" customHeight="1" thickBot="1" x14ac:dyDescent="0.3">
      <c r="B38" s="61" t="s">
        <v>343</v>
      </c>
      <c r="C38" s="62">
        <f>SUM(C35:C37)</f>
        <v>393851</v>
      </c>
      <c r="D38" s="62">
        <f>SUM(D35:D37)</f>
        <v>0</v>
      </c>
      <c r="E38" s="62">
        <f>SUM(E35:E37)</f>
        <v>393851</v>
      </c>
      <c r="F38" s="4"/>
      <c r="G38" s="305"/>
    </row>
    <row r="39" spans="2:7" ht="21" customHeight="1" thickBot="1" x14ac:dyDescent="0.3">
      <c r="B39" s="83" t="s">
        <v>253</v>
      </c>
      <c r="C39" s="42">
        <f>+C12+C18+C23+C33+C28+C38</f>
        <v>2674215</v>
      </c>
      <c r="D39" s="42">
        <f>+D12+D18+D23+D33+D28+D38</f>
        <v>119314</v>
      </c>
      <c r="E39" s="42">
        <f>+E12+E18+E23+E33+E28+E38</f>
        <v>2793529</v>
      </c>
    </row>
    <row r="40" spans="2:7" ht="21" customHeight="1" x14ac:dyDescent="0.2">
      <c r="B40" s="68" t="s">
        <v>241</v>
      </c>
      <c r="C40" s="553"/>
      <c r="D40" s="553"/>
      <c r="E40" s="553"/>
    </row>
    <row r="41" spans="2:7" ht="21" customHeight="1" x14ac:dyDescent="0.2">
      <c r="B41" s="69" t="s">
        <v>267</v>
      </c>
      <c r="C41" s="44">
        <v>2000</v>
      </c>
      <c r="D41" s="44"/>
      <c r="E41" s="44">
        <f t="shared" ref="E41:E60" si="0">C41+D41</f>
        <v>2000</v>
      </c>
    </row>
    <row r="42" spans="2:7" ht="21" customHeight="1" x14ac:dyDescent="0.2">
      <c r="B42" s="55" t="s">
        <v>110</v>
      </c>
      <c r="C42" s="44">
        <v>1200</v>
      </c>
      <c r="D42" s="44"/>
      <c r="E42" s="44">
        <f t="shared" si="0"/>
        <v>1200</v>
      </c>
    </row>
    <row r="43" spans="2:7" ht="21" customHeight="1" x14ac:dyDescent="0.2">
      <c r="B43" s="55" t="s">
        <v>62</v>
      </c>
      <c r="C43" s="44">
        <v>5000</v>
      </c>
      <c r="D43" s="44"/>
      <c r="E43" s="44">
        <f t="shared" si="0"/>
        <v>5000</v>
      </c>
      <c r="F43" s="332"/>
    </row>
    <row r="44" spans="2:7" ht="21" customHeight="1" x14ac:dyDescent="0.2">
      <c r="B44" s="55" t="s">
        <v>63</v>
      </c>
      <c r="C44" s="44">
        <v>5000</v>
      </c>
      <c r="D44" s="44"/>
      <c r="E44" s="44">
        <f t="shared" si="0"/>
        <v>5000</v>
      </c>
      <c r="F44" s="332"/>
    </row>
    <row r="45" spans="2:7" ht="21" customHeight="1" x14ac:dyDescent="0.2">
      <c r="B45" s="55" t="s">
        <v>64</v>
      </c>
      <c r="C45" s="44">
        <v>17000</v>
      </c>
      <c r="D45" s="44"/>
      <c r="E45" s="44">
        <f t="shared" si="0"/>
        <v>17000</v>
      </c>
      <c r="F45" s="332"/>
    </row>
    <row r="46" spans="2:7" ht="21" customHeight="1" x14ac:dyDescent="0.2">
      <c r="B46" s="55" t="s">
        <v>65</v>
      </c>
      <c r="C46" s="44">
        <v>1000</v>
      </c>
      <c r="D46" s="44"/>
      <c r="E46" s="44">
        <f t="shared" si="0"/>
        <v>1000</v>
      </c>
    </row>
    <row r="47" spans="2:7" ht="21" customHeight="1" x14ac:dyDescent="0.2">
      <c r="B47" s="55" t="s">
        <v>66</v>
      </c>
      <c r="C47" s="44">
        <v>6000</v>
      </c>
      <c r="D47" s="44"/>
      <c r="E47" s="44">
        <f t="shared" si="0"/>
        <v>6000</v>
      </c>
    </row>
    <row r="48" spans="2:7" ht="21" customHeight="1" x14ac:dyDescent="0.2">
      <c r="B48" s="55" t="s">
        <v>673</v>
      </c>
      <c r="C48" s="44">
        <v>3000</v>
      </c>
      <c r="D48" s="44"/>
      <c r="E48" s="44">
        <f t="shared" si="0"/>
        <v>3000</v>
      </c>
    </row>
    <row r="49" spans="2:5" ht="21" customHeight="1" x14ac:dyDescent="0.2">
      <c r="B49" s="55" t="s">
        <v>111</v>
      </c>
      <c r="C49" s="44">
        <v>650</v>
      </c>
      <c r="D49" s="44"/>
      <c r="E49" s="44">
        <f t="shared" si="0"/>
        <v>650</v>
      </c>
    </row>
    <row r="50" spans="2:5" ht="21" customHeight="1" x14ac:dyDescent="0.2">
      <c r="B50" s="55" t="s">
        <v>368</v>
      </c>
      <c r="C50" s="44">
        <v>1000</v>
      </c>
      <c r="D50" s="44"/>
      <c r="E50" s="44">
        <f t="shared" si="0"/>
        <v>1000</v>
      </c>
    </row>
    <row r="51" spans="2:5" ht="21" customHeight="1" x14ac:dyDescent="0.2">
      <c r="B51" s="55" t="s">
        <v>624</v>
      </c>
      <c r="C51" s="44">
        <v>6000</v>
      </c>
      <c r="D51" s="44"/>
      <c r="E51" s="44">
        <f t="shared" si="0"/>
        <v>6000</v>
      </c>
    </row>
    <row r="52" spans="2:5" ht="21" customHeight="1" x14ac:dyDescent="0.2">
      <c r="B52" s="55" t="s">
        <v>244</v>
      </c>
      <c r="C52" s="44">
        <v>2000</v>
      </c>
      <c r="D52" s="44"/>
      <c r="E52" s="44">
        <f t="shared" si="0"/>
        <v>2000</v>
      </c>
    </row>
    <row r="53" spans="2:5" ht="21" customHeight="1" x14ac:dyDescent="0.2">
      <c r="B53" s="55" t="s">
        <v>245</v>
      </c>
      <c r="C53" s="44">
        <v>1500</v>
      </c>
      <c r="D53" s="44"/>
      <c r="E53" s="44">
        <f t="shared" si="0"/>
        <v>1500</v>
      </c>
    </row>
    <row r="54" spans="2:5" ht="21" customHeight="1" x14ac:dyDescent="0.2">
      <c r="B54" s="55" t="s">
        <v>366</v>
      </c>
      <c r="C54" s="44">
        <v>1600</v>
      </c>
      <c r="D54" s="44"/>
      <c r="E54" s="44">
        <f t="shared" si="0"/>
        <v>1600</v>
      </c>
    </row>
    <row r="55" spans="2:5" ht="30" x14ac:dyDescent="0.2">
      <c r="B55" s="390" t="s">
        <v>367</v>
      </c>
      <c r="C55" s="44">
        <v>1000</v>
      </c>
      <c r="D55" s="44"/>
      <c r="E55" s="44">
        <f t="shared" si="0"/>
        <v>1000</v>
      </c>
    </row>
    <row r="56" spans="2:5" ht="15" x14ac:dyDescent="0.2">
      <c r="B56" s="29" t="s">
        <v>678</v>
      </c>
      <c r="C56" s="44">
        <v>1200</v>
      </c>
      <c r="D56" s="44"/>
      <c r="E56" s="44">
        <f t="shared" si="0"/>
        <v>1200</v>
      </c>
    </row>
    <row r="57" spans="2:5" ht="15" x14ac:dyDescent="0.2">
      <c r="B57" s="119" t="s">
        <v>706</v>
      </c>
      <c r="C57" s="44">
        <v>800</v>
      </c>
      <c r="D57" s="44"/>
      <c r="E57" s="44">
        <f t="shared" si="0"/>
        <v>800</v>
      </c>
    </row>
    <row r="58" spans="2:5" ht="30" x14ac:dyDescent="0.2">
      <c r="B58" s="223" t="s">
        <v>732</v>
      </c>
      <c r="C58" s="44">
        <v>1500</v>
      </c>
      <c r="D58" s="44"/>
      <c r="E58" s="44">
        <f t="shared" si="0"/>
        <v>1500</v>
      </c>
    </row>
    <row r="59" spans="2:5" ht="15" x14ac:dyDescent="0.2">
      <c r="B59" s="56" t="s">
        <v>630</v>
      </c>
      <c r="C59" s="44">
        <v>1000</v>
      </c>
      <c r="D59" s="44"/>
      <c r="E59" s="44">
        <f t="shared" si="0"/>
        <v>1000</v>
      </c>
    </row>
    <row r="60" spans="2:5" ht="15" x14ac:dyDescent="0.2">
      <c r="B60" s="55" t="s">
        <v>116</v>
      </c>
      <c r="C60" s="44">
        <v>1000</v>
      </c>
      <c r="D60" s="44"/>
      <c r="E60" s="44">
        <f t="shared" si="0"/>
        <v>1000</v>
      </c>
    </row>
    <row r="61" spans="2:5" ht="21" customHeight="1" thickBot="1" x14ac:dyDescent="0.3">
      <c r="B61" s="79" t="s">
        <v>241</v>
      </c>
      <c r="C61" s="45">
        <f>SUM(C41:C60)</f>
        <v>59450</v>
      </c>
      <c r="D61" s="45">
        <f>SUM(D41:D60)</f>
        <v>0</v>
      </c>
      <c r="E61" s="45">
        <f>SUM(E41:E60)</f>
        <v>59450</v>
      </c>
    </row>
    <row r="62" spans="2:5" ht="21" customHeight="1" thickBot="1" x14ac:dyDescent="0.3">
      <c r="B62" s="79" t="s">
        <v>255</v>
      </c>
      <c r="C62" s="45">
        <f>C39+C61</f>
        <v>2733665</v>
      </c>
      <c r="D62" s="45">
        <f>D39+D61</f>
        <v>119314</v>
      </c>
      <c r="E62" s="45">
        <f>E39+E61</f>
        <v>2852979</v>
      </c>
    </row>
    <row r="63" spans="2:5" ht="21" customHeight="1" x14ac:dyDescent="0.25">
      <c r="B63" s="70" t="s">
        <v>265</v>
      </c>
      <c r="C63" s="554"/>
      <c r="D63" s="554"/>
      <c r="E63" s="554"/>
    </row>
    <row r="64" spans="2:5" ht="21" customHeight="1" thickBot="1" x14ac:dyDescent="0.25">
      <c r="B64" s="84"/>
      <c r="C64" s="84"/>
      <c r="D64" s="84"/>
      <c r="E64" s="84"/>
    </row>
    <row r="65" spans="2:7" ht="21" customHeight="1" thickBot="1" x14ac:dyDescent="0.3">
      <c r="B65" s="79" t="s">
        <v>266</v>
      </c>
      <c r="C65" s="45">
        <v>13600</v>
      </c>
      <c r="D65" s="45">
        <f>142+200</f>
        <v>342</v>
      </c>
      <c r="E65" s="45">
        <f>C65+D65</f>
        <v>13942</v>
      </c>
    </row>
    <row r="66" spans="2:7" ht="21" customHeight="1" x14ac:dyDescent="0.25">
      <c r="B66" s="70" t="s">
        <v>258</v>
      </c>
      <c r="C66" s="554"/>
      <c r="D66" s="554"/>
      <c r="E66" s="554"/>
    </row>
    <row r="67" spans="2:7" ht="21" customHeight="1" thickBot="1" x14ac:dyDescent="0.25">
      <c r="B67" s="85"/>
      <c r="C67" s="85"/>
      <c r="D67" s="85"/>
      <c r="E67" s="85"/>
    </row>
    <row r="68" spans="2:7" ht="21" customHeight="1" thickBot="1" x14ac:dyDescent="0.3">
      <c r="B68" s="78" t="s">
        <v>242</v>
      </c>
      <c r="C68" s="51">
        <v>6220</v>
      </c>
      <c r="D68" s="51">
        <f>-1270-4950</f>
        <v>-6220</v>
      </c>
      <c r="E68" s="51">
        <f>C68+D68</f>
        <v>0</v>
      </c>
    </row>
    <row r="69" spans="2:7" ht="21" customHeight="1" x14ac:dyDescent="0.2">
      <c r="B69" s="694" t="s">
        <v>259</v>
      </c>
      <c r="C69" s="550"/>
      <c r="D69" s="550"/>
      <c r="E69" s="550"/>
    </row>
    <row r="70" spans="2:7" ht="21" customHeight="1" x14ac:dyDescent="0.2">
      <c r="B70" s="69" t="s">
        <v>512</v>
      </c>
      <c r="C70" s="44">
        <v>0</v>
      </c>
      <c r="D70" s="44"/>
      <c r="E70" s="44">
        <f>C70+D70</f>
        <v>0</v>
      </c>
    </row>
    <row r="71" spans="2:7" ht="21" customHeight="1" x14ac:dyDescent="0.2">
      <c r="B71" s="55" t="s">
        <v>452</v>
      </c>
      <c r="C71" s="44">
        <v>2000</v>
      </c>
      <c r="D71" s="44"/>
      <c r="E71" s="44">
        <f>C71+D71</f>
        <v>2000</v>
      </c>
    </row>
    <row r="72" spans="2:7" ht="21" customHeight="1" x14ac:dyDescent="0.2">
      <c r="B72" s="55" t="s">
        <v>520</v>
      </c>
      <c r="C72" s="44">
        <v>10000</v>
      </c>
      <c r="D72" s="44"/>
      <c r="E72" s="44">
        <f>C72+D72</f>
        <v>10000</v>
      </c>
    </row>
    <row r="73" spans="2:7" ht="21" customHeight="1" x14ac:dyDescent="0.2">
      <c r="B73" s="66" t="s">
        <v>722</v>
      </c>
      <c r="C73" s="40">
        <v>3500</v>
      </c>
      <c r="D73" s="40"/>
      <c r="E73" s="44">
        <f>C73+D73</f>
        <v>3500</v>
      </c>
    </row>
    <row r="74" spans="2:7" ht="21" customHeight="1" thickBot="1" x14ac:dyDescent="0.3">
      <c r="B74" s="79" t="s">
        <v>260</v>
      </c>
      <c r="C74" s="45">
        <f>SUM(C70:C73)</f>
        <v>15500</v>
      </c>
      <c r="D74" s="45">
        <f>SUM(D70:D73)</f>
        <v>0</v>
      </c>
      <c r="E74" s="45">
        <f>SUM(E70:E73)</f>
        <v>15500</v>
      </c>
    </row>
    <row r="75" spans="2:7" ht="21" customHeight="1" thickBot="1" x14ac:dyDescent="0.3">
      <c r="B75" s="79" t="s">
        <v>261</v>
      </c>
      <c r="C75" s="45">
        <f>C68+C74</f>
        <v>21720</v>
      </c>
      <c r="D75" s="45">
        <f>D68+D74</f>
        <v>-6220</v>
      </c>
      <c r="E75" s="45">
        <f>E68+E74</f>
        <v>15500</v>
      </c>
    </row>
    <row r="76" spans="2:7" ht="21" customHeight="1" x14ac:dyDescent="0.25">
      <c r="B76" s="70" t="s">
        <v>262</v>
      </c>
      <c r="C76" s="554"/>
      <c r="D76" s="554"/>
      <c r="E76" s="554"/>
    </row>
    <row r="77" spans="2:7" ht="15" x14ac:dyDescent="0.2">
      <c r="B77" s="145" t="s">
        <v>21</v>
      </c>
      <c r="C77" s="555"/>
      <c r="D77" s="555"/>
      <c r="E77" s="555"/>
    </row>
    <row r="78" spans="2:7" ht="15" x14ac:dyDescent="0.2">
      <c r="B78" s="87" t="s">
        <v>443</v>
      </c>
      <c r="C78" s="132">
        <v>2150</v>
      </c>
      <c r="D78" s="132">
        <v>-200</v>
      </c>
      <c r="E78" s="44">
        <f t="shared" ref="E78:E87" si="1">C78+D78</f>
        <v>1950</v>
      </c>
    </row>
    <row r="79" spans="2:7" ht="15" x14ac:dyDescent="0.2">
      <c r="B79" s="71" t="s">
        <v>991</v>
      </c>
      <c r="C79" s="132">
        <v>34230</v>
      </c>
      <c r="D79" s="132">
        <v>1600</v>
      </c>
      <c r="E79" s="44">
        <f t="shared" si="1"/>
        <v>35830</v>
      </c>
    </row>
    <row r="80" spans="2:7" ht="15" x14ac:dyDescent="0.2">
      <c r="B80" s="71" t="s">
        <v>509</v>
      </c>
      <c r="C80" s="132">
        <v>57500</v>
      </c>
      <c r="D80" s="132"/>
      <c r="E80" s="44">
        <f t="shared" si="1"/>
        <v>57500</v>
      </c>
      <c r="G80" s="4"/>
    </row>
    <row r="81" spans="2:7" ht="15" x14ac:dyDescent="0.2">
      <c r="B81" s="717" t="s">
        <v>909</v>
      </c>
      <c r="C81" s="132">
        <v>5000</v>
      </c>
      <c r="D81" s="132"/>
      <c r="E81" s="44">
        <f t="shared" si="1"/>
        <v>5000</v>
      </c>
      <c r="G81" s="4"/>
    </row>
    <row r="82" spans="2:7" ht="15" x14ac:dyDescent="0.2">
      <c r="B82" s="86" t="s">
        <v>381</v>
      </c>
      <c r="C82" s="44">
        <v>15000</v>
      </c>
      <c r="D82" s="44"/>
      <c r="E82" s="44">
        <f t="shared" si="1"/>
        <v>15000</v>
      </c>
    </row>
    <row r="83" spans="2:7" ht="15" x14ac:dyDescent="0.2">
      <c r="B83" s="86" t="s">
        <v>449</v>
      </c>
      <c r="C83" s="44">
        <v>10000</v>
      </c>
      <c r="D83" s="44"/>
      <c r="E83" s="44">
        <f t="shared" si="1"/>
        <v>10000</v>
      </c>
    </row>
    <row r="84" spans="2:7" ht="18.600000000000001" customHeight="1" x14ac:dyDescent="0.2">
      <c r="B84" s="718" t="s">
        <v>913</v>
      </c>
      <c r="C84" s="44">
        <v>1000</v>
      </c>
      <c r="D84" s="44"/>
      <c r="E84" s="44">
        <f t="shared" si="1"/>
        <v>1000</v>
      </c>
    </row>
    <row r="85" spans="2:7" ht="15" x14ac:dyDescent="0.2">
      <c r="B85" s="396" t="s">
        <v>707</v>
      </c>
      <c r="C85" s="44">
        <v>28046</v>
      </c>
      <c r="D85" s="44"/>
      <c r="E85" s="44">
        <f t="shared" si="1"/>
        <v>28046</v>
      </c>
    </row>
    <row r="86" spans="2:7" ht="15" x14ac:dyDescent="0.2">
      <c r="B86" s="396" t="s">
        <v>877</v>
      </c>
      <c r="C86" s="44">
        <v>0</v>
      </c>
      <c r="D86" s="44"/>
      <c r="E86" s="44">
        <f t="shared" si="1"/>
        <v>0</v>
      </c>
    </row>
    <row r="87" spans="2:7" ht="15" x14ac:dyDescent="0.2">
      <c r="B87" s="742" t="s">
        <v>957</v>
      </c>
      <c r="C87" s="40">
        <v>1600</v>
      </c>
      <c r="D87" s="40"/>
      <c r="E87" s="44">
        <f t="shared" si="1"/>
        <v>1600</v>
      </c>
    </row>
    <row r="88" spans="2:7" ht="32.25" thickBot="1" x14ac:dyDescent="0.3">
      <c r="B88" s="731" t="s">
        <v>939</v>
      </c>
      <c r="C88" s="45">
        <f>SUM(C77:C87)</f>
        <v>154526</v>
      </c>
      <c r="D88" s="45">
        <f>SUM(D77:D87)</f>
        <v>1400</v>
      </c>
      <c r="E88" s="45">
        <f>SUM(E77:E87)</f>
        <v>155926</v>
      </c>
    </row>
    <row r="89" spans="2:7" ht="21" customHeight="1" x14ac:dyDescent="0.2">
      <c r="B89" s="57" t="s">
        <v>315</v>
      </c>
      <c r="C89" s="556"/>
      <c r="D89" s="556"/>
      <c r="E89" s="556"/>
    </row>
    <row r="90" spans="2:7" ht="15" x14ac:dyDescent="0.2">
      <c r="B90" s="87" t="s">
        <v>1</v>
      </c>
      <c r="C90" s="132">
        <v>2000</v>
      </c>
      <c r="D90" s="132"/>
      <c r="E90" s="44">
        <f>C90+D90</f>
        <v>2000</v>
      </c>
    </row>
    <row r="91" spans="2:7" ht="15" x14ac:dyDescent="0.2">
      <c r="B91" s="87" t="s">
        <v>451</v>
      </c>
      <c r="C91" s="132">
        <v>222</v>
      </c>
      <c r="D91" s="132">
        <v>46</v>
      </c>
      <c r="E91" s="132">
        <f>SUM(C91:D91)</f>
        <v>268</v>
      </c>
    </row>
    <row r="92" spans="2:7" ht="21" customHeight="1" thickBot="1" x14ac:dyDescent="0.3">
      <c r="B92" s="79" t="s">
        <v>264</v>
      </c>
      <c r="C92" s="45">
        <f>+C91+C90</f>
        <v>2222</v>
      </c>
      <c r="D92" s="45">
        <f>+D91+D90</f>
        <v>46</v>
      </c>
      <c r="E92" s="45">
        <f>+E91+E90</f>
        <v>2268</v>
      </c>
    </row>
    <row r="93" spans="2:7" ht="21" customHeight="1" thickBot="1" x14ac:dyDescent="0.3">
      <c r="B93" s="79" t="s">
        <v>313</v>
      </c>
      <c r="C93" s="45">
        <f>C88+C92</f>
        <v>156748</v>
      </c>
      <c r="D93" s="45">
        <f>D88+D92</f>
        <v>1446</v>
      </c>
      <c r="E93" s="45">
        <f>E88+E92</f>
        <v>158194</v>
      </c>
    </row>
    <row r="94" spans="2:7" ht="21" customHeight="1" x14ac:dyDescent="0.25">
      <c r="B94" s="72" t="s">
        <v>333</v>
      </c>
      <c r="C94" s="557"/>
      <c r="D94" s="557"/>
      <c r="E94" s="557"/>
    </row>
    <row r="95" spans="2:7" ht="21" customHeight="1" x14ac:dyDescent="0.2">
      <c r="B95" s="66" t="s">
        <v>2</v>
      </c>
      <c r="C95" s="336">
        <v>105899</v>
      </c>
      <c r="D95" s="336"/>
      <c r="E95" s="44">
        <f>C95+D95</f>
        <v>105899</v>
      </c>
    </row>
    <row r="96" spans="2:7" ht="21" customHeight="1" x14ac:dyDescent="0.2">
      <c r="B96" s="55" t="s">
        <v>662</v>
      </c>
      <c r="C96" s="46">
        <v>4309</v>
      </c>
      <c r="D96" s="46"/>
      <c r="E96" s="46">
        <f>SUM(C96:D96)</f>
        <v>4309</v>
      </c>
    </row>
    <row r="97" spans="2:5" ht="21" customHeight="1" thickBot="1" x14ac:dyDescent="0.3">
      <c r="B97" s="337" t="s">
        <v>353</v>
      </c>
      <c r="C97" s="52">
        <f>SUM(C95:C96)</f>
        <v>110208</v>
      </c>
      <c r="D97" s="52">
        <f>SUM(D95:D96)</f>
        <v>0</v>
      </c>
      <c r="E97" s="52">
        <f>SUM(E95:E96)</f>
        <v>110208</v>
      </c>
    </row>
    <row r="98" spans="2:5" ht="21" customHeight="1" thickBot="1" x14ac:dyDescent="0.3">
      <c r="B98" s="79" t="s">
        <v>314</v>
      </c>
      <c r="C98" s="45">
        <f>C97</f>
        <v>110208</v>
      </c>
      <c r="D98" s="45">
        <f>D97</f>
        <v>0</v>
      </c>
      <c r="E98" s="45">
        <f>E97</f>
        <v>110208</v>
      </c>
    </row>
    <row r="99" spans="2:5" ht="21" customHeight="1" thickBot="1" x14ac:dyDescent="0.3">
      <c r="B99" s="79" t="s">
        <v>209</v>
      </c>
      <c r="C99" s="45">
        <f>C75+C93+C98+C65</f>
        <v>302276</v>
      </c>
      <c r="D99" s="45">
        <f>D75+D93+D98+D65</f>
        <v>-4432</v>
      </c>
      <c r="E99" s="45">
        <f>E75+E93+E98+E65</f>
        <v>297844</v>
      </c>
    </row>
    <row r="100" spans="2:5" ht="21" customHeight="1" thickBot="1" x14ac:dyDescent="0.3">
      <c r="B100" s="79" t="s">
        <v>527</v>
      </c>
      <c r="C100" s="45">
        <f>C62+C99</f>
        <v>3035941</v>
      </c>
      <c r="D100" s="45">
        <f>D62+D99</f>
        <v>114882</v>
      </c>
      <c r="E100" s="45">
        <f>E62+E99</f>
        <v>3150823</v>
      </c>
    </row>
    <row r="102" spans="2:5" ht="21" customHeight="1" thickBot="1" x14ac:dyDescent="0.35">
      <c r="B102" s="74" t="s">
        <v>139</v>
      </c>
      <c r="C102" s="225"/>
      <c r="D102" s="225"/>
      <c r="E102" s="302"/>
    </row>
    <row r="103" spans="2:5" ht="21" customHeight="1" x14ac:dyDescent="0.25">
      <c r="B103" s="3" t="s">
        <v>303</v>
      </c>
      <c r="C103" s="529" t="s">
        <v>923</v>
      </c>
      <c r="D103" s="529" t="s">
        <v>863</v>
      </c>
      <c r="E103" s="529" t="s">
        <v>955</v>
      </c>
    </row>
    <row r="104" spans="2:5" ht="21" customHeight="1" thickBot="1" x14ac:dyDescent="0.3">
      <c r="B104" s="17"/>
      <c r="C104" s="395" t="s">
        <v>635</v>
      </c>
      <c r="D104" s="395" t="s">
        <v>864</v>
      </c>
      <c r="E104" s="395" t="s">
        <v>635</v>
      </c>
    </row>
    <row r="105" spans="2:5" ht="21.95" customHeight="1" x14ac:dyDescent="0.2">
      <c r="B105" s="147" t="s">
        <v>237</v>
      </c>
      <c r="C105" s="44">
        <v>18858</v>
      </c>
      <c r="D105" s="44">
        <v>-18858</v>
      </c>
      <c r="E105" s="44">
        <f>SUM(C105:D105)</f>
        <v>0</v>
      </c>
    </row>
    <row r="106" spans="2:5" ht="21.95" customHeight="1" x14ac:dyDescent="0.2">
      <c r="B106" s="55" t="s">
        <v>98</v>
      </c>
      <c r="C106" s="44">
        <v>2000</v>
      </c>
      <c r="D106" s="44">
        <v>18858</v>
      </c>
      <c r="E106" s="44">
        <f>SUM(C106:D106)</f>
        <v>20858</v>
      </c>
    </row>
    <row r="107" spans="2:5" ht="21.95" customHeight="1" thickBot="1" x14ac:dyDescent="0.3">
      <c r="B107" s="81" t="s">
        <v>887</v>
      </c>
      <c r="C107" s="552"/>
      <c r="D107" s="40"/>
      <c r="E107" s="44">
        <f>SUM(C107:D107)</f>
        <v>0</v>
      </c>
    </row>
    <row r="108" spans="2:5" ht="21.95" customHeight="1" thickBot="1" x14ac:dyDescent="0.3">
      <c r="B108" s="61" t="s">
        <v>99</v>
      </c>
      <c r="C108" s="407">
        <f>SUM(C105:C107)</f>
        <v>20858</v>
      </c>
      <c r="D108" s="407">
        <f>SUM(D105:D107)</f>
        <v>0</v>
      </c>
      <c r="E108" s="407">
        <f>SUM(E105:E107)</f>
        <v>20858</v>
      </c>
    </row>
    <row r="109" spans="2:5" ht="21.95" customHeight="1" x14ac:dyDescent="0.2">
      <c r="B109" s="80" t="s">
        <v>149</v>
      </c>
      <c r="C109" s="558"/>
      <c r="D109" s="394">
        <v>999</v>
      </c>
      <c r="E109" s="394">
        <f>SUM(C109:D109)</f>
        <v>999</v>
      </c>
    </row>
    <row r="110" spans="2:5" ht="21.95" customHeight="1" x14ac:dyDescent="0.2">
      <c r="B110" s="109" t="s">
        <v>233</v>
      </c>
      <c r="C110" s="559"/>
      <c r="D110" s="103">
        <f>2999-999</f>
        <v>2000</v>
      </c>
      <c r="E110" s="394">
        <f>SUM(C110:D110)</f>
        <v>2000</v>
      </c>
    </row>
    <row r="111" spans="2:5" ht="21.95" customHeight="1" thickBot="1" x14ac:dyDescent="0.3">
      <c r="B111" s="81" t="s">
        <v>888</v>
      </c>
      <c r="C111" s="560"/>
      <c r="D111" s="393"/>
      <c r="E111" s="394">
        <f>SUM(C111:D111)</f>
        <v>0</v>
      </c>
    </row>
    <row r="112" spans="2:5" ht="21.95" customHeight="1" thickBot="1" x14ac:dyDescent="0.3">
      <c r="B112" s="82" t="s">
        <v>174</v>
      </c>
      <c r="C112" s="408">
        <f>SUM(C109:C111)</f>
        <v>0</v>
      </c>
      <c r="D112" s="408">
        <f>SUM(D109:D111)</f>
        <v>2999</v>
      </c>
      <c r="E112" s="408">
        <f>SUM(E109:E111)</f>
        <v>2999</v>
      </c>
    </row>
    <row r="113" spans="2:5" ht="21.95" customHeight="1" x14ac:dyDescent="0.2">
      <c r="B113" s="80" t="s">
        <v>238</v>
      </c>
      <c r="C113" s="394">
        <v>20327</v>
      </c>
      <c r="D113" s="394"/>
      <c r="E113" s="394">
        <f>SUM(C113:D113)</f>
        <v>20327</v>
      </c>
    </row>
    <row r="114" spans="2:5" ht="21.95" customHeight="1" x14ac:dyDescent="0.2">
      <c r="B114" s="109" t="s">
        <v>143</v>
      </c>
      <c r="C114" s="559"/>
      <c r="D114" s="103">
        <f>11000-11000</f>
        <v>0</v>
      </c>
      <c r="E114" s="394">
        <f>SUM(C114:D114)</f>
        <v>0</v>
      </c>
    </row>
    <row r="115" spans="2:5" ht="21.95" customHeight="1" thickBot="1" x14ac:dyDescent="0.25">
      <c r="B115" s="81" t="s">
        <v>889</v>
      </c>
      <c r="C115" s="560"/>
      <c r="D115" s="393"/>
      <c r="E115" s="394">
        <f>SUM(C115:D115)</f>
        <v>0</v>
      </c>
    </row>
    <row r="116" spans="2:5" ht="21.95" customHeight="1" thickBot="1" x14ac:dyDescent="0.3">
      <c r="B116" s="82" t="s">
        <v>154</v>
      </c>
      <c r="C116" s="408">
        <f>SUM(C113:C115)</f>
        <v>20327</v>
      </c>
      <c r="D116" s="408">
        <f>SUM(D113:D115)</f>
        <v>0</v>
      </c>
      <c r="E116" s="408">
        <f>SUM(E113:E115)</f>
        <v>20327</v>
      </c>
    </row>
    <row r="117" spans="2:5" ht="21.95" customHeight="1" x14ac:dyDescent="0.2">
      <c r="B117" s="66" t="s">
        <v>239</v>
      </c>
      <c r="C117" s="40">
        <v>20733</v>
      </c>
      <c r="D117" s="40"/>
      <c r="E117" s="40">
        <f>SUM(C117:D117)</f>
        <v>20733</v>
      </c>
    </row>
    <row r="118" spans="2:5" ht="21.95" customHeight="1" x14ac:dyDescent="0.2">
      <c r="B118" s="55" t="s">
        <v>521</v>
      </c>
      <c r="C118" s="46">
        <v>0</v>
      </c>
      <c r="D118" s="46"/>
      <c r="E118" s="46">
        <f>SUM(C118:D118)</f>
        <v>0</v>
      </c>
    </row>
    <row r="119" spans="2:5" ht="21.95" customHeight="1" thickBot="1" x14ac:dyDescent="0.3">
      <c r="B119" s="409" t="s">
        <v>890</v>
      </c>
      <c r="C119" s="410">
        <v>602</v>
      </c>
      <c r="D119" s="410"/>
      <c r="E119" s="40">
        <f>SUM(C119:D119)</f>
        <v>602</v>
      </c>
    </row>
    <row r="120" spans="2:5" ht="21.95" customHeight="1" thickBot="1" x14ac:dyDescent="0.3">
      <c r="B120" s="61" t="s">
        <v>191</v>
      </c>
      <c r="C120" s="407">
        <f>SUM(C117:C119)</f>
        <v>21335</v>
      </c>
      <c r="D120" s="407">
        <f>SUM(D117:D119)</f>
        <v>0</v>
      </c>
      <c r="E120" s="407">
        <f>SUM(E117:E119)</f>
        <v>21335</v>
      </c>
    </row>
    <row r="121" spans="2:5" ht="21.95" customHeight="1" x14ac:dyDescent="0.2">
      <c r="B121" s="69" t="s">
        <v>236</v>
      </c>
      <c r="C121" s="44">
        <v>7785</v>
      </c>
      <c r="D121" s="220">
        <f>2400+7000</f>
        <v>9400</v>
      </c>
      <c r="E121" s="220">
        <f>SUM(C121:D121)</f>
        <v>17185</v>
      </c>
    </row>
    <row r="122" spans="2:5" ht="21.95" customHeight="1" x14ac:dyDescent="0.25">
      <c r="B122" s="73" t="s">
        <v>551</v>
      </c>
      <c r="C122" s="108">
        <v>6100</v>
      </c>
      <c r="D122" s="108">
        <f>7000-7000</f>
        <v>0</v>
      </c>
      <c r="E122" s="220">
        <f>SUM(C122:D122)</f>
        <v>6100</v>
      </c>
    </row>
    <row r="123" spans="2:5" ht="21.95" customHeight="1" thickBot="1" x14ac:dyDescent="0.3">
      <c r="B123" s="81" t="s">
        <v>891</v>
      </c>
      <c r="C123" s="393">
        <v>0</v>
      </c>
      <c r="D123" s="393"/>
      <c r="E123" s="220">
        <f>SUM(C123:D123)</f>
        <v>0</v>
      </c>
    </row>
    <row r="124" spans="2:5" ht="21.95" customHeight="1" thickBot="1" x14ac:dyDescent="0.3">
      <c r="B124" s="61" t="s">
        <v>290</v>
      </c>
      <c r="C124" s="411">
        <f>SUM(C121:C123)</f>
        <v>13885</v>
      </c>
      <c r="D124" s="411">
        <f>SUM(D121:D123)</f>
        <v>9400</v>
      </c>
      <c r="E124" s="407">
        <f>SUM(E121:E123)</f>
        <v>23285</v>
      </c>
    </row>
    <row r="125" spans="2:5" ht="21.95" customHeight="1" thickBot="1" x14ac:dyDescent="0.3">
      <c r="B125" s="8" t="s">
        <v>554</v>
      </c>
      <c r="C125" s="146">
        <f>C108+C112+C116+C120+C124</f>
        <v>76405</v>
      </c>
      <c r="D125" s="51">
        <f>D108+D112+D116+D120+D124</f>
        <v>12399</v>
      </c>
      <c r="E125" s="51">
        <f>E108+E112+E116+E120+E124</f>
        <v>88804</v>
      </c>
    </row>
    <row r="126" spans="2:5" ht="21" customHeight="1" thickBot="1" x14ac:dyDescent="0.3">
      <c r="B126" s="77"/>
      <c r="C126" s="561"/>
      <c r="D126" s="48"/>
      <c r="E126" s="48"/>
    </row>
    <row r="127" spans="2:5" ht="21" customHeight="1" thickBot="1" x14ac:dyDescent="0.3">
      <c r="B127" s="344" t="s">
        <v>533</v>
      </c>
      <c r="C127" s="138">
        <f>+C125+C100</f>
        <v>3112346</v>
      </c>
      <c r="D127" s="42">
        <f>+D125+D100</f>
        <v>127281</v>
      </c>
      <c r="E127" s="42">
        <f>+E125+E100</f>
        <v>3239627</v>
      </c>
    </row>
    <row r="129" spans="2:5" ht="21" customHeight="1" x14ac:dyDescent="0.25">
      <c r="B129" s="9" t="s">
        <v>129</v>
      </c>
      <c r="C129" s="18"/>
      <c r="D129" s="18"/>
      <c r="E129" s="297"/>
    </row>
    <row r="130" spans="2:5" ht="21" customHeight="1" x14ac:dyDescent="0.25">
      <c r="B130" s="9" t="s">
        <v>130</v>
      </c>
      <c r="C130" s="18"/>
      <c r="D130" s="18"/>
      <c r="E130" s="18"/>
    </row>
    <row r="131" spans="2:5" ht="21" customHeight="1" x14ac:dyDescent="0.25">
      <c r="B131" s="110" t="s">
        <v>257</v>
      </c>
      <c r="C131" s="111"/>
      <c r="D131" s="111"/>
      <c r="E131" s="111"/>
    </row>
    <row r="132" spans="2:5" ht="21" customHeight="1" x14ac:dyDescent="0.2">
      <c r="B132" s="112" t="s">
        <v>109</v>
      </c>
      <c r="C132" s="112">
        <f>C12+C108</f>
        <v>564752</v>
      </c>
      <c r="D132" s="112">
        <f>D12+D108</f>
        <v>11772</v>
      </c>
      <c r="E132" s="112">
        <f>E12+E108</f>
        <v>576524</v>
      </c>
    </row>
    <row r="133" spans="2:5" ht="21" customHeight="1" x14ac:dyDescent="0.2">
      <c r="B133" s="112" t="s">
        <v>169</v>
      </c>
      <c r="C133" s="112">
        <f>C18+C112</f>
        <v>151566</v>
      </c>
      <c r="D133" s="112">
        <f>D18+D112</f>
        <v>21035</v>
      </c>
      <c r="E133" s="112">
        <f>E18+E112</f>
        <v>172601</v>
      </c>
    </row>
    <row r="134" spans="2:5" ht="21" customHeight="1" x14ac:dyDescent="0.2">
      <c r="B134" s="112" t="s">
        <v>170</v>
      </c>
      <c r="C134" s="112">
        <f>C23+C116</f>
        <v>599406</v>
      </c>
      <c r="D134" s="112">
        <f>D23+D116</f>
        <v>12412</v>
      </c>
      <c r="E134" s="112">
        <f>E23+E116</f>
        <v>611818</v>
      </c>
    </row>
    <row r="135" spans="2:5" ht="21" customHeight="1" x14ac:dyDescent="0.2">
      <c r="B135" s="112" t="s">
        <v>193</v>
      </c>
      <c r="C135" s="112">
        <f>C28+C120</f>
        <v>442615</v>
      </c>
      <c r="D135" s="112">
        <f>D28+D120</f>
        <v>7076</v>
      </c>
      <c r="E135" s="112">
        <f>E28+E120</f>
        <v>449691</v>
      </c>
    </row>
    <row r="136" spans="2:5" ht="21" customHeight="1" x14ac:dyDescent="0.2">
      <c r="B136" s="112" t="s">
        <v>192</v>
      </c>
      <c r="C136" s="112">
        <f>C33+C124</f>
        <v>598430</v>
      </c>
      <c r="D136" s="112">
        <f>D33+D124</f>
        <v>79418</v>
      </c>
      <c r="E136" s="112">
        <f>E33+E124</f>
        <v>677848</v>
      </c>
    </row>
    <row r="138" spans="2:5" ht="21" customHeight="1" x14ac:dyDescent="0.2">
      <c r="B138" s="402"/>
      <c r="C138" s="4">
        <f>SUM(C132:C137)</f>
        <v>2356769</v>
      </c>
      <c r="D138" s="4">
        <f>SUM(D132:D137)</f>
        <v>131713</v>
      </c>
      <c r="E138" s="4">
        <f>SUM(E132:E137)</f>
        <v>2488482</v>
      </c>
    </row>
    <row r="139" spans="2:5" ht="21" customHeight="1" x14ac:dyDescent="0.2">
      <c r="B139" s="402"/>
      <c r="C139" s="402"/>
    </row>
    <row r="140" spans="2:5" ht="21" customHeight="1" x14ac:dyDescent="0.2">
      <c r="B140" s="402"/>
      <c r="C140" s="402"/>
    </row>
    <row r="141" spans="2:5" ht="21" customHeight="1" x14ac:dyDescent="0.2">
      <c r="B141" s="402"/>
      <c r="C141" s="402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B2:E2"/>
  </mergeCells>
  <phoneticPr fontId="0" type="noConversion"/>
  <printOptions horizontalCentered="1" verticalCentered="1"/>
  <pageMargins left="0.39370078740157483" right="0.39370078740157483" top="0" bottom="0" header="0.51181102362204722" footer="0"/>
  <pageSetup paperSize="9" scale="50" orientation="portrait" r:id="rId3"/>
  <headerFooter alignWithMargins="0">
    <oddHeader xml:space="preserve">&amp;R&amp;"Times New Roman CE,Félkövér"&amp;12 9. melléklet a …./2019. (…….) önkormányzati rendelethez
„9. melléklet a 5/2019. (IV. 1.) önkormányzati rendelethez”
</oddHeader>
  </headerFooter>
  <rowBreaks count="2" manualBreakCount="2">
    <brk id="75" min="1" max="4" man="1"/>
    <brk id="13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27</vt:i4>
      </vt:variant>
    </vt:vector>
  </HeadingPairs>
  <TitlesOfParts>
    <vt:vector size="48" baseType="lpstr">
      <vt:lpstr>1 kiemelt ei. </vt:lpstr>
      <vt:lpstr>2 mérleg</vt:lpstr>
      <vt:lpstr>3 működési bevételek</vt:lpstr>
      <vt:lpstr>4 intézményi bevétel</vt:lpstr>
      <vt:lpstr>5 normatíva</vt:lpstr>
      <vt:lpstr>6 intézményi kiadás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18A nevesített utcák</vt:lpstr>
      <vt:lpstr>19 ei felh. terv bevétel</vt:lpstr>
      <vt:lpstr>19 ei. felh.terv kiadás</vt:lpstr>
      <vt:lpstr>'13 egyéb'!Nyomtatási_cím</vt:lpstr>
      <vt:lpstr>'17 felhalm.bevétel '!Nyomtatási_cím</vt:lpstr>
      <vt:lpstr>'18 felhalm.kiadás'!Nyomtatási_cím</vt:lpstr>
      <vt:lpstr>'3 működési bevételek'!Nyomtatási_cím</vt:lpstr>
      <vt:lpstr>'7 létszám'!Nyomtatási_cím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'18A nevesített utcák'!Nyomtatási_terület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bevétel'!Nyomtatási_terület</vt:lpstr>
      <vt:lpstr>'5 normatíva'!Nyomtatási_terület</vt:lpstr>
      <vt:lpstr>'6 intézményi kiadás'!Nyomtatási_terület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2019-11-20T11:47:45Z</cp:lastPrinted>
  <dcterms:created xsi:type="dcterms:W3CDTF">1998-01-10T07:52:54Z</dcterms:created>
  <dcterms:modified xsi:type="dcterms:W3CDTF">2019-11-20T16:38:05Z</dcterms:modified>
</cp:coreProperties>
</file>