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enzugy\2018\BESZAMOL\"/>
    </mc:Choice>
  </mc:AlternateContent>
  <xr:revisionPtr revIDLastSave="0" documentId="13_ncr:1_{E5406C49-51B6-48F8-96ED-9955B7718E68}" xr6:coauthVersionLast="43" xr6:coauthVersionMax="43" xr10:uidLastSave="{00000000-0000-0000-0000-000000000000}"/>
  <bookViews>
    <workbookView xWindow="-120" yWindow="-120" windowWidth="29040" windowHeight="15840" tabRatio="597" xr2:uid="{00000000-000D-0000-FFFF-FFFF00000000}"/>
  </bookViews>
  <sheets>
    <sheet name="1 kiemelt előirányzatok telj. " sheetId="47" r:id="rId1"/>
    <sheet name="2 mérleg " sheetId="41" r:id="rId2"/>
    <sheet name="3 bev.részl" sheetId="39" r:id="rId3"/>
    <sheet name="4 int bevétel" sheetId="61" r:id="rId4"/>
    <sheet name="5 normatíva" sheetId="60" r:id="rId5"/>
    <sheet name="6 int kiadás" sheetId="62" r:id="rId6"/>
    <sheet name="7.létszám ei zárás 2018 év" sheetId="59" r:id="rId7"/>
    <sheet name="8 okt." sheetId="9" r:id="rId8"/>
    <sheet name="9 kult." sheetId="36" r:id="rId9"/>
    <sheet name="10 szoc." sheetId="11" r:id="rId10"/>
    <sheet name="11 eü." sheetId="12" r:id="rId11"/>
    <sheet name="12 Gyerm." sheetId="13" r:id="rId12"/>
    <sheet name="13 egyéb" sheetId="14" r:id="rId13"/>
    <sheet name="14 sport" sheetId="22" r:id="rId14"/>
    <sheet name="15 város.ü.,körny" sheetId="24" r:id="rId15"/>
    <sheet name="16 út-híd" sheetId="25" r:id="rId16"/>
    <sheet name="17 fbev." sheetId="40" r:id="rId17"/>
    <sheet name="18 fkia." sheetId="43" r:id="rId18"/>
    <sheet name="19 pénzeszkváltsa" sheetId="48" r:id="rId19"/>
    <sheet name="20 közvetett támogatás" sheetId="49" r:id="rId20"/>
    <sheet name="21 Eu projektek" sheetId="50" r:id="rId21"/>
    <sheet name="22 többév1" sheetId="51" r:id="rId22"/>
    <sheet name="23 eszközök" sheetId="52" r:id="rId23"/>
    <sheet name="24 források" sheetId="53" r:id="rId24"/>
    <sheet name="25 lakásalapelsz" sheetId="54" r:id="rId25"/>
    <sheet name="26 segély " sheetId="55" r:id="rId26"/>
    <sheet name="27 kataszter" sheetId="56" r:id="rId27"/>
    <sheet name="28 vagyonkimutatás " sheetId="57" r:id="rId28"/>
    <sheet name="29 felhalmozás" sheetId="63" r:id="rId29"/>
    <sheet name="30 felújítás" sheetId="64" r:id="rId30"/>
    <sheet name="31 Részesedések" sheetId="58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besz" localSheetId="0">#REF!</definedName>
    <definedName name="besz" localSheetId="17">#REF!</definedName>
    <definedName name="besz" localSheetId="30">#REF!</definedName>
    <definedName name="besz">#REF!</definedName>
    <definedName name="bk" localSheetId="0">#REF!</definedName>
    <definedName name="bk" localSheetId="17">#REF!</definedName>
    <definedName name="bk" localSheetId="6">#REF!</definedName>
    <definedName name="bk">#REF!</definedName>
    <definedName name="cel_c" localSheetId="0">#REF!</definedName>
    <definedName name="cel_c" localSheetId="17">#REF!</definedName>
    <definedName name="cel_c">#REF!</definedName>
    <definedName name="cel_g" localSheetId="0">#REF!</definedName>
    <definedName name="cel_g" localSheetId="17">#REF!</definedName>
    <definedName name="cel_g">#REF!</definedName>
    <definedName name="cel_k" localSheetId="17">#REF!</definedName>
    <definedName name="cel_k">#REF!</definedName>
    <definedName name="cel_m" localSheetId="17">#REF!</definedName>
    <definedName name="cel_m">#REF!</definedName>
    <definedName name="cel_p" localSheetId="17">#REF!</definedName>
    <definedName name="cel_p">#REF!</definedName>
    <definedName name="css" localSheetId="0">#REF!</definedName>
    <definedName name="css" localSheetId="16">#REF!</definedName>
    <definedName name="css" localSheetId="17">#REF!</definedName>
    <definedName name="css" localSheetId="1">#REF!</definedName>
    <definedName name="css" localSheetId="2">#REF!</definedName>
    <definedName name="css" localSheetId="4">#REF!</definedName>
    <definedName name="css" localSheetId="6">#REF!</definedName>
    <definedName name="css" localSheetId="8">#REF!</definedName>
    <definedName name="css">#REF!</definedName>
    <definedName name="css_k" localSheetId="0">[1]Családsegítés!$C$27:$C$86</definedName>
    <definedName name="css_k" localSheetId="4">[2]Családsegítés!$C$27:$C$86</definedName>
    <definedName name="css_k">[2]Családsegítés!$C$27:$C$86</definedName>
    <definedName name="css_k_" localSheetId="0">#REF!</definedName>
    <definedName name="css_k_" localSheetId="16">#REF!</definedName>
    <definedName name="css_k_" localSheetId="17">#REF!</definedName>
    <definedName name="css_k_" localSheetId="1">#REF!</definedName>
    <definedName name="css_k_" localSheetId="2">#REF!</definedName>
    <definedName name="css_k_" localSheetId="4">#REF!</definedName>
    <definedName name="css_k_" localSheetId="6">#REF!</definedName>
    <definedName name="css_k_" localSheetId="8">#REF!</definedName>
    <definedName name="css_k_">#REF!</definedName>
    <definedName name="d" localSheetId="17">#REF!</definedName>
    <definedName name="d">#REF!</definedName>
    <definedName name="eredetiköltségvetés2017" localSheetId="4">#REF!</definedName>
    <definedName name="eredetiköltségvetés2017">#REF!</definedName>
    <definedName name="ffff" localSheetId="0">#REF!</definedName>
    <definedName name="ffff" localSheetId="17">#REF!</definedName>
    <definedName name="ffff">#REF!</definedName>
    <definedName name="g" localSheetId="0">#REF!</definedName>
    <definedName name="g" localSheetId="17">#REF!</definedName>
    <definedName name="g">#REF!</definedName>
    <definedName name="gyj" localSheetId="0">#REF!</definedName>
    <definedName name="gyj" localSheetId="16">#REF!</definedName>
    <definedName name="gyj" localSheetId="17">#REF!</definedName>
    <definedName name="gyj" localSheetId="1">#REF!</definedName>
    <definedName name="gyj" localSheetId="2">#REF!</definedName>
    <definedName name="gyj" localSheetId="4">#REF!</definedName>
    <definedName name="gyj" localSheetId="6">#REF!</definedName>
    <definedName name="gyj" localSheetId="8">#REF!</definedName>
    <definedName name="gyj">#REF!</definedName>
    <definedName name="gyj_k" localSheetId="0">[1]Gyermekjóléti!$C$27:$C$86</definedName>
    <definedName name="gyj_k" localSheetId="4">[2]Gyermekjóléti!$C$27:$C$86</definedName>
    <definedName name="gyj_k">[2]Gyermekjóléti!$C$27:$C$86</definedName>
    <definedName name="gyj_k_" localSheetId="0">#REF!</definedName>
    <definedName name="gyj_k_" localSheetId="16">#REF!</definedName>
    <definedName name="gyj_k_" localSheetId="17">#REF!</definedName>
    <definedName name="gyj_k_" localSheetId="1">#REF!</definedName>
    <definedName name="gyj_k_" localSheetId="2">#REF!</definedName>
    <definedName name="gyj_k_" localSheetId="4">#REF!</definedName>
    <definedName name="gyj_k_" localSheetId="6">#REF!</definedName>
    <definedName name="gyj_k_" localSheetId="8">#REF!</definedName>
    <definedName name="gyj_k_">#REF!</definedName>
    <definedName name="gyj_kl" localSheetId="0">#REF!</definedName>
    <definedName name="gyj_kl" localSheetId="17">#REF!</definedName>
    <definedName name="gyj_kl">#REF!</definedName>
    <definedName name="k" localSheetId="17">#REF!</definedName>
    <definedName name="k">#REF!</definedName>
    <definedName name="kjz" localSheetId="0">#REF!</definedName>
    <definedName name="kjz" localSheetId="16">#REF!</definedName>
    <definedName name="kjz" localSheetId="17">#REF!</definedName>
    <definedName name="kjz" localSheetId="1">#REF!</definedName>
    <definedName name="kjz" localSheetId="2">#REF!</definedName>
    <definedName name="kjz" localSheetId="4">#REF!</definedName>
    <definedName name="kjz" localSheetId="6">#REF!</definedName>
    <definedName name="kjz" localSheetId="8">#REF!</definedName>
    <definedName name="kjz">#REF!</definedName>
    <definedName name="kjz_k" localSheetId="0">[1]körjegyzőség!$C$9:$C$28</definedName>
    <definedName name="kjz_k" localSheetId="4">[2]körjegyzőség!$C$9:$C$28</definedName>
    <definedName name="kjz_k">[2]körjegyzőség!$C$9:$C$28</definedName>
    <definedName name="kjz_k_" localSheetId="0">#REF!</definedName>
    <definedName name="kjz_k_" localSheetId="16">#REF!</definedName>
    <definedName name="kjz_k_" localSheetId="17">#REF!</definedName>
    <definedName name="kjz_k_" localSheetId="1">#REF!</definedName>
    <definedName name="kjz_k_" localSheetId="2">#REF!</definedName>
    <definedName name="kjz_k_" localSheetId="4">#REF!</definedName>
    <definedName name="kjz_k_" localSheetId="6">#REF!</definedName>
    <definedName name="kjz_k_" localSheetId="8">#REF!</definedName>
    <definedName name="kjz_k_">#REF!</definedName>
    <definedName name="klj" localSheetId="17">#REF!</definedName>
    <definedName name="klj">#REF!</definedName>
    <definedName name="klj_k_" localSheetId="17">#REF!</definedName>
    <definedName name="klj_k_">#REF!</definedName>
    <definedName name="nev_b" localSheetId="4">#REF!</definedName>
    <definedName name="nev_b">#REF!</definedName>
    <definedName name="nev_c" localSheetId="0">#REF!</definedName>
    <definedName name="nev_c" localSheetId="16">#REF!</definedName>
    <definedName name="nev_c" localSheetId="17">#REF!</definedName>
    <definedName name="nev_c" localSheetId="1">#REF!</definedName>
    <definedName name="nev_c" localSheetId="2">#REF!</definedName>
    <definedName name="nev_c" localSheetId="4">#REF!</definedName>
    <definedName name="nev_c" localSheetId="6">#REF!</definedName>
    <definedName name="nev_c" localSheetId="8">#REF!</definedName>
    <definedName name="nev_c">#REF!</definedName>
    <definedName name="nev_g" localSheetId="0">#REF!</definedName>
    <definedName name="nev_g" localSheetId="16">#REF!</definedName>
    <definedName name="nev_g" localSheetId="17">#REF!</definedName>
    <definedName name="nev_g" localSheetId="1">#REF!</definedName>
    <definedName name="nev_g" localSheetId="2">#REF!</definedName>
    <definedName name="nev_g" localSheetId="4">#REF!</definedName>
    <definedName name="nev_g" localSheetId="6">#REF!</definedName>
    <definedName name="nev_g" localSheetId="8">#REF!</definedName>
    <definedName name="nev_g">#REF!</definedName>
    <definedName name="nev_k" localSheetId="0">#REF!</definedName>
    <definedName name="nev_k" localSheetId="16">#REF!</definedName>
    <definedName name="nev_k" localSheetId="17">#REF!</definedName>
    <definedName name="nev_k" localSheetId="1">#REF!</definedName>
    <definedName name="nev_k" localSheetId="2">#REF!</definedName>
    <definedName name="nev_k" localSheetId="4">#REF!</definedName>
    <definedName name="nev_k" localSheetId="6">#REF!</definedName>
    <definedName name="nev_k" localSheetId="8">#REF!</definedName>
    <definedName name="nev_k">#REF!</definedName>
    <definedName name="normatíva">[3]Családsegítés!$C$27:$C$86</definedName>
    <definedName name="_xlnm.Print_Titles" localSheetId="16">'17 fbev.'!$2:$4</definedName>
    <definedName name="_xlnm.Print_Titles" localSheetId="17">'18 fkia.'!$1:$5</definedName>
    <definedName name="_xlnm.Print_Titles" localSheetId="18">'19 pénzeszkváltsa'!$6:$8</definedName>
    <definedName name="_xlnm.Print_Titles" localSheetId="28">'29 felhalmozás'!$6:$7</definedName>
    <definedName name="_xlnm.Print_Titles" localSheetId="2">'3 bev.részl'!$4:$6</definedName>
    <definedName name="_xlnm.Print_Titles" localSheetId="29">'30 felújítás'!$6:$7</definedName>
    <definedName name="_xlnm.Print_Titles" localSheetId="6">'7.létszám ei zárás 2018 év'!$1:$7</definedName>
    <definedName name="_xlnm.Print_Titles" localSheetId="8">'9 kult.'!$5:$7</definedName>
    <definedName name="_xlnm.Print_Area" localSheetId="0">'1 kiemelt előirányzatok telj. '!$A$1:$K$23</definedName>
    <definedName name="_xlnm.Print_Area" localSheetId="9">'10 szoc.'!$B$1:$F$42</definedName>
    <definedName name="_xlnm.Print_Area" localSheetId="10">'11 eü.'!$B$2:$F$34</definedName>
    <definedName name="_xlnm.Print_Area" localSheetId="11">'12 Gyerm.'!$B$2:$F$24</definedName>
    <definedName name="_xlnm.Print_Area" localSheetId="12">'13 egyéb'!$B$2:$F$105</definedName>
    <definedName name="_xlnm.Print_Area" localSheetId="13">'14 sport'!$B$2:$F$36</definedName>
    <definedName name="_xlnm.Print_Area" localSheetId="14">'15 város.ü.,körny'!$B$2:$J$31</definedName>
    <definedName name="_xlnm.Print_Area" localSheetId="15">'16 út-híd'!$B$1:$F$30</definedName>
    <definedName name="_xlnm.Print_Area" localSheetId="16">'17 fbev.'!$B$1:$G$66</definedName>
    <definedName name="_xlnm.Print_Area" localSheetId="17">'18 fkia.'!$B$2:$G$147</definedName>
    <definedName name="_xlnm.Print_Area" localSheetId="18">'19 pénzeszkváltsa'!$B$1:$C$14</definedName>
    <definedName name="_xlnm.Print_Area" localSheetId="1">'2 mérleg '!$A$2:$M$56</definedName>
    <definedName name="_xlnm.Print_Area" localSheetId="19">'20 közvetett támogatás'!$A$1:$C$24</definedName>
    <definedName name="_xlnm.Print_Area" localSheetId="20">'21 Eu projektek'!$B$1:$D$113</definedName>
    <definedName name="_xlnm.Print_Area" localSheetId="21">'22 többév1'!$B$1:$H$31</definedName>
    <definedName name="_xlnm.Print_Area" localSheetId="22">'23 eszközök'!$B$4:$G$139</definedName>
    <definedName name="_xlnm.Print_Area" localSheetId="23">'24 források'!$B$2:$G$76</definedName>
    <definedName name="_xlnm.Print_Area" localSheetId="24">'25 lakásalapelsz'!$B$3:$F$204</definedName>
    <definedName name="_xlnm.Print_Area" localSheetId="25">'26 segély '!$B$3:$G$22</definedName>
    <definedName name="_xlnm.Print_Area" localSheetId="26">'27 kataszter'!$A$2:$K$38</definedName>
    <definedName name="_xlnm.Print_Area" localSheetId="27">'28 vagyonkimutatás '!$B$5:$G$111</definedName>
    <definedName name="_xlnm.Print_Area" localSheetId="28">'29 felhalmozás'!$B$3:$D$301</definedName>
    <definedName name="_xlnm.Print_Area" localSheetId="2">'3 bev.részl'!$B$1:$J$137</definedName>
    <definedName name="_xlnm.Print_Area" localSheetId="29">'30 felújítás'!$B$3:$D$70</definedName>
    <definedName name="_xlnm.Print_Area" localSheetId="30">'31 Részesedések'!$B$1:$J$32</definedName>
    <definedName name="_xlnm.Print_Area" localSheetId="3">'4 int bevétel'!$A$1:$BG$51</definedName>
    <definedName name="_xlnm.Print_Area" localSheetId="4">'5 normatíva'!$A$1:$E$61</definedName>
    <definedName name="_xlnm.Print_Area" localSheetId="5">'6 int kiadás'!$A$1:$AV$51</definedName>
    <definedName name="_xlnm.Print_Area" localSheetId="6">'7.létszám ei zárás 2018 év'!$A$1:$G$50</definedName>
    <definedName name="_xlnm.Print_Area" localSheetId="7">'8 okt.'!$B$1:$F$46</definedName>
    <definedName name="_xlnm.Print_Area" localSheetId="8">'9 kult.'!$B$1:$F$117</definedName>
    <definedName name="Projektek_2019ei">#REF!</definedName>
    <definedName name="rmI" localSheetId="4">#REF!</definedName>
    <definedName name="rmI">#REF!</definedName>
    <definedName name="x" localSheetId="0">#REF!</definedName>
    <definedName name="x" localSheetId="17">#REF!</definedName>
    <definedName name="x" localSheetId="4">#REF!</definedName>
    <definedName name="x" localSheetId="6">#REF!</definedName>
    <definedName name="x">#REF!</definedName>
    <definedName name="Z_186732C5_520C_4E06_B066_B4F3F0A3E322_.wvu.PrintArea" localSheetId="16" hidden="1">'17 fbev.'!$B$1:$C$51</definedName>
    <definedName name="Z_186732C5_520C_4E06_B066_B4F3F0A3E322_.wvu.PrintArea" localSheetId="1" hidden="1">'2 mérleg '!$A$2:$I$61</definedName>
    <definedName name="Z_186732C5_520C_4E06_B066_B4F3F0A3E322_.wvu.PrintArea" localSheetId="20" hidden="1">'21 Eu projektek'!$B$3:$C$32</definedName>
    <definedName name="Z_186732C5_520C_4E06_B066_B4F3F0A3E322_.wvu.PrintArea" localSheetId="2" hidden="1">'3 bev.részl'!$B$1:$F$137</definedName>
    <definedName name="Z_186732C5_520C_4E06_B066_B4F3F0A3E322_.wvu.PrintArea" localSheetId="8" hidden="1">'9 kult.'!$B$1:$B$97</definedName>
    <definedName name="Z_6D4B996F_8915_4E78_98C2_E7EAE9C4580C_.wvu.PrintArea" localSheetId="16" hidden="1">'17 fbev.'!$B$1:$C$51</definedName>
    <definedName name="Z_6D4B996F_8915_4E78_98C2_E7EAE9C4580C_.wvu.PrintArea" localSheetId="1" hidden="1">'2 mérleg '!$A$2:$I$61</definedName>
    <definedName name="Z_6D4B996F_8915_4E78_98C2_E7EAE9C4580C_.wvu.PrintArea" localSheetId="20" hidden="1">'21 Eu projektek'!$B$3:$C$32</definedName>
    <definedName name="Z_6D4B996F_8915_4E78_98C2_E7EAE9C4580C_.wvu.PrintArea" localSheetId="2" hidden="1">'3 bev.részl'!$B$1:$F$137</definedName>
    <definedName name="Z_6D4B996F_8915_4E78_98C2_E7EAE9C4580C_.wvu.PrintArea" localSheetId="8" hidden="1">'9 kult.'!$B$1:$B$97</definedName>
    <definedName name="Z_F05CDCE5_D631_41F9_80C7_3F3E8464BF12_.wvu.PrintArea" localSheetId="6" hidden="1">'7.létszám ei zárás 2018 év'!$A$1:$E$50</definedName>
    <definedName name="Z_F05CDCE5_D631_41F9_80C7_3F3E8464BF12_.wvu.PrintTitles" localSheetId="6" hidden="1">'7.létszám ei zárás 2018 év'!$1:$7</definedName>
  </definedNames>
  <calcPr calcId="181029"/>
</workbook>
</file>

<file path=xl/calcChain.xml><?xml version="1.0" encoding="utf-8"?>
<calcChain xmlns="http://schemas.openxmlformats.org/spreadsheetml/2006/main">
  <c r="G143" i="43" l="1"/>
  <c r="G95" i="43"/>
  <c r="G73" i="43"/>
  <c r="G67" i="43"/>
  <c r="G68" i="43"/>
  <c r="J20" i="24" l="1"/>
  <c r="M20" i="41" l="1"/>
  <c r="D69" i="64" l="1"/>
  <c r="D68" i="64"/>
  <c r="D67" i="64"/>
  <c r="D66" i="64"/>
  <c r="D64" i="64"/>
  <c r="D63" i="64"/>
  <c r="D62" i="64"/>
  <c r="D61" i="64"/>
  <c r="D60" i="64"/>
  <c r="D59" i="64"/>
  <c r="D58" i="64"/>
  <c r="D57" i="64"/>
  <c r="D56" i="64"/>
  <c r="D55" i="64"/>
  <c r="D53" i="64"/>
  <c r="D52" i="64"/>
  <c r="D51" i="64"/>
  <c r="D50" i="64"/>
  <c r="D49" i="64"/>
  <c r="D48" i="64"/>
  <c r="D46" i="64"/>
  <c r="D45" i="64"/>
  <c r="D44" i="64"/>
  <c r="D43" i="64"/>
  <c r="D39" i="64"/>
  <c r="D38" i="64"/>
  <c r="D37" i="64"/>
  <c r="D36" i="64"/>
  <c r="D35" i="64"/>
  <c r="D34" i="64"/>
  <c r="D33" i="64"/>
  <c r="D32" i="64"/>
  <c r="D31" i="64"/>
  <c r="D30" i="64"/>
  <c r="D29" i="64"/>
  <c r="D28" i="64"/>
  <c r="D27" i="64"/>
  <c r="D26" i="64"/>
  <c r="D25" i="64"/>
  <c r="D24" i="64"/>
  <c r="D23" i="64"/>
  <c r="D22" i="64"/>
  <c r="D21" i="64"/>
  <c r="D20" i="64"/>
  <c r="D19" i="64"/>
  <c r="D18" i="64"/>
  <c r="D17" i="64"/>
  <c r="D16" i="64"/>
  <c r="D15" i="64"/>
  <c r="D14" i="64"/>
  <c r="D13" i="64"/>
  <c r="D12" i="64"/>
  <c r="D11" i="64"/>
  <c r="D10" i="64"/>
  <c r="D9" i="64"/>
  <c r="D40" i="64" l="1"/>
  <c r="D70" i="64" s="1"/>
  <c r="D297" i="63"/>
  <c r="D296" i="63"/>
  <c r="D295" i="63"/>
  <c r="D294" i="63"/>
  <c r="D293" i="63"/>
  <c r="D292" i="63"/>
  <c r="D291" i="63"/>
  <c r="D290" i="63"/>
  <c r="D289" i="63"/>
  <c r="D288" i="63"/>
  <c r="D287" i="63"/>
  <c r="D286" i="63"/>
  <c r="D285" i="63"/>
  <c r="D284" i="63"/>
  <c r="D283" i="63"/>
  <c r="D282" i="63"/>
  <c r="D281" i="63"/>
  <c r="D280" i="63"/>
  <c r="D279" i="63"/>
  <c r="D276" i="63"/>
  <c r="D275" i="63"/>
  <c r="D274" i="63"/>
  <c r="D273" i="63"/>
  <c r="D272" i="63"/>
  <c r="D271" i="63"/>
  <c r="D270" i="63"/>
  <c r="D269" i="63"/>
  <c r="D268" i="63"/>
  <c r="D266" i="63"/>
  <c r="D265" i="63"/>
  <c r="D264" i="63"/>
  <c r="D263" i="63"/>
  <c r="D262" i="63"/>
  <c r="D261" i="63"/>
  <c r="D260" i="63"/>
  <c r="D259" i="63"/>
  <c r="D258" i="63"/>
  <c r="D257" i="63"/>
  <c r="D254" i="63"/>
  <c r="D253" i="63"/>
  <c r="D252" i="63"/>
  <c r="D251" i="63"/>
  <c r="D250" i="63"/>
  <c r="D249" i="63"/>
  <c r="D248" i="63"/>
  <c r="D247" i="63"/>
  <c r="D246" i="63"/>
  <c r="D245" i="63"/>
  <c r="D244" i="63"/>
  <c r="D243" i="63"/>
  <c r="D242" i="63"/>
  <c r="D241" i="63"/>
  <c r="D240" i="63"/>
  <c r="D239" i="63"/>
  <c r="D238" i="63"/>
  <c r="D237" i="63"/>
  <c r="D236" i="63"/>
  <c r="D235" i="63"/>
  <c r="D234" i="63"/>
  <c r="D233" i="63"/>
  <c r="D232" i="63"/>
  <c r="D231" i="63"/>
  <c r="D230" i="63"/>
  <c r="D229" i="63"/>
  <c r="D228" i="63"/>
  <c r="D227" i="63"/>
  <c r="D226" i="63"/>
  <c r="D225" i="63"/>
  <c r="D224" i="63"/>
  <c r="D223" i="63"/>
  <c r="D222" i="63"/>
  <c r="D221" i="63"/>
  <c r="D220" i="63"/>
  <c r="D219" i="63"/>
  <c r="D218" i="63"/>
  <c r="D217" i="63"/>
  <c r="D216" i="63"/>
  <c r="D215" i="63"/>
  <c r="D214" i="63"/>
  <c r="D213" i="63"/>
  <c r="D212" i="63"/>
  <c r="D211" i="63"/>
  <c r="D210" i="63"/>
  <c r="D206" i="63"/>
  <c r="D205" i="63"/>
  <c r="D204" i="63"/>
  <c r="D203" i="63"/>
  <c r="D202" i="63"/>
  <c r="D201" i="63"/>
  <c r="D200" i="63"/>
  <c r="D199" i="63"/>
  <c r="D196" i="63"/>
  <c r="D195" i="63"/>
  <c r="D194" i="63"/>
  <c r="D193" i="63"/>
  <c r="D192" i="63"/>
  <c r="D191" i="63"/>
  <c r="D190" i="63"/>
  <c r="D189" i="63"/>
  <c r="D188" i="63"/>
  <c r="D187" i="63"/>
  <c r="D186" i="63"/>
  <c r="D185" i="63"/>
  <c r="D184" i="63"/>
  <c r="D183" i="63"/>
  <c r="D182" i="63"/>
  <c r="D181" i="63"/>
  <c r="D180" i="63"/>
  <c r="D179" i="63"/>
  <c r="D178" i="63"/>
  <c r="D177" i="63"/>
  <c r="D176" i="63"/>
  <c r="D175" i="63"/>
  <c r="D174" i="63"/>
  <c r="D170" i="63"/>
  <c r="D169" i="63"/>
  <c r="D168" i="63"/>
  <c r="D167" i="63"/>
  <c r="D166" i="63"/>
  <c r="D165" i="63"/>
  <c r="D164" i="63"/>
  <c r="D163" i="63"/>
  <c r="D162" i="63"/>
  <c r="D161" i="63"/>
  <c r="D160" i="63"/>
  <c r="D159" i="63"/>
  <c r="D158" i="63"/>
  <c r="D157" i="63"/>
  <c r="D156" i="63"/>
  <c r="D155" i="63"/>
  <c r="D154" i="63"/>
  <c r="D153" i="63"/>
  <c r="D152" i="63"/>
  <c r="D151" i="63"/>
  <c r="D150" i="63"/>
  <c r="D149" i="63"/>
  <c r="D148" i="63"/>
  <c r="D147" i="63"/>
  <c r="D146" i="63"/>
  <c r="D145" i="63"/>
  <c r="D144" i="63"/>
  <c r="D143" i="63"/>
  <c r="D142" i="63"/>
  <c r="D141" i="63"/>
  <c r="D139" i="63"/>
  <c r="D138" i="63"/>
  <c r="D137" i="63"/>
  <c r="D136" i="63"/>
  <c r="D135" i="63"/>
  <c r="D134" i="63"/>
  <c r="D133" i="63"/>
  <c r="D132" i="63"/>
  <c r="D131" i="63"/>
  <c r="D130" i="63"/>
  <c r="D129" i="63"/>
  <c r="D128" i="63"/>
  <c r="D127" i="63"/>
  <c r="D126" i="63"/>
  <c r="D125" i="63"/>
  <c r="D123" i="63"/>
  <c r="D122" i="63"/>
  <c r="D121" i="63"/>
  <c r="D120" i="63"/>
  <c r="D119" i="63"/>
  <c r="D118" i="63"/>
  <c r="D117" i="63"/>
  <c r="D116" i="63"/>
  <c r="D115" i="63"/>
  <c r="D114" i="63"/>
  <c r="D113" i="63"/>
  <c r="D112" i="63"/>
  <c r="D111" i="63"/>
  <c r="D110" i="63"/>
  <c r="D109" i="63"/>
  <c r="D107" i="63"/>
  <c r="D106" i="63"/>
  <c r="D105" i="63"/>
  <c r="D104" i="63"/>
  <c r="D102" i="63"/>
  <c r="D101" i="63"/>
  <c r="D100" i="63"/>
  <c r="D99" i="63"/>
  <c r="D98" i="63"/>
  <c r="D97" i="63"/>
  <c r="D96" i="63"/>
  <c r="D95" i="63"/>
  <c r="D90" i="63"/>
  <c r="D89" i="63"/>
  <c r="D88" i="63"/>
  <c r="D87" i="63"/>
  <c r="D86" i="63"/>
  <c r="D85" i="63"/>
  <c r="D84" i="63"/>
  <c r="D83" i="63"/>
  <c r="D82" i="63"/>
  <c r="D81" i="63"/>
  <c r="D80" i="63"/>
  <c r="D79" i="63"/>
  <c r="D78" i="63"/>
  <c r="D77" i="63"/>
  <c r="D76" i="63"/>
  <c r="D75" i="63"/>
  <c r="D74" i="63"/>
  <c r="D73" i="63"/>
  <c r="D72" i="63"/>
  <c r="D71" i="63"/>
  <c r="D70" i="63"/>
  <c r="D69" i="63"/>
  <c r="D68" i="63"/>
  <c r="D67" i="63"/>
  <c r="D66" i="63"/>
  <c r="D65" i="63"/>
  <c r="D64" i="63"/>
  <c r="D63" i="63"/>
  <c r="D62" i="63"/>
  <c r="D61" i="63"/>
  <c r="D60" i="63"/>
  <c r="D59" i="63"/>
  <c r="D58" i="63"/>
  <c r="D57" i="63"/>
  <c r="D56" i="63"/>
  <c r="D55" i="63"/>
  <c r="D54" i="63"/>
  <c r="D53" i="63"/>
  <c r="D52" i="63"/>
  <c r="D51" i="63"/>
  <c r="D50" i="63"/>
  <c r="D49" i="63"/>
  <c r="D48" i="63"/>
  <c r="D47" i="63"/>
  <c r="D46" i="63"/>
  <c r="D45" i="63"/>
  <c r="D44" i="63"/>
  <c r="D43" i="63"/>
  <c r="D42" i="63"/>
  <c r="D41" i="63"/>
  <c r="D40" i="63"/>
  <c r="D39" i="63"/>
  <c r="D38" i="63"/>
  <c r="D37" i="63"/>
  <c r="D36" i="63"/>
  <c r="D35" i="63"/>
  <c r="D34" i="63"/>
  <c r="D33" i="63"/>
  <c r="D32" i="63"/>
  <c r="D31" i="63"/>
  <c r="D30" i="63"/>
  <c r="D29" i="63"/>
  <c r="D28" i="63"/>
  <c r="D27" i="63"/>
  <c r="D26" i="63"/>
  <c r="D25" i="63"/>
  <c r="D24" i="63"/>
  <c r="D23" i="63"/>
  <c r="D22" i="63"/>
  <c r="D21" i="63"/>
  <c r="D20" i="63"/>
  <c r="D19" i="63"/>
  <c r="D18" i="63"/>
  <c r="D17" i="63"/>
  <c r="D16" i="63"/>
  <c r="D15" i="63"/>
  <c r="D14" i="63"/>
  <c r="D13" i="63"/>
  <c r="D12" i="63"/>
  <c r="D11" i="63"/>
  <c r="D10" i="63"/>
  <c r="D9" i="63"/>
  <c r="D91" i="63" l="1"/>
  <c r="D92" i="63" s="1"/>
  <c r="D197" i="63"/>
  <c r="D124" i="63"/>
  <c r="D207" i="63"/>
  <c r="D255" i="63"/>
  <c r="D277" i="63"/>
  <c r="D298" i="63"/>
  <c r="D108" i="63"/>
  <c r="D267" i="63"/>
  <c r="D103" i="63"/>
  <c r="D140" i="63"/>
  <c r="D171" i="63"/>
  <c r="D299" i="63" l="1"/>
  <c r="D172" i="63"/>
  <c r="D300" i="63" s="1"/>
  <c r="D301" i="63" s="1"/>
  <c r="H51" i="57" l="1"/>
  <c r="E40" i="57"/>
  <c r="F40" i="57"/>
  <c r="E33" i="57"/>
  <c r="E15" i="57"/>
  <c r="E23" i="57"/>
  <c r="F23" i="57"/>
  <c r="E21" i="57"/>
  <c r="F36" i="57"/>
  <c r="E36" i="57"/>
  <c r="F32" i="57"/>
  <c r="E32" i="57"/>
  <c r="G31" i="57"/>
  <c r="F30" i="57" l="1"/>
  <c r="E30" i="57"/>
  <c r="G22" i="57"/>
  <c r="AT53" i="62" l="1"/>
  <c r="AS53" i="62"/>
  <c r="AQ53" i="62"/>
  <c r="AU53" i="62" s="1"/>
  <c r="AP53" i="62"/>
  <c r="AO53" i="62"/>
  <c r="AK53" i="62"/>
  <c r="AJ53" i="62"/>
  <c r="AG53" i="62"/>
  <c r="AF53" i="62"/>
  <c r="AC53" i="62"/>
  <c r="AB53" i="62"/>
  <c r="X53" i="62"/>
  <c r="W53" i="62"/>
  <c r="T53" i="62"/>
  <c r="S53" i="62"/>
  <c r="P53" i="62"/>
  <c r="O53" i="62"/>
  <c r="K53" i="62"/>
  <c r="J53" i="62"/>
  <c r="G53" i="62"/>
  <c r="F53" i="62"/>
  <c r="C53" i="62"/>
  <c r="B53" i="62"/>
  <c r="AL49" i="62"/>
  <c r="AH49" i="62"/>
  <c r="AD49" i="62"/>
  <c r="U49" i="62"/>
  <c r="Q49" i="62"/>
  <c r="L49" i="62"/>
  <c r="H49" i="62"/>
  <c r="D49" i="62"/>
  <c r="AQ48" i="62"/>
  <c r="AK48" i="62"/>
  <c r="AJ48" i="62"/>
  <c r="AG48" i="62"/>
  <c r="AF48" i="62"/>
  <c r="AC48" i="62"/>
  <c r="AB48" i="62"/>
  <c r="Y48" i="62"/>
  <c r="T48" i="62"/>
  <c r="S48" i="62"/>
  <c r="P48" i="62"/>
  <c r="O48" i="62"/>
  <c r="K48" i="62"/>
  <c r="M48" i="62" s="1"/>
  <c r="J48" i="62"/>
  <c r="G48" i="62"/>
  <c r="I48" i="62" s="1"/>
  <c r="F48" i="62"/>
  <c r="C48" i="62"/>
  <c r="E48" i="62" s="1"/>
  <c r="B48" i="62"/>
  <c r="AQ47" i="62"/>
  <c r="AK47" i="62"/>
  <c r="AJ47" i="62"/>
  <c r="AG47" i="62"/>
  <c r="AF47" i="62"/>
  <c r="AC47" i="62"/>
  <c r="AE47" i="62" s="1"/>
  <c r="AB47" i="62"/>
  <c r="Y47" i="62"/>
  <c r="AU47" i="62" s="1"/>
  <c r="T47" i="62"/>
  <c r="V47" i="62" s="1"/>
  <c r="S47" i="62"/>
  <c r="P47" i="62"/>
  <c r="O47" i="62"/>
  <c r="K47" i="62"/>
  <c r="M47" i="62" s="1"/>
  <c r="J47" i="62"/>
  <c r="G47" i="62"/>
  <c r="I47" i="62" s="1"/>
  <c r="F47" i="62"/>
  <c r="C47" i="62"/>
  <c r="B47" i="62"/>
  <c r="AQ46" i="62"/>
  <c r="AQ49" i="62" s="1"/>
  <c r="AK46" i="62"/>
  <c r="AJ46" i="62"/>
  <c r="AG46" i="62"/>
  <c r="AF46" i="62"/>
  <c r="AC46" i="62"/>
  <c r="AE46" i="62" s="1"/>
  <c r="AB46" i="62"/>
  <c r="Y46" i="62"/>
  <c r="Y49" i="62" s="1"/>
  <c r="T46" i="62"/>
  <c r="S46" i="62"/>
  <c r="P46" i="62"/>
  <c r="O46" i="62"/>
  <c r="K46" i="62"/>
  <c r="J46" i="62"/>
  <c r="J49" i="62" s="1"/>
  <c r="G46" i="62"/>
  <c r="F46" i="62"/>
  <c r="C46" i="62"/>
  <c r="E46" i="62" s="1"/>
  <c r="B46" i="62"/>
  <c r="AQ44" i="62"/>
  <c r="AK44" i="62"/>
  <c r="AJ44" i="62"/>
  <c r="AG44" i="62"/>
  <c r="AI44" i="62" s="1"/>
  <c r="AF44" i="62"/>
  <c r="AC44" i="62"/>
  <c r="AE44" i="62" s="1"/>
  <c r="AB44" i="62"/>
  <c r="Y44" i="62"/>
  <c r="T44" i="62"/>
  <c r="S44" i="62"/>
  <c r="P44" i="62"/>
  <c r="O44" i="62"/>
  <c r="K44" i="62"/>
  <c r="M44" i="62" s="1"/>
  <c r="J44" i="62"/>
  <c r="G44" i="62"/>
  <c r="I44" i="62" s="1"/>
  <c r="F44" i="62"/>
  <c r="C44" i="62"/>
  <c r="E44" i="62" s="1"/>
  <c r="B44" i="62"/>
  <c r="AK42" i="62"/>
  <c r="AJ42" i="62"/>
  <c r="AH42" i="62"/>
  <c r="AQ42" i="62" s="1"/>
  <c r="AG42" i="62"/>
  <c r="AI42" i="62" s="1"/>
  <c r="AF42" i="62"/>
  <c r="AC42" i="62"/>
  <c r="AB42" i="62"/>
  <c r="Y42" i="62"/>
  <c r="T42" i="62"/>
  <c r="S42" i="62"/>
  <c r="P42" i="62"/>
  <c r="O42" i="62"/>
  <c r="K42" i="62"/>
  <c r="M42" i="62" s="1"/>
  <c r="J42" i="62"/>
  <c r="G42" i="62"/>
  <c r="I42" i="62" s="1"/>
  <c r="F42" i="62"/>
  <c r="C42" i="62"/>
  <c r="E42" i="62" s="1"/>
  <c r="B42" i="62"/>
  <c r="AY41" i="62"/>
  <c r="AW41" i="62"/>
  <c r="AQ40" i="62"/>
  <c r="AK40" i="62"/>
  <c r="AJ40" i="62"/>
  <c r="AG40" i="62"/>
  <c r="AI40" i="62" s="1"/>
  <c r="AF40" i="62"/>
  <c r="AC40" i="62"/>
  <c r="AE40" i="62" s="1"/>
  <c r="AB40" i="62"/>
  <c r="Y40" i="62"/>
  <c r="T40" i="62"/>
  <c r="S40" i="62"/>
  <c r="P40" i="62"/>
  <c r="O40" i="62"/>
  <c r="K40" i="62"/>
  <c r="M40" i="62" s="1"/>
  <c r="J40" i="62"/>
  <c r="G40" i="62"/>
  <c r="I40" i="62" s="1"/>
  <c r="F40" i="62"/>
  <c r="C40" i="62"/>
  <c r="B40" i="62"/>
  <c r="AL38" i="62"/>
  <c r="AL50" i="62" s="1"/>
  <c r="AH38" i="62"/>
  <c r="AH50" i="62" s="1"/>
  <c r="AD38" i="62"/>
  <c r="AD50" i="62" s="1"/>
  <c r="U38" i="62"/>
  <c r="Q38" i="62"/>
  <c r="L38" i="62"/>
  <c r="H38" i="62"/>
  <c r="AQ37" i="62"/>
  <c r="AK37" i="62"/>
  <c r="AJ37" i="62"/>
  <c r="AG37" i="62"/>
  <c r="AF37" i="62"/>
  <c r="AC37" i="62"/>
  <c r="AE37" i="62" s="1"/>
  <c r="AB37" i="62"/>
  <c r="Y37" i="62"/>
  <c r="AU37" i="62" s="1"/>
  <c r="T37" i="62"/>
  <c r="S37" i="62"/>
  <c r="P37" i="62"/>
  <c r="O37" i="62"/>
  <c r="K37" i="62"/>
  <c r="M37" i="62" s="1"/>
  <c r="J37" i="62"/>
  <c r="G37" i="62"/>
  <c r="I37" i="62" s="1"/>
  <c r="F37" i="62"/>
  <c r="C37" i="62"/>
  <c r="B37" i="62"/>
  <c r="AQ36" i="62"/>
  <c r="AK36" i="62"/>
  <c r="AJ36" i="62"/>
  <c r="AG36" i="62"/>
  <c r="AF36" i="62"/>
  <c r="AC36" i="62"/>
  <c r="AB36" i="62"/>
  <c r="Y36" i="62"/>
  <c r="AU36" i="62" s="1"/>
  <c r="AY36" i="62" s="1"/>
  <c r="T36" i="62"/>
  <c r="S36" i="62"/>
  <c r="P36" i="62"/>
  <c r="O36" i="62"/>
  <c r="K36" i="62"/>
  <c r="M36" i="62" s="1"/>
  <c r="J36" i="62"/>
  <c r="G36" i="62"/>
  <c r="I36" i="62" s="1"/>
  <c r="F36" i="62"/>
  <c r="C36" i="62"/>
  <c r="B36" i="62"/>
  <c r="AQ35" i="62"/>
  <c r="AK35" i="62"/>
  <c r="AJ35" i="62"/>
  <c r="AG35" i="62"/>
  <c r="AF35" i="62"/>
  <c r="AC35" i="62"/>
  <c r="AE35" i="62" s="1"/>
  <c r="AB35" i="62"/>
  <c r="Y35" i="62"/>
  <c r="AU35" i="62" s="1"/>
  <c r="T35" i="62"/>
  <c r="S35" i="62"/>
  <c r="P35" i="62"/>
  <c r="O35" i="62"/>
  <c r="K35" i="62"/>
  <c r="M35" i="62" s="1"/>
  <c r="J35" i="62"/>
  <c r="G35" i="62"/>
  <c r="I35" i="62" s="1"/>
  <c r="F35" i="62"/>
  <c r="C35" i="62"/>
  <c r="B35" i="62"/>
  <c r="AQ34" i="62"/>
  <c r="AK34" i="62"/>
  <c r="AJ34" i="62"/>
  <c r="AG34" i="62"/>
  <c r="AF34" i="62"/>
  <c r="AC34" i="62"/>
  <c r="AE34" i="62" s="1"/>
  <c r="AB34" i="62"/>
  <c r="T34" i="62"/>
  <c r="V34" i="62" s="1"/>
  <c r="S34" i="62"/>
  <c r="P34" i="62"/>
  <c r="O34" i="62"/>
  <c r="K34" i="62"/>
  <c r="M34" i="62" s="1"/>
  <c r="J34" i="62"/>
  <c r="G34" i="62"/>
  <c r="I34" i="62" s="1"/>
  <c r="F34" i="62"/>
  <c r="D34" i="62"/>
  <c r="C34" i="62"/>
  <c r="B34" i="62"/>
  <c r="AQ33" i="62"/>
  <c r="AK33" i="62"/>
  <c r="AJ33" i="62"/>
  <c r="AG33" i="62"/>
  <c r="AI33" i="62" s="1"/>
  <c r="AF33" i="62"/>
  <c r="AC33" i="62"/>
  <c r="AB33" i="62"/>
  <c r="Y33" i="62"/>
  <c r="T33" i="62"/>
  <c r="S33" i="62"/>
  <c r="P33" i="62"/>
  <c r="O33" i="62"/>
  <c r="K33" i="62"/>
  <c r="J33" i="62"/>
  <c r="G33" i="62"/>
  <c r="F33" i="62"/>
  <c r="C33" i="62"/>
  <c r="E33" i="62" s="1"/>
  <c r="B33" i="62"/>
  <c r="AQ29" i="62"/>
  <c r="AK29" i="62"/>
  <c r="AJ29" i="62"/>
  <c r="AG29" i="62"/>
  <c r="AI29" i="62" s="1"/>
  <c r="AF29" i="62"/>
  <c r="AC29" i="62"/>
  <c r="AE29" i="62" s="1"/>
  <c r="AB29" i="62"/>
  <c r="T29" i="62"/>
  <c r="S29" i="62"/>
  <c r="P29" i="62"/>
  <c r="O29" i="62"/>
  <c r="K29" i="62"/>
  <c r="M29" i="62" s="1"/>
  <c r="J29" i="62"/>
  <c r="G29" i="62"/>
  <c r="I29" i="62" s="1"/>
  <c r="F29" i="62"/>
  <c r="D29" i="62"/>
  <c r="Y29" i="62" s="1"/>
  <c r="C29" i="62"/>
  <c r="E29" i="62" s="1"/>
  <c r="B29" i="62"/>
  <c r="AL28" i="62"/>
  <c r="AL30" i="62" s="1"/>
  <c r="U28" i="62"/>
  <c r="U30" i="62" s="1"/>
  <c r="Q28" i="62"/>
  <c r="Q30" i="62" s="1"/>
  <c r="L28" i="62"/>
  <c r="L30" i="62" s="1"/>
  <c r="H28" i="62"/>
  <c r="H30" i="62" s="1"/>
  <c r="AQ27" i="62"/>
  <c r="AK27" i="62"/>
  <c r="AJ27" i="62"/>
  <c r="AG27" i="62"/>
  <c r="AF27" i="62"/>
  <c r="AC27" i="62"/>
  <c r="AB27" i="62"/>
  <c r="Y27" i="62"/>
  <c r="AU27" i="62" s="1"/>
  <c r="T27" i="62"/>
  <c r="S27" i="62"/>
  <c r="P27" i="62"/>
  <c r="O27" i="62"/>
  <c r="K27" i="62"/>
  <c r="M27" i="62" s="1"/>
  <c r="J27" i="62"/>
  <c r="G27" i="62"/>
  <c r="I27" i="62" s="1"/>
  <c r="F27" i="62"/>
  <c r="C27" i="62"/>
  <c r="E27" i="62" s="1"/>
  <c r="B27" i="62"/>
  <c r="AQ26" i="62"/>
  <c r="AK26" i="62"/>
  <c r="AJ26" i="62"/>
  <c r="AG26" i="62"/>
  <c r="AI26" i="62" s="1"/>
  <c r="AF26" i="62"/>
  <c r="AC26" i="62"/>
  <c r="AE26" i="62" s="1"/>
  <c r="AB26" i="62"/>
  <c r="Y26" i="62"/>
  <c r="T26" i="62"/>
  <c r="S26" i="62"/>
  <c r="P26" i="62"/>
  <c r="O26" i="62"/>
  <c r="K26" i="62"/>
  <c r="M26" i="62" s="1"/>
  <c r="J26" i="62"/>
  <c r="I26" i="62"/>
  <c r="G26" i="62"/>
  <c r="F26" i="62"/>
  <c r="C26" i="62"/>
  <c r="E26" i="62" s="1"/>
  <c r="B26" i="62"/>
  <c r="AQ25" i="62"/>
  <c r="AK25" i="62"/>
  <c r="AJ25" i="62"/>
  <c r="AG25" i="62"/>
  <c r="AI25" i="62" s="1"/>
  <c r="AF25" i="62"/>
  <c r="AC25" i="62"/>
  <c r="AB25" i="62"/>
  <c r="Y25" i="62"/>
  <c r="T25" i="62"/>
  <c r="S25" i="62"/>
  <c r="P25" i="62"/>
  <c r="O25" i="62"/>
  <c r="K25" i="62"/>
  <c r="M25" i="62" s="1"/>
  <c r="J25" i="62"/>
  <c r="G25" i="62"/>
  <c r="I25" i="62" s="1"/>
  <c r="F25" i="62"/>
  <c r="C25" i="62"/>
  <c r="B25" i="62"/>
  <c r="AQ24" i="62"/>
  <c r="AK24" i="62"/>
  <c r="AJ24" i="62"/>
  <c r="AG24" i="62"/>
  <c r="AF24" i="62"/>
  <c r="AC24" i="62"/>
  <c r="AE24" i="62" s="1"/>
  <c r="AB24" i="62"/>
  <c r="T24" i="62"/>
  <c r="S24" i="62"/>
  <c r="P24" i="62"/>
  <c r="O24" i="62"/>
  <c r="K24" i="62"/>
  <c r="M24" i="62" s="1"/>
  <c r="J24" i="62"/>
  <c r="G24" i="62"/>
  <c r="I24" i="62" s="1"/>
  <c r="F24" i="62"/>
  <c r="D24" i="62"/>
  <c r="C24" i="62"/>
  <c r="B24" i="62"/>
  <c r="AQ23" i="62"/>
  <c r="AK23" i="62"/>
  <c r="AJ23" i="62"/>
  <c r="AG23" i="62"/>
  <c r="AI23" i="62" s="1"/>
  <c r="AF23" i="62"/>
  <c r="AC23" i="62"/>
  <c r="AE23" i="62" s="1"/>
  <c r="AB23" i="62"/>
  <c r="Y23" i="62"/>
  <c r="T23" i="62"/>
  <c r="S23" i="62"/>
  <c r="P23" i="62"/>
  <c r="O23" i="62"/>
  <c r="K23" i="62"/>
  <c r="J23" i="62"/>
  <c r="G23" i="62"/>
  <c r="I23" i="62" s="1"/>
  <c r="F23" i="62"/>
  <c r="C23" i="62"/>
  <c r="E23" i="62" s="1"/>
  <c r="B23" i="62"/>
  <c r="AQ22" i="62"/>
  <c r="AK22" i="62"/>
  <c r="AJ22" i="62"/>
  <c r="AG22" i="62"/>
  <c r="AF22" i="62"/>
  <c r="AC22" i="62"/>
  <c r="AB22" i="62"/>
  <c r="Y22" i="62"/>
  <c r="AU22" i="62" s="1"/>
  <c r="AY22" i="62" s="1"/>
  <c r="T22" i="62"/>
  <c r="S22" i="62"/>
  <c r="P22" i="62"/>
  <c r="O22" i="62"/>
  <c r="K22" i="62"/>
  <c r="M22" i="62" s="1"/>
  <c r="J22" i="62"/>
  <c r="G22" i="62"/>
  <c r="I22" i="62" s="1"/>
  <c r="F22" i="62"/>
  <c r="C22" i="62"/>
  <c r="E22" i="62" s="1"/>
  <c r="B22" i="62"/>
  <c r="AQ21" i="62"/>
  <c r="AK21" i="62"/>
  <c r="AJ21" i="62"/>
  <c r="AG21" i="62"/>
  <c r="AI21" i="62" s="1"/>
  <c r="AF21" i="62"/>
  <c r="AC21" i="62"/>
  <c r="AE21" i="62" s="1"/>
  <c r="AB21" i="62"/>
  <c r="Y21" i="62"/>
  <c r="T21" i="62"/>
  <c r="S21" i="62"/>
  <c r="P21" i="62"/>
  <c r="O21" i="62"/>
  <c r="K21" i="62"/>
  <c r="M21" i="62" s="1"/>
  <c r="J21" i="62"/>
  <c r="G21" i="62"/>
  <c r="I21" i="62" s="1"/>
  <c r="F21" i="62"/>
  <c r="C21" i="62"/>
  <c r="E21" i="62" s="1"/>
  <c r="B21" i="62"/>
  <c r="AQ20" i="62"/>
  <c r="AK20" i="62"/>
  <c r="AJ20" i="62"/>
  <c r="AG20" i="62"/>
  <c r="AF20" i="62"/>
  <c r="AC20" i="62"/>
  <c r="AE20" i="62" s="1"/>
  <c r="AB20" i="62"/>
  <c r="Y20" i="62"/>
  <c r="AU20" i="62" s="1"/>
  <c r="T20" i="62"/>
  <c r="S20" i="62"/>
  <c r="P20" i="62"/>
  <c r="O20" i="62"/>
  <c r="K20" i="62"/>
  <c r="M20" i="62" s="1"/>
  <c r="J20" i="62"/>
  <c r="G20" i="62"/>
  <c r="I20" i="62" s="1"/>
  <c r="F20" i="62"/>
  <c r="C20" i="62"/>
  <c r="B20" i="62"/>
  <c r="AQ19" i="62"/>
  <c r="AK19" i="62"/>
  <c r="AJ19" i="62"/>
  <c r="AG19" i="62"/>
  <c r="AI19" i="62" s="1"/>
  <c r="AF19" i="62"/>
  <c r="AC19" i="62"/>
  <c r="AE19" i="62" s="1"/>
  <c r="AB19" i="62"/>
  <c r="Y19" i="62"/>
  <c r="AU19" i="62" s="1"/>
  <c r="T19" i="62"/>
  <c r="S19" i="62"/>
  <c r="P19" i="62"/>
  <c r="O19" i="62"/>
  <c r="K19" i="62"/>
  <c r="M19" i="62" s="1"/>
  <c r="J19" i="62"/>
  <c r="G19" i="62"/>
  <c r="I19" i="62" s="1"/>
  <c r="F19" i="62"/>
  <c r="C19" i="62"/>
  <c r="B19" i="62"/>
  <c r="AQ18" i="62"/>
  <c r="AK18" i="62"/>
  <c r="AJ18" i="62"/>
  <c r="AG18" i="62"/>
  <c r="AF18" i="62"/>
  <c r="AC18" i="62"/>
  <c r="AB18" i="62"/>
  <c r="Y18" i="62"/>
  <c r="T18" i="62"/>
  <c r="S18" i="62"/>
  <c r="P18" i="62"/>
  <c r="O18" i="62"/>
  <c r="K18" i="62"/>
  <c r="M18" i="62" s="1"/>
  <c r="J18" i="62"/>
  <c r="G18" i="62"/>
  <c r="I18" i="62" s="1"/>
  <c r="F18" i="62"/>
  <c r="C18" i="62"/>
  <c r="B18" i="62"/>
  <c r="AQ17" i="62"/>
  <c r="AK17" i="62"/>
  <c r="AJ17" i="62"/>
  <c r="AG17" i="62"/>
  <c r="AI17" i="62" s="1"/>
  <c r="AF17" i="62"/>
  <c r="AC17" i="62"/>
  <c r="AB17" i="62"/>
  <c r="Y17" i="62"/>
  <c r="AU17" i="62" s="1"/>
  <c r="AY17" i="62" s="1"/>
  <c r="T17" i="62"/>
  <c r="S17" i="62"/>
  <c r="P17" i="62"/>
  <c r="O17" i="62"/>
  <c r="K17" i="62"/>
  <c r="M17" i="62" s="1"/>
  <c r="J17" i="62"/>
  <c r="G17" i="62"/>
  <c r="I17" i="62" s="1"/>
  <c r="F17" i="62"/>
  <c r="C17" i="62"/>
  <c r="B17" i="62"/>
  <c r="AQ16" i="62"/>
  <c r="AK16" i="62"/>
  <c r="AJ16" i="62"/>
  <c r="AG16" i="62"/>
  <c r="AF16" i="62"/>
  <c r="AC16" i="62"/>
  <c r="AE16" i="62" s="1"/>
  <c r="AB16" i="62"/>
  <c r="Y16" i="62"/>
  <c r="T16" i="62"/>
  <c r="S16" i="62"/>
  <c r="P16" i="62"/>
  <c r="O16" i="62"/>
  <c r="K16" i="62"/>
  <c r="J16" i="62"/>
  <c r="G16" i="62"/>
  <c r="I16" i="62" s="1"/>
  <c r="F16" i="62"/>
  <c r="C16" i="62"/>
  <c r="E16" i="62" s="1"/>
  <c r="B16" i="62"/>
  <c r="AQ15" i="62"/>
  <c r="AK15" i="62"/>
  <c r="AJ15" i="62"/>
  <c r="AG15" i="62"/>
  <c r="AF15" i="62"/>
  <c r="AC15" i="62"/>
  <c r="AB15" i="62"/>
  <c r="Y15" i="62"/>
  <c r="T15" i="62"/>
  <c r="S15" i="62"/>
  <c r="P15" i="62"/>
  <c r="O15" i="62"/>
  <c r="K15" i="62"/>
  <c r="M15" i="62" s="1"/>
  <c r="J15" i="62"/>
  <c r="G15" i="62"/>
  <c r="I15" i="62" s="1"/>
  <c r="F15" i="62"/>
  <c r="C15" i="62"/>
  <c r="E15" i="62" s="1"/>
  <c r="B15" i="62"/>
  <c r="AK14" i="62"/>
  <c r="AJ14" i="62"/>
  <c r="AH14" i="62"/>
  <c r="AH28" i="62" s="1"/>
  <c r="AG14" i="62"/>
  <c r="AI14" i="62" s="1"/>
  <c r="AF14" i="62"/>
  <c r="AC14" i="62"/>
  <c r="AB14" i="62"/>
  <c r="Y14" i="62"/>
  <c r="T14" i="62"/>
  <c r="S14" i="62"/>
  <c r="P14" i="62"/>
  <c r="O14" i="62"/>
  <c r="K14" i="62"/>
  <c r="J14" i="62"/>
  <c r="G14" i="62"/>
  <c r="I14" i="62" s="1"/>
  <c r="F14" i="62"/>
  <c r="C14" i="62"/>
  <c r="E14" i="62" s="1"/>
  <c r="B14" i="62"/>
  <c r="AQ13" i="62"/>
  <c r="AK13" i="62"/>
  <c r="AJ13" i="62"/>
  <c r="AG13" i="62"/>
  <c r="AI13" i="62" s="1"/>
  <c r="AF13" i="62"/>
  <c r="AC13" i="62"/>
  <c r="AE13" i="62" s="1"/>
  <c r="AB13" i="62"/>
  <c r="Y13" i="62"/>
  <c r="AU13" i="62" s="1"/>
  <c r="T13" i="62"/>
  <c r="S13" i="62"/>
  <c r="P13" i="62"/>
  <c r="O13" i="62"/>
  <c r="K13" i="62"/>
  <c r="J13" i="62"/>
  <c r="G13" i="62"/>
  <c r="I13" i="62" s="1"/>
  <c r="F13" i="62"/>
  <c r="C13" i="62"/>
  <c r="E13" i="62" s="1"/>
  <c r="B13" i="62"/>
  <c r="AQ12" i="62"/>
  <c r="AK12" i="62"/>
  <c r="AJ12" i="62"/>
  <c r="AG12" i="62"/>
  <c r="AI12" i="62" s="1"/>
  <c r="AF12" i="62"/>
  <c r="AC12" i="62"/>
  <c r="AB12" i="62"/>
  <c r="Y12" i="62"/>
  <c r="T12" i="62"/>
  <c r="S12" i="62"/>
  <c r="P12" i="62"/>
  <c r="O12" i="62"/>
  <c r="K12" i="62"/>
  <c r="M12" i="62" s="1"/>
  <c r="J12" i="62"/>
  <c r="G12" i="62"/>
  <c r="I12" i="62" s="1"/>
  <c r="F12" i="62"/>
  <c r="C12" i="62"/>
  <c r="B12" i="62"/>
  <c r="AK11" i="62"/>
  <c r="AJ11" i="62"/>
  <c r="AG11" i="62"/>
  <c r="AI11" i="62" s="1"/>
  <c r="AF11" i="62"/>
  <c r="AD11" i="62"/>
  <c r="AD28" i="62" s="1"/>
  <c r="AC11" i="62"/>
  <c r="AB11" i="62"/>
  <c r="Y11" i="62"/>
  <c r="T11" i="62"/>
  <c r="S11" i="62"/>
  <c r="P11" i="62"/>
  <c r="O11" i="62"/>
  <c r="K11" i="62"/>
  <c r="M11" i="62" s="1"/>
  <c r="J11" i="62"/>
  <c r="G11" i="62"/>
  <c r="I11" i="62" s="1"/>
  <c r="F11" i="62"/>
  <c r="C11" i="62"/>
  <c r="B11" i="62"/>
  <c r="AQ10" i="62"/>
  <c r="AK10" i="62"/>
  <c r="AJ10" i="62"/>
  <c r="AG10" i="62"/>
  <c r="AF10" i="62"/>
  <c r="AC10" i="62"/>
  <c r="AE10" i="62" s="1"/>
  <c r="AB10" i="62"/>
  <c r="Y10" i="62"/>
  <c r="T10" i="62"/>
  <c r="S10" i="62"/>
  <c r="P10" i="62"/>
  <c r="O10" i="62"/>
  <c r="K10" i="62"/>
  <c r="J10" i="62"/>
  <c r="G10" i="62"/>
  <c r="F10" i="62"/>
  <c r="C10" i="62"/>
  <c r="E10" i="62" s="1"/>
  <c r="B10" i="62"/>
  <c r="BE53" i="61"/>
  <c r="BD53" i="61"/>
  <c r="BA53" i="61"/>
  <c r="AZ53" i="61"/>
  <c r="AW53" i="61"/>
  <c r="AV53" i="61"/>
  <c r="AS53" i="61"/>
  <c r="AR53" i="61"/>
  <c r="AN53" i="61"/>
  <c r="AM53" i="61"/>
  <c r="AK53" i="61"/>
  <c r="AJ53" i="61"/>
  <c r="AI53" i="61"/>
  <c r="AF53" i="61"/>
  <c r="AE53" i="61"/>
  <c r="AB53" i="61"/>
  <c r="AA53" i="61"/>
  <c r="X53" i="61"/>
  <c r="W53" i="61"/>
  <c r="T53" i="61"/>
  <c r="S53" i="61"/>
  <c r="R53" i="61"/>
  <c r="O53" i="61"/>
  <c r="N53" i="61"/>
  <c r="K53" i="61"/>
  <c r="J53" i="61"/>
  <c r="G53" i="61"/>
  <c r="F53" i="61"/>
  <c r="C53" i="61"/>
  <c r="B53" i="61"/>
  <c r="AX49" i="61"/>
  <c r="AT49" i="61"/>
  <c r="AO49" i="61"/>
  <c r="AM49" i="61"/>
  <c r="AG49" i="61"/>
  <c r="AC49" i="61"/>
  <c r="Y49" i="61"/>
  <c r="P49" i="61"/>
  <c r="L49" i="61"/>
  <c r="H49" i="61"/>
  <c r="D49" i="61"/>
  <c r="BB48" i="61"/>
  <c r="AW48" i="61"/>
  <c r="AY48" i="61" s="1"/>
  <c r="AV48" i="61"/>
  <c r="AS48" i="61"/>
  <c r="AR48" i="61"/>
  <c r="AN48" i="61"/>
  <c r="AP48" i="61" s="1"/>
  <c r="AK48" i="61"/>
  <c r="BH48" i="61" s="1"/>
  <c r="AF48" i="61"/>
  <c r="AE48" i="61"/>
  <c r="AB48" i="61"/>
  <c r="AA48" i="61"/>
  <c r="X48" i="61"/>
  <c r="W48" i="61"/>
  <c r="T48" i="61"/>
  <c r="BF48" i="61" s="1"/>
  <c r="O48" i="61"/>
  <c r="N48" i="61"/>
  <c r="K48" i="61"/>
  <c r="J48" i="61"/>
  <c r="G48" i="61"/>
  <c r="F48" i="61"/>
  <c r="C48" i="61"/>
  <c r="B48" i="61"/>
  <c r="BB47" i="61"/>
  <c r="AW47" i="61"/>
  <c r="AY47" i="61" s="1"/>
  <c r="AV47" i="61"/>
  <c r="AS47" i="61"/>
  <c r="AU47" i="61" s="1"/>
  <c r="AR47" i="61"/>
  <c r="AN47" i="61"/>
  <c r="AP47" i="61" s="1"/>
  <c r="AK47" i="61"/>
  <c r="BH47" i="61" s="1"/>
  <c r="AF47" i="61"/>
  <c r="AE47" i="61"/>
  <c r="AB47" i="61"/>
  <c r="AA47" i="61"/>
  <c r="X47" i="61"/>
  <c r="Z47" i="61" s="1"/>
  <c r="W47" i="61"/>
  <c r="T47" i="61"/>
  <c r="O47" i="61"/>
  <c r="Q47" i="61" s="1"/>
  <c r="N47" i="61"/>
  <c r="K47" i="61"/>
  <c r="J47" i="61"/>
  <c r="G47" i="61"/>
  <c r="I47" i="61" s="1"/>
  <c r="F47" i="61"/>
  <c r="C47" i="61"/>
  <c r="E47" i="61" s="1"/>
  <c r="B47" i="61"/>
  <c r="BB46" i="61"/>
  <c r="BB49" i="61" s="1"/>
  <c r="AW46" i="61"/>
  <c r="AV46" i="61"/>
  <c r="AS46" i="61"/>
  <c r="AR46" i="61"/>
  <c r="AN46" i="61"/>
  <c r="AK46" i="61"/>
  <c r="BH46" i="61" s="1"/>
  <c r="AF46" i="61"/>
  <c r="AE46" i="61"/>
  <c r="AB46" i="61"/>
  <c r="AA46" i="61"/>
  <c r="X46" i="61"/>
  <c r="W46" i="61"/>
  <c r="T46" i="61"/>
  <c r="O46" i="61"/>
  <c r="N46" i="61"/>
  <c r="K46" i="61"/>
  <c r="J46" i="61"/>
  <c r="G46" i="61"/>
  <c r="I46" i="61" s="1"/>
  <c r="F46" i="61"/>
  <c r="C46" i="61"/>
  <c r="E46" i="61" s="1"/>
  <c r="B46" i="61"/>
  <c r="BB44" i="61"/>
  <c r="AW44" i="61"/>
  <c r="AY44" i="61" s="1"/>
  <c r="AV44" i="61"/>
  <c r="AS44" i="61"/>
  <c r="AR44" i="61"/>
  <c r="AN44" i="61"/>
  <c r="AP44" i="61" s="1"/>
  <c r="AK44" i="61"/>
  <c r="BH44" i="61" s="1"/>
  <c r="AF44" i="61"/>
  <c r="AH44" i="61" s="1"/>
  <c r="AE44" i="61"/>
  <c r="AB44" i="61"/>
  <c r="AA44" i="61"/>
  <c r="X44" i="61"/>
  <c r="W44" i="61"/>
  <c r="T44" i="61"/>
  <c r="O44" i="61"/>
  <c r="N44" i="61"/>
  <c r="K44" i="61"/>
  <c r="M44" i="61" s="1"/>
  <c r="J44" i="61"/>
  <c r="G44" i="61"/>
  <c r="I44" i="61" s="1"/>
  <c r="F44" i="61"/>
  <c r="C44" i="61"/>
  <c r="E44" i="61" s="1"/>
  <c r="B44" i="61"/>
  <c r="BB42" i="61"/>
  <c r="AW42" i="61"/>
  <c r="AY42" i="61" s="1"/>
  <c r="AV42" i="61"/>
  <c r="AS42" i="61"/>
  <c r="AU42" i="61" s="1"/>
  <c r="AR42" i="61"/>
  <c r="AN42" i="61"/>
  <c r="AP42" i="61" s="1"/>
  <c r="AK42" i="61"/>
  <c r="BH42" i="61" s="1"/>
  <c r="AF42" i="61"/>
  <c r="AE42" i="61"/>
  <c r="AB42" i="61"/>
  <c r="AD42" i="61" s="1"/>
  <c r="AA42" i="61"/>
  <c r="X42" i="61"/>
  <c r="Z42" i="61" s="1"/>
  <c r="W42" i="61"/>
  <c r="T42" i="61"/>
  <c r="O42" i="61"/>
  <c r="N42" i="61"/>
  <c r="K42" i="61"/>
  <c r="J42" i="61"/>
  <c r="G42" i="61"/>
  <c r="I42" i="61" s="1"/>
  <c r="F42" i="61"/>
  <c r="C42" i="61"/>
  <c r="E42" i="61" s="1"/>
  <c r="B42" i="61"/>
  <c r="BB40" i="61"/>
  <c r="AW40" i="61"/>
  <c r="AY40" i="61" s="1"/>
  <c r="AV40" i="61"/>
  <c r="AS40" i="61"/>
  <c r="AU40" i="61" s="1"/>
  <c r="AR40" i="61"/>
  <c r="AN40" i="61"/>
  <c r="AP40" i="61" s="1"/>
  <c r="AK40" i="61"/>
  <c r="BH40" i="61" s="1"/>
  <c r="AF40" i="61"/>
  <c r="AE40" i="61"/>
  <c r="AB40" i="61"/>
  <c r="AA40" i="61"/>
  <c r="X40" i="61"/>
  <c r="W40" i="61"/>
  <c r="T40" i="61"/>
  <c r="O40" i="61"/>
  <c r="N40" i="61"/>
  <c r="K40" i="61"/>
  <c r="M40" i="61" s="1"/>
  <c r="J40" i="61"/>
  <c r="G40" i="61"/>
  <c r="I40" i="61" s="1"/>
  <c r="F40" i="61"/>
  <c r="C40" i="61"/>
  <c r="E40" i="61" s="1"/>
  <c r="B40" i="61"/>
  <c r="AX38" i="61"/>
  <c r="AT38" i="61"/>
  <c r="AT50" i="61" s="1"/>
  <c r="AO38" i="61"/>
  <c r="AM38" i="61"/>
  <c r="AM50" i="61" s="1"/>
  <c r="AG38" i="61"/>
  <c r="AG50" i="61" s="1"/>
  <c r="AC38" i="61"/>
  <c r="AC50" i="61" s="1"/>
  <c r="Y38" i="61"/>
  <c r="Y50" i="61" s="1"/>
  <c r="P38" i="61"/>
  <c r="L38" i="61"/>
  <c r="H38" i="61"/>
  <c r="H50" i="61" s="1"/>
  <c r="D38" i="61"/>
  <c r="BH37" i="61"/>
  <c r="BB37" i="61"/>
  <c r="AW37" i="61"/>
  <c r="AY37" i="61" s="1"/>
  <c r="AV37" i="61"/>
  <c r="AS37" i="61"/>
  <c r="AR37" i="61"/>
  <c r="AN37" i="61"/>
  <c r="AP37" i="61" s="1"/>
  <c r="AK37" i="61"/>
  <c r="AF37" i="61"/>
  <c r="AE37" i="61"/>
  <c r="AB37" i="61"/>
  <c r="AA37" i="61"/>
  <c r="X37" i="61"/>
  <c r="W37" i="61"/>
  <c r="T37" i="61"/>
  <c r="BF37" i="61" s="1"/>
  <c r="O37" i="61"/>
  <c r="N37" i="61"/>
  <c r="K37" i="61"/>
  <c r="J37" i="61"/>
  <c r="G37" i="61"/>
  <c r="I37" i="61" s="1"/>
  <c r="F37" i="61"/>
  <c r="C37" i="61"/>
  <c r="B37" i="61"/>
  <c r="BB36" i="61"/>
  <c r="AW36" i="61"/>
  <c r="AY36" i="61" s="1"/>
  <c r="AV36" i="61"/>
  <c r="AS36" i="61"/>
  <c r="AR36" i="61"/>
  <c r="AZ36" i="61" s="1"/>
  <c r="AN36" i="61"/>
  <c r="AP36" i="61" s="1"/>
  <c r="AK36" i="61"/>
  <c r="BF36" i="61" s="1"/>
  <c r="AF36" i="61"/>
  <c r="AE36" i="61"/>
  <c r="AB36" i="61"/>
  <c r="AJ36" i="61" s="1"/>
  <c r="BI36" i="61" s="1"/>
  <c r="AA36" i="61"/>
  <c r="X36" i="61"/>
  <c r="W36" i="61"/>
  <c r="T36" i="61"/>
  <c r="O36" i="61"/>
  <c r="N36" i="61"/>
  <c r="K36" i="61"/>
  <c r="J36" i="61"/>
  <c r="G36" i="61"/>
  <c r="I36" i="61" s="1"/>
  <c r="F36" i="61"/>
  <c r="C36" i="61"/>
  <c r="E36" i="61" s="1"/>
  <c r="B36" i="61"/>
  <c r="BH35" i="61"/>
  <c r="BB35" i="61"/>
  <c r="AW35" i="61"/>
  <c r="AY35" i="61" s="1"/>
  <c r="AV35" i="61"/>
  <c r="AS35" i="61"/>
  <c r="AU35" i="61" s="1"/>
  <c r="AR35" i="61"/>
  <c r="AN35" i="61"/>
  <c r="AP35" i="61" s="1"/>
  <c r="AK35" i="61"/>
  <c r="AF35" i="61"/>
  <c r="AE35" i="61"/>
  <c r="AB35" i="61"/>
  <c r="AA35" i="61"/>
  <c r="X35" i="61"/>
  <c r="W35" i="61"/>
  <c r="T35" i="61"/>
  <c r="O35" i="61"/>
  <c r="N35" i="61"/>
  <c r="K35" i="61"/>
  <c r="J35" i="61"/>
  <c r="G35" i="61"/>
  <c r="I35" i="61" s="1"/>
  <c r="F35" i="61"/>
  <c r="C35" i="61"/>
  <c r="E35" i="61" s="1"/>
  <c r="B35" i="61"/>
  <c r="BB34" i="61"/>
  <c r="AW34" i="61"/>
  <c r="AY34" i="61" s="1"/>
  <c r="AV34" i="61"/>
  <c r="AS34" i="61"/>
  <c r="AU34" i="61" s="1"/>
  <c r="AR34" i="61"/>
  <c r="AN34" i="61"/>
  <c r="AP34" i="61" s="1"/>
  <c r="AK34" i="61"/>
  <c r="BH34" i="61" s="1"/>
  <c r="AF34" i="61"/>
  <c r="AE34" i="61"/>
  <c r="AB34" i="61"/>
  <c r="AA34" i="61"/>
  <c r="X34" i="61"/>
  <c r="W34" i="61"/>
  <c r="T34" i="61"/>
  <c r="O34" i="61"/>
  <c r="N34" i="61"/>
  <c r="K34" i="61"/>
  <c r="J34" i="61"/>
  <c r="G34" i="61"/>
  <c r="F34" i="61"/>
  <c r="C34" i="61"/>
  <c r="E34" i="61" s="1"/>
  <c r="B34" i="61"/>
  <c r="BB33" i="61"/>
  <c r="AW33" i="61"/>
  <c r="AV33" i="61"/>
  <c r="AS33" i="61"/>
  <c r="AU33" i="61" s="1"/>
  <c r="AR33" i="61"/>
  <c r="AN33" i="61"/>
  <c r="AK33" i="61"/>
  <c r="AF33" i="61"/>
  <c r="AE33" i="61"/>
  <c r="AB33" i="61"/>
  <c r="AD33" i="61" s="1"/>
  <c r="AA33" i="61"/>
  <c r="X33" i="61"/>
  <c r="W33" i="61"/>
  <c r="T33" i="61"/>
  <c r="BF33" i="61" s="1"/>
  <c r="O33" i="61"/>
  <c r="N33" i="61"/>
  <c r="K33" i="61"/>
  <c r="J33" i="61"/>
  <c r="G33" i="61"/>
  <c r="I33" i="61" s="1"/>
  <c r="F33" i="61"/>
  <c r="C33" i="61"/>
  <c r="B33" i="61"/>
  <c r="BB29" i="61"/>
  <c r="AW29" i="61"/>
  <c r="AY29" i="61" s="1"/>
  <c r="AV29" i="61"/>
  <c r="AS29" i="61"/>
  <c r="AR29" i="61"/>
  <c r="AN29" i="61"/>
  <c r="AP29" i="61" s="1"/>
  <c r="AK29" i="61"/>
  <c r="BH29" i="61" s="1"/>
  <c r="AF29" i="61"/>
  <c r="AE29" i="61"/>
  <c r="AB29" i="61"/>
  <c r="AA29" i="61"/>
  <c r="X29" i="61"/>
  <c r="Z29" i="61" s="1"/>
  <c r="W29" i="61"/>
  <c r="T29" i="61"/>
  <c r="O29" i="61"/>
  <c r="N29" i="61"/>
  <c r="K29" i="61"/>
  <c r="J29" i="61"/>
  <c r="G29" i="61"/>
  <c r="I29" i="61" s="1"/>
  <c r="F29" i="61"/>
  <c r="C29" i="61"/>
  <c r="B29" i="61"/>
  <c r="AX28" i="61"/>
  <c r="AX30" i="61" s="1"/>
  <c r="AO28" i="61"/>
  <c r="AO30" i="61" s="1"/>
  <c r="AM28" i="61"/>
  <c r="AM30" i="61" s="1"/>
  <c r="AG28" i="61"/>
  <c r="AG30" i="61" s="1"/>
  <c r="AG51" i="61" s="1"/>
  <c r="AC28" i="61"/>
  <c r="AC30" i="61" s="1"/>
  <c r="AC51" i="61" s="1"/>
  <c r="Y28" i="61"/>
  <c r="Y30" i="61" s="1"/>
  <c r="P28" i="61"/>
  <c r="P30" i="61" s="1"/>
  <c r="BB27" i="61"/>
  <c r="AW27" i="61"/>
  <c r="AY27" i="61" s="1"/>
  <c r="AV27" i="61"/>
  <c r="AS27" i="61"/>
  <c r="AR27" i="61"/>
  <c r="AN27" i="61"/>
  <c r="AP27" i="61" s="1"/>
  <c r="AK27" i="61"/>
  <c r="BH27" i="61" s="1"/>
  <c r="AF27" i="61"/>
  <c r="AE27" i="61"/>
  <c r="AB27" i="61"/>
  <c r="AA27" i="61"/>
  <c r="X27" i="61"/>
  <c r="W27" i="61"/>
  <c r="T27" i="61"/>
  <c r="O27" i="61"/>
  <c r="N27" i="61"/>
  <c r="K27" i="61"/>
  <c r="J27" i="61"/>
  <c r="G27" i="61"/>
  <c r="F27" i="61"/>
  <c r="C27" i="61"/>
  <c r="B27" i="61"/>
  <c r="BB26" i="61"/>
  <c r="AW26" i="61"/>
  <c r="AY26" i="61" s="1"/>
  <c r="AV26" i="61"/>
  <c r="AS26" i="61"/>
  <c r="AR26" i="61"/>
  <c r="AN26" i="61"/>
  <c r="AP26" i="61" s="1"/>
  <c r="AK26" i="61"/>
  <c r="BH26" i="61" s="1"/>
  <c r="AF26" i="61"/>
  <c r="AE26" i="61"/>
  <c r="AB26" i="61"/>
  <c r="AA26" i="61"/>
  <c r="X26" i="61"/>
  <c r="W26" i="61"/>
  <c r="O26" i="61"/>
  <c r="N26" i="61"/>
  <c r="K26" i="61"/>
  <c r="J26" i="61"/>
  <c r="H26" i="61"/>
  <c r="G26" i="61"/>
  <c r="F26" i="61"/>
  <c r="C26" i="61"/>
  <c r="B26" i="61"/>
  <c r="BB25" i="61"/>
  <c r="AW25" i="61"/>
  <c r="AY25" i="61" s="1"/>
  <c r="AV25" i="61"/>
  <c r="AS25" i="61"/>
  <c r="AR25" i="61"/>
  <c r="AN25" i="61"/>
  <c r="AP25" i="61" s="1"/>
  <c r="AK25" i="61"/>
  <c r="BH25" i="61" s="1"/>
  <c r="AF25" i="61"/>
  <c r="AE25" i="61"/>
  <c r="AB25" i="61"/>
  <c r="AA25" i="61"/>
  <c r="X25" i="61"/>
  <c r="W25" i="61"/>
  <c r="T25" i="61"/>
  <c r="BF25" i="61" s="1"/>
  <c r="O25" i="61"/>
  <c r="N25" i="61"/>
  <c r="K25" i="61"/>
  <c r="J25" i="61"/>
  <c r="G25" i="61"/>
  <c r="F25" i="61"/>
  <c r="C25" i="61"/>
  <c r="B25" i="61"/>
  <c r="AW24" i="61"/>
  <c r="AY24" i="61" s="1"/>
  <c r="AV24" i="61"/>
  <c r="AT24" i="61"/>
  <c r="BB24" i="61" s="1"/>
  <c r="AS24" i="61"/>
  <c r="AR24" i="61"/>
  <c r="AN24" i="61"/>
  <c r="AP24" i="61" s="1"/>
  <c r="AK24" i="61"/>
  <c r="BH24" i="61" s="1"/>
  <c r="AF24" i="61"/>
  <c r="AE24" i="61"/>
  <c r="AB24" i="61"/>
  <c r="AA24" i="61"/>
  <c r="X24" i="61"/>
  <c r="W24" i="61"/>
  <c r="T24" i="61"/>
  <c r="O24" i="61"/>
  <c r="N24" i="61"/>
  <c r="K24" i="61"/>
  <c r="M24" i="61" s="1"/>
  <c r="J24" i="61"/>
  <c r="G24" i="61"/>
  <c r="F24" i="61"/>
  <c r="C24" i="61"/>
  <c r="B24" i="61"/>
  <c r="BB23" i="61"/>
  <c r="AW23" i="61"/>
  <c r="AY23" i="61" s="1"/>
  <c r="AV23" i="61"/>
  <c r="AS23" i="61"/>
  <c r="AU23" i="61" s="1"/>
  <c r="AR23" i="61"/>
  <c r="AN23" i="61"/>
  <c r="AP23" i="61" s="1"/>
  <c r="AK23" i="61"/>
  <c r="BH23" i="61" s="1"/>
  <c r="AF23" i="61"/>
  <c r="AE23" i="61"/>
  <c r="AB23" i="61"/>
  <c r="AA23" i="61"/>
  <c r="X23" i="61"/>
  <c r="W23" i="61"/>
  <c r="T23" i="61"/>
  <c r="O23" i="61"/>
  <c r="N23" i="61"/>
  <c r="K23" i="61"/>
  <c r="J23" i="61"/>
  <c r="G23" i="61"/>
  <c r="F23" i="61"/>
  <c r="C23" i="61"/>
  <c r="E23" i="61" s="1"/>
  <c r="B23" i="61"/>
  <c r="BB22" i="61"/>
  <c r="AW22" i="61"/>
  <c r="AV22" i="61"/>
  <c r="AS22" i="61"/>
  <c r="AU22" i="61" s="1"/>
  <c r="AR22" i="61"/>
  <c r="AN22" i="61"/>
  <c r="AP22" i="61" s="1"/>
  <c r="AK22" i="61"/>
  <c r="BH22" i="61" s="1"/>
  <c r="AF22" i="61"/>
  <c r="AE22" i="61"/>
  <c r="AB22" i="61"/>
  <c r="AA22" i="61"/>
  <c r="X22" i="61"/>
  <c r="W22" i="61"/>
  <c r="T22" i="61"/>
  <c r="O22" i="61"/>
  <c r="N22" i="61"/>
  <c r="K22" i="61"/>
  <c r="M22" i="61" s="1"/>
  <c r="J22" i="61"/>
  <c r="G22" i="61"/>
  <c r="F22" i="61"/>
  <c r="C22" i="61"/>
  <c r="B22" i="61"/>
  <c r="BB21" i="61"/>
  <c r="AW21" i="61"/>
  <c r="AY21" i="61" s="1"/>
  <c r="AV21" i="61"/>
  <c r="AS21" i="61"/>
  <c r="AR21" i="61"/>
  <c r="AN21" i="61"/>
  <c r="AP21" i="61" s="1"/>
  <c r="AK21" i="61"/>
  <c r="BH21" i="61" s="1"/>
  <c r="AF21" i="61"/>
  <c r="AE21" i="61"/>
  <c r="AB21" i="61"/>
  <c r="AA21" i="61"/>
  <c r="X21" i="61"/>
  <c r="W21" i="61"/>
  <c r="T21" i="61"/>
  <c r="BF21" i="61" s="1"/>
  <c r="O21" i="61"/>
  <c r="N21" i="61"/>
  <c r="K21" i="61"/>
  <c r="J21" i="61"/>
  <c r="G21" i="61"/>
  <c r="F21" i="61"/>
  <c r="C21" i="61"/>
  <c r="B21" i="61"/>
  <c r="BB20" i="61"/>
  <c r="AW20" i="61"/>
  <c r="AY20" i="61" s="1"/>
  <c r="AV20" i="61"/>
  <c r="AS20" i="61"/>
  <c r="AR20" i="61"/>
  <c r="AN20" i="61"/>
  <c r="AP20" i="61" s="1"/>
  <c r="AK20" i="61"/>
  <c r="BH20" i="61" s="1"/>
  <c r="AF20" i="61"/>
  <c r="AE20" i="61"/>
  <c r="AB20" i="61"/>
  <c r="AA20" i="61"/>
  <c r="X20" i="61"/>
  <c r="W20" i="61"/>
  <c r="O20" i="61"/>
  <c r="N20" i="61"/>
  <c r="L20" i="61"/>
  <c r="K20" i="61"/>
  <c r="J20" i="61"/>
  <c r="G20" i="61"/>
  <c r="F20" i="61"/>
  <c r="D20" i="61"/>
  <c r="C20" i="61"/>
  <c r="E20" i="61" s="1"/>
  <c r="B20" i="61"/>
  <c r="BB19" i="61"/>
  <c r="AW19" i="61"/>
  <c r="AV19" i="61"/>
  <c r="AS19" i="61"/>
  <c r="AU19" i="61" s="1"/>
  <c r="AR19" i="61"/>
  <c r="AN19" i="61"/>
  <c r="AP19" i="61" s="1"/>
  <c r="AK19" i="61"/>
  <c r="BH19" i="61" s="1"/>
  <c r="AF19" i="61"/>
  <c r="AE19" i="61"/>
  <c r="AB19" i="61"/>
  <c r="AA19" i="61"/>
  <c r="X19" i="61"/>
  <c r="W19" i="61"/>
  <c r="T19" i="61"/>
  <c r="O19" i="61"/>
  <c r="N19" i="61"/>
  <c r="K19" i="61"/>
  <c r="M19" i="61" s="1"/>
  <c r="J19" i="61"/>
  <c r="G19" i="61"/>
  <c r="F19" i="61"/>
  <c r="C19" i="61"/>
  <c r="B19" i="61"/>
  <c r="BB18" i="61"/>
  <c r="AW18" i="61"/>
  <c r="AY18" i="61" s="1"/>
  <c r="AV18" i="61"/>
  <c r="AS18" i="61"/>
  <c r="AR18" i="61"/>
  <c r="AN18" i="61"/>
  <c r="AP18" i="61" s="1"/>
  <c r="AK18" i="61"/>
  <c r="BH18" i="61" s="1"/>
  <c r="AF18" i="61"/>
  <c r="AE18" i="61"/>
  <c r="AB18" i="61"/>
  <c r="AA18" i="61"/>
  <c r="X18" i="61"/>
  <c r="W18" i="61"/>
  <c r="O18" i="61"/>
  <c r="N18" i="61"/>
  <c r="K18" i="61"/>
  <c r="J18" i="61"/>
  <c r="H18" i="61"/>
  <c r="G18" i="61"/>
  <c r="I18" i="61" s="1"/>
  <c r="F18" i="61"/>
  <c r="C18" i="61"/>
  <c r="E18" i="61" s="1"/>
  <c r="B18" i="61"/>
  <c r="BH17" i="61"/>
  <c r="BB17" i="61"/>
  <c r="AW17" i="61"/>
  <c r="AY17" i="61" s="1"/>
  <c r="AV17" i="61"/>
  <c r="AS17" i="61"/>
  <c r="AR17" i="61"/>
  <c r="AN17" i="61"/>
  <c r="AP17" i="61" s="1"/>
  <c r="AK17" i="61"/>
  <c r="AF17" i="61"/>
  <c r="AE17" i="61"/>
  <c r="AB17" i="61"/>
  <c r="AA17" i="61"/>
  <c r="X17" i="61"/>
  <c r="W17" i="61"/>
  <c r="T17" i="61"/>
  <c r="O17" i="61"/>
  <c r="N17" i="61"/>
  <c r="K17" i="61"/>
  <c r="J17" i="61"/>
  <c r="G17" i="61"/>
  <c r="F17" i="61"/>
  <c r="C17" i="61"/>
  <c r="E17" i="61" s="1"/>
  <c r="B17" i="61"/>
  <c r="BH16" i="61"/>
  <c r="BB16" i="61"/>
  <c r="AW16" i="61"/>
  <c r="AY16" i="61" s="1"/>
  <c r="AV16" i="61"/>
  <c r="AS16" i="61"/>
  <c r="AR16" i="61"/>
  <c r="AN16" i="61"/>
  <c r="AP16" i="61" s="1"/>
  <c r="AK16" i="61"/>
  <c r="AF16" i="61"/>
  <c r="AE16" i="61"/>
  <c r="AB16" i="61"/>
  <c r="AA16" i="61"/>
  <c r="X16" i="61"/>
  <c r="W16" i="61"/>
  <c r="T16" i="61"/>
  <c r="O16" i="61"/>
  <c r="N16" i="61"/>
  <c r="K16" i="61"/>
  <c r="J16" i="61"/>
  <c r="G16" i="61"/>
  <c r="F16" i="61"/>
  <c r="C16" i="61"/>
  <c r="E16" i="61" s="1"/>
  <c r="B16" i="61"/>
  <c r="BB15" i="61"/>
  <c r="AW15" i="61"/>
  <c r="AY15" i="61" s="1"/>
  <c r="AV15" i="61"/>
  <c r="AS15" i="61"/>
  <c r="AR15" i="61"/>
  <c r="AN15" i="61"/>
  <c r="AP15" i="61" s="1"/>
  <c r="AK15" i="61"/>
  <c r="BH15" i="61" s="1"/>
  <c r="AF15" i="61"/>
  <c r="AE15" i="61"/>
  <c r="AB15" i="61"/>
  <c r="AA15" i="61"/>
  <c r="X15" i="61"/>
  <c r="W15" i="61"/>
  <c r="O15" i="61"/>
  <c r="N15" i="61"/>
  <c r="L15" i="61"/>
  <c r="K15" i="61"/>
  <c r="M15" i="61" s="1"/>
  <c r="J15" i="61"/>
  <c r="G15" i="61"/>
  <c r="F15" i="61"/>
  <c r="D15" i="61"/>
  <c r="C15" i="61"/>
  <c r="B15" i="61"/>
  <c r="BB14" i="61"/>
  <c r="AW14" i="61"/>
  <c r="AY14" i="61" s="1"/>
  <c r="AV14" i="61"/>
  <c r="AS14" i="61"/>
  <c r="AR14" i="61"/>
  <c r="AN14" i="61"/>
  <c r="AP14" i="61" s="1"/>
  <c r="AK14" i="61"/>
  <c r="BH14" i="61" s="1"/>
  <c r="AF14" i="61"/>
  <c r="AE14" i="61"/>
  <c r="AB14" i="61"/>
  <c r="AA14" i="61"/>
  <c r="X14" i="61"/>
  <c r="W14" i="61"/>
  <c r="T14" i="61"/>
  <c r="O14" i="61"/>
  <c r="N14" i="61"/>
  <c r="K14" i="61"/>
  <c r="M14" i="61" s="1"/>
  <c r="J14" i="61"/>
  <c r="G14" i="61"/>
  <c r="I14" i="61" s="1"/>
  <c r="F14" i="61"/>
  <c r="C14" i="61"/>
  <c r="E14" i="61" s="1"/>
  <c r="B14" i="61"/>
  <c r="BB13" i="61"/>
  <c r="AW13" i="61"/>
  <c r="AV13" i="61"/>
  <c r="AS13" i="61"/>
  <c r="AU13" i="61" s="1"/>
  <c r="AR13" i="61"/>
  <c r="AN13" i="61"/>
  <c r="AP13" i="61" s="1"/>
  <c r="AK13" i="61"/>
  <c r="BH13" i="61" s="1"/>
  <c r="AF13" i="61"/>
  <c r="AE13" i="61"/>
  <c r="AB13" i="61"/>
  <c r="AA13" i="61"/>
  <c r="X13" i="61"/>
  <c r="W13" i="61"/>
  <c r="T13" i="61"/>
  <c r="O13" i="61"/>
  <c r="N13" i="61"/>
  <c r="K13" i="61"/>
  <c r="J13" i="61"/>
  <c r="G13" i="61"/>
  <c r="F13" i="61"/>
  <c r="C13" i="61"/>
  <c r="B13" i="61"/>
  <c r="BB12" i="61"/>
  <c r="AW12" i="61"/>
  <c r="AY12" i="61" s="1"/>
  <c r="AV12" i="61"/>
  <c r="AS12" i="61"/>
  <c r="AU12" i="61" s="1"/>
  <c r="AR12" i="61"/>
  <c r="AN12" i="61"/>
  <c r="AP12" i="61" s="1"/>
  <c r="AK12" i="61"/>
  <c r="BH12" i="61" s="1"/>
  <c r="AF12" i="61"/>
  <c r="AE12" i="61"/>
  <c r="AB12" i="61"/>
  <c r="AA12" i="61"/>
  <c r="X12" i="61"/>
  <c r="W12" i="61"/>
  <c r="T12" i="61"/>
  <c r="O12" i="61"/>
  <c r="N12" i="61"/>
  <c r="K12" i="61"/>
  <c r="J12" i="61"/>
  <c r="G12" i="61"/>
  <c r="I12" i="61" s="1"/>
  <c r="F12" i="61"/>
  <c r="C12" i="61"/>
  <c r="B12" i="61"/>
  <c r="BH11" i="61"/>
  <c r="BB11" i="61"/>
  <c r="AW11" i="61"/>
  <c r="AY11" i="61" s="1"/>
  <c r="AV11" i="61"/>
  <c r="AS11" i="61"/>
  <c r="AR11" i="61"/>
  <c r="AN11" i="61"/>
  <c r="AP11" i="61" s="1"/>
  <c r="AK11" i="61"/>
  <c r="AF11" i="61"/>
  <c r="AE11" i="61"/>
  <c r="AB11" i="61"/>
  <c r="AA11" i="61"/>
  <c r="X11" i="61"/>
  <c r="W11" i="61"/>
  <c r="T11" i="61"/>
  <c r="O11" i="61"/>
  <c r="N11" i="61"/>
  <c r="K11" i="61"/>
  <c r="J11" i="61"/>
  <c r="G11" i="61"/>
  <c r="F11" i="61"/>
  <c r="C11" i="61"/>
  <c r="E11" i="61" s="1"/>
  <c r="B11" i="61"/>
  <c r="BB10" i="61"/>
  <c r="AW10" i="61"/>
  <c r="AY10" i="61" s="1"/>
  <c r="AV10" i="61"/>
  <c r="AS10" i="61"/>
  <c r="AU10" i="61" s="1"/>
  <c r="AR10" i="61"/>
  <c r="AN10" i="61"/>
  <c r="AK10" i="61"/>
  <c r="AF10" i="61"/>
  <c r="AE10" i="61"/>
  <c r="AB10" i="61"/>
  <c r="AA10" i="61"/>
  <c r="X10" i="61"/>
  <c r="W10" i="61"/>
  <c r="T10" i="61"/>
  <c r="BF10" i="61" s="1"/>
  <c r="O10" i="61"/>
  <c r="N10" i="61"/>
  <c r="K10" i="61"/>
  <c r="J10" i="61"/>
  <c r="G10" i="61"/>
  <c r="F10" i="61"/>
  <c r="C10" i="61"/>
  <c r="B10" i="61"/>
  <c r="D60" i="60"/>
  <c r="E58" i="60"/>
  <c r="E57" i="60"/>
  <c r="D55" i="60"/>
  <c r="E55" i="60" s="1"/>
  <c r="E54" i="60"/>
  <c r="E52" i="60"/>
  <c r="D48" i="60"/>
  <c r="C48" i="60"/>
  <c r="B48" i="60"/>
  <c r="E47" i="60"/>
  <c r="E46" i="60"/>
  <c r="E45" i="60"/>
  <c r="D43" i="60"/>
  <c r="C43" i="60"/>
  <c r="B43" i="60"/>
  <c r="E42" i="60"/>
  <c r="E41" i="60"/>
  <c r="C39" i="60"/>
  <c r="B39" i="60"/>
  <c r="B56" i="60" s="1"/>
  <c r="D38" i="60"/>
  <c r="E38" i="60" s="1"/>
  <c r="E32" i="60"/>
  <c r="E31" i="60"/>
  <c r="E30" i="60"/>
  <c r="E29" i="60"/>
  <c r="D28" i="60"/>
  <c r="D39" i="60" s="1"/>
  <c r="E27" i="60"/>
  <c r="E26" i="60"/>
  <c r="E25" i="60"/>
  <c r="D23" i="60"/>
  <c r="E23" i="60" s="1"/>
  <c r="D21" i="60"/>
  <c r="C21" i="60"/>
  <c r="E20" i="60"/>
  <c r="E19" i="60"/>
  <c r="B19" i="60"/>
  <c r="B21" i="60" s="1"/>
  <c r="E18" i="60"/>
  <c r="E17" i="60"/>
  <c r="E14" i="60"/>
  <c r="D11" i="60"/>
  <c r="C11" i="60"/>
  <c r="B11" i="60"/>
  <c r="E10" i="60"/>
  <c r="E11" i="60" s="1"/>
  <c r="E43" i="60" l="1"/>
  <c r="E21" i="60"/>
  <c r="AQ38" i="62"/>
  <c r="P49" i="62"/>
  <c r="AO48" i="62"/>
  <c r="AJ12" i="61"/>
  <c r="BI12" i="61" s="1"/>
  <c r="R14" i="61"/>
  <c r="BF14" i="61"/>
  <c r="H28" i="61"/>
  <c r="BF29" i="61"/>
  <c r="D50" i="61"/>
  <c r="AO50" i="61"/>
  <c r="AO20" i="62"/>
  <c r="S49" i="62"/>
  <c r="AK49" i="62"/>
  <c r="T20" i="61"/>
  <c r="L50" i="61"/>
  <c r="BF23" i="61"/>
  <c r="AJ24" i="61"/>
  <c r="BF27" i="61"/>
  <c r="BA37" i="61"/>
  <c r="BC37" i="61" s="1"/>
  <c r="P50" i="61"/>
  <c r="P51" i="61" s="1"/>
  <c r="P54" i="61" s="1"/>
  <c r="BF40" i="61"/>
  <c r="AU18" i="62"/>
  <c r="Q50" i="62"/>
  <c r="Q51" i="62" s="1"/>
  <c r="Q54" i="62" s="1"/>
  <c r="AO40" i="62"/>
  <c r="AO46" i="62"/>
  <c r="BF19" i="61"/>
  <c r="AU40" i="62"/>
  <c r="C56" i="60"/>
  <c r="BB28" i="61"/>
  <c r="BF12" i="61"/>
  <c r="BB38" i="61"/>
  <c r="BB50" i="61" s="1"/>
  <c r="BF35" i="61"/>
  <c r="AI36" i="61"/>
  <c r="AZ37" i="61"/>
  <c r="AQ11" i="62"/>
  <c r="AU11" i="62" s="1"/>
  <c r="AY11" i="62" s="1"/>
  <c r="U50" i="62"/>
  <c r="U51" i="62" s="1"/>
  <c r="U54" i="62" s="1"/>
  <c r="BF13" i="61"/>
  <c r="AX50" i="61"/>
  <c r="AX51" i="61" s="1"/>
  <c r="E28" i="60"/>
  <c r="E48" i="60"/>
  <c r="BF11" i="61"/>
  <c r="L28" i="61"/>
  <c r="BF17" i="61"/>
  <c r="AM51" i="61"/>
  <c r="AM54" i="61" s="1"/>
  <c r="BF34" i="61"/>
  <c r="BF38" i="61" s="1"/>
  <c r="AK28" i="61"/>
  <c r="BH28" i="61" s="1"/>
  <c r="BF16" i="61"/>
  <c r="AK38" i="61"/>
  <c r="AG49" i="62"/>
  <c r="W47" i="62"/>
  <c r="AS47" i="62" s="1"/>
  <c r="AW47" i="62" s="1"/>
  <c r="BA18" i="61"/>
  <c r="BC18" i="61" s="1"/>
  <c r="BA21" i="61"/>
  <c r="BC21" i="61" s="1"/>
  <c r="AJ23" i="61"/>
  <c r="AP18" i="62"/>
  <c r="AR18" i="62" s="1"/>
  <c r="BA19" i="61"/>
  <c r="BC19" i="61" s="1"/>
  <c r="R18" i="61"/>
  <c r="AP42" i="62"/>
  <c r="BA17" i="61"/>
  <c r="BC17" i="61" s="1"/>
  <c r="AZ19" i="61"/>
  <c r="AI20" i="61"/>
  <c r="AZ20" i="61"/>
  <c r="AJ40" i="61"/>
  <c r="BI40" i="61" s="1"/>
  <c r="R42" i="61"/>
  <c r="BA44" i="61"/>
  <c r="B49" i="61"/>
  <c r="J49" i="61"/>
  <c r="AB49" i="61"/>
  <c r="AP12" i="62"/>
  <c r="AR12" i="62" s="1"/>
  <c r="AP14" i="62"/>
  <c r="AZ15" i="61"/>
  <c r="BA16" i="61"/>
  <c r="BC16" i="61" s="1"/>
  <c r="AI35" i="61"/>
  <c r="AZ16" i="61"/>
  <c r="AI24" i="61"/>
  <c r="AZ26" i="61"/>
  <c r="BA29" i="61"/>
  <c r="BC29" i="61" s="1"/>
  <c r="W34" i="62"/>
  <c r="F49" i="61"/>
  <c r="N49" i="61"/>
  <c r="X49" i="61"/>
  <c r="AF49" i="61"/>
  <c r="AS49" i="61"/>
  <c r="AU49" i="61" s="1"/>
  <c r="X12" i="62"/>
  <c r="Z12" i="62" s="1"/>
  <c r="W16" i="62"/>
  <c r="AO16" i="62"/>
  <c r="AO24" i="62"/>
  <c r="AO15" i="62"/>
  <c r="S16" i="61"/>
  <c r="AI26" i="61"/>
  <c r="AZ27" i="61"/>
  <c r="AJ37" i="61"/>
  <c r="AL37" i="61" s="1"/>
  <c r="AV28" i="61"/>
  <c r="AV30" i="61" s="1"/>
  <c r="AI11" i="61"/>
  <c r="J28" i="61"/>
  <c r="J30" i="61" s="1"/>
  <c r="AB28" i="61"/>
  <c r="AB30" i="61" s="1"/>
  <c r="AN28" i="61"/>
  <c r="AN30" i="61" s="1"/>
  <c r="AJ15" i="61"/>
  <c r="BI15" i="61" s="1"/>
  <c r="BA15" i="61"/>
  <c r="BC15" i="61" s="1"/>
  <c r="AI18" i="61"/>
  <c r="AZ18" i="61"/>
  <c r="AJ25" i="61"/>
  <c r="BI25" i="61" s="1"/>
  <c r="BA25" i="61"/>
  <c r="BC25" i="61" s="1"/>
  <c r="S29" i="61"/>
  <c r="U29" i="61" s="1"/>
  <c r="F38" i="61"/>
  <c r="AI34" i="61"/>
  <c r="AO14" i="62"/>
  <c r="W48" i="62"/>
  <c r="AS48" i="62" s="1"/>
  <c r="AW48" i="62" s="1"/>
  <c r="AO27" i="62"/>
  <c r="B38" i="61"/>
  <c r="F38" i="62"/>
  <c r="C28" i="61"/>
  <c r="C30" i="61" s="1"/>
  <c r="S11" i="61"/>
  <c r="U11" i="61" s="1"/>
  <c r="AZ11" i="61"/>
  <c r="S15" i="61"/>
  <c r="AI15" i="61"/>
  <c r="AU15" i="61"/>
  <c r="AZ22" i="61"/>
  <c r="BA22" i="61"/>
  <c r="BC22" i="61" s="1"/>
  <c r="BI24" i="61"/>
  <c r="BA24" i="61"/>
  <c r="BC24" i="61" s="1"/>
  <c r="R26" i="61"/>
  <c r="I26" i="61"/>
  <c r="AU29" i="61"/>
  <c r="N38" i="61"/>
  <c r="AF38" i="61"/>
  <c r="AI37" i="61"/>
  <c r="AZ44" i="61"/>
  <c r="R47" i="61"/>
  <c r="AJ48" i="61"/>
  <c r="BI48" i="61" s="1"/>
  <c r="BA48" i="61"/>
  <c r="BC48" i="61" s="1"/>
  <c r="E12" i="62"/>
  <c r="X25" i="62"/>
  <c r="Z25" i="62" s="1"/>
  <c r="X33" i="62"/>
  <c r="Z33" i="62" s="1"/>
  <c r="T38" i="62"/>
  <c r="V38" i="62" s="1"/>
  <c r="AP36" i="62"/>
  <c r="AR36" i="62" s="1"/>
  <c r="C49" i="62"/>
  <c r="E49" i="62" s="1"/>
  <c r="AJ11" i="61"/>
  <c r="BI11" i="61" s="1"/>
  <c r="BA11" i="61"/>
  <c r="BC11" i="61" s="1"/>
  <c r="AI13" i="61"/>
  <c r="AI14" i="61"/>
  <c r="AZ14" i="61"/>
  <c r="S17" i="61"/>
  <c r="U17" i="61" s="1"/>
  <c r="R29" i="61"/>
  <c r="AJ29" i="61"/>
  <c r="BI29" i="61" s="1"/>
  <c r="O38" i="61"/>
  <c r="AA38" i="61"/>
  <c r="AI40" i="61"/>
  <c r="AZ40" i="61"/>
  <c r="AJ44" i="61"/>
  <c r="BI44" i="61" s="1"/>
  <c r="AV49" i="61"/>
  <c r="AI47" i="61"/>
  <c r="AZ47" i="61"/>
  <c r="AI48" i="61"/>
  <c r="AZ48" i="61"/>
  <c r="AP17" i="62"/>
  <c r="AR17" i="62" s="1"/>
  <c r="AO19" i="62"/>
  <c r="W22" i="62"/>
  <c r="AO23" i="62"/>
  <c r="AP26" i="62"/>
  <c r="AR26" i="62" s="1"/>
  <c r="X36" i="62"/>
  <c r="Z36" i="62" s="1"/>
  <c r="AO37" i="62"/>
  <c r="AF49" i="62"/>
  <c r="AO47" i="62"/>
  <c r="AO49" i="62" s="1"/>
  <c r="G28" i="61"/>
  <c r="G30" i="61" s="1"/>
  <c r="O28" i="61"/>
  <c r="O30" i="61" s="1"/>
  <c r="AA28" i="61"/>
  <c r="AA30" i="61" s="1"/>
  <c r="AI12" i="61"/>
  <c r="R13" i="61"/>
  <c r="AJ13" i="61"/>
  <c r="BI13" i="61" s="1"/>
  <c r="AU16" i="61"/>
  <c r="AJ17" i="61"/>
  <c r="BI17" i="61" s="1"/>
  <c r="AJ20" i="61"/>
  <c r="BI20" i="61" s="1"/>
  <c r="S21" i="61"/>
  <c r="U21" i="61" s="1"/>
  <c r="AI21" i="61"/>
  <c r="AZ21" i="61"/>
  <c r="BA34" i="61"/>
  <c r="BC34" i="61" s="1"/>
  <c r="S35" i="61"/>
  <c r="U35" i="61" s="1"/>
  <c r="AZ35" i="61"/>
  <c r="AU37" i="61"/>
  <c r="R44" i="61"/>
  <c r="AU44" i="61"/>
  <c r="B28" i="62"/>
  <c r="B30" i="62" s="1"/>
  <c r="AO10" i="62"/>
  <c r="W13" i="62"/>
  <c r="AO13" i="62"/>
  <c r="X15" i="62"/>
  <c r="Z15" i="62" s="1"/>
  <c r="AP20" i="62"/>
  <c r="AR20" i="62" s="1"/>
  <c r="G38" i="62"/>
  <c r="I38" i="62" s="1"/>
  <c r="AJ38" i="62"/>
  <c r="AE42" i="62"/>
  <c r="AE28" i="61"/>
  <c r="AE30" i="61" s="1"/>
  <c r="AU11" i="61"/>
  <c r="S13" i="61"/>
  <c r="U13" i="61" s="1"/>
  <c r="BA13" i="61"/>
  <c r="BC13" i="61" s="1"/>
  <c r="AJ14" i="61"/>
  <c r="BI14" i="61" s="1"/>
  <c r="BA14" i="61"/>
  <c r="BC14" i="61" s="1"/>
  <c r="E15" i="61"/>
  <c r="AJ16" i="61"/>
  <c r="BI16" i="61" s="1"/>
  <c r="R17" i="61"/>
  <c r="AI17" i="61"/>
  <c r="R19" i="61"/>
  <c r="AI19" i="61"/>
  <c r="BI23" i="61"/>
  <c r="BA23" i="61"/>
  <c r="BC23" i="61" s="1"/>
  <c r="R27" i="61"/>
  <c r="K38" i="61"/>
  <c r="M38" i="61" s="1"/>
  <c r="M33" i="61"/>
  <c r="E10" i="61"/>
  <c r="K28" i="61"/>
  <c r="K30" i="61" s="1"/>
  <c r="W28" i="61"/>
  <c r="W30" i="61" s="1"/>
  <c r="F28" i="61"/>
  <c r="F30" i="61" s="1"/>
  <c r="N28" i="61"/>
  <c r="N30" i="61" s="1"/>
  <c r="X28" i="61"/>
  <c r="X30" i="61" s="1"/>
  <c r="AF28" i="61"/>
  <c r="AF30" i="61" s="1"/>
  <c r="AS28" i="61"/>
  <c r="AS30" i="61" s="1"/>
  <c r="R11" i="61"/>
  <c r="AZ12" i="61"/>
  <c r="AZ13" i="61"/>
  <c r="R16" i="61"/>
  <c r="AI16" i="61"/>
  <c r="AU17" i="61"/>
  <c r="S18" i="61"/>
  <c r="S20" i="61"/>
  <c r="U20" i="61" s="1"/>
  <c r="R21" i="61"/>
  <c r="AJ21" i="61"/>
  <c r="BI21" i="61" s="1"/>
  <c r="AV38" i="61"/>
  <c r="B28" i="61"/>
  <c r="B30" i="61" s="1"/>
  <c r="AZ10" i="61"/>
  <c r="R15" i="61"/>
  <c r="AZ17" i="61"/>
  <c r="S24" i="61"/>
  <c r="U24" i="61" s="1"/>
  <c r="E24" i="61"/>
  <c r="AN38" i="61"/>
  <c r="AP38" i="61" s="1"/>
  <c r="AP33" i="61"/>
  <c r="AN49" i="61"/>
  <c r="AP49" i="61" s="1"/>
  <c r="AP46" i="61"/>
  <c r="AZ23" i="61"/>
  <c r="R24" i="61"/>
  <c r="AZ24" i="61"/>
  <c r="C38" i="61"/>
  <c r="E38" i="61" s="1"/>
  <c r="J38" i="61"/>
  <c r="R34" i="61"/>
  <c r="S34" i="61"/>
  <c r="U34" i="61" s="1"/>
  <c r="R36" i="61"/>
  <c r="BD36" i="61" s="1"/>
  <c r="S37" i="61"/>
  <c r="U37" i="61" s="1"/>
  <c r="O49" i="61"/>
  <c r="AA49" i="61"/>
  <c r="AP11" i="62"/>
  <c r="AR11" i="62" s="1"/>
  <c r="X21" i="62"/>
  <c r="Z21" i="62" s="1"/>
  <c r="X27" i="62"/>
  <c r="Z27" i="62" s="1"/>
  <c r="X44" i="62"/>
  <c r="Z44" i="62" s="1"/>
  <c r="AU48" i="61"/>
  <c r="C28" i="62"/>
  <c r="C30" i="62" s="1"/>
  <c r="S28" i="62"/>
  <c r="S30" i="62" s="1"/>
  <c r="AE12" i="62"/>
  <c r="AP13" i="62"/>
  <c r="AR13" i="62" s="1"/>
  <c r="AE17" i="62"/>
  <c r="AE18" i="62"/>
  <c r="X24" i="62"/>
  <c r="W24" i="62"/>
  <c r="E25" i="62"/>
  <c r="AO25" i="62"/>
  <c r="AP29" i="62"/>
  <c r="AR29" i="62" s="1"/>
  <c r="AK38" i="62"/>
  <c r="AK50" i="62" s="1"/>
  <c r="AP35" i="62"/>
  <c r="AR35" i="62" s="1"/>
  <c r="AE36" i="62"/>
  <c r="AO42" i="62"/>
  <c r="F49" i="62"/>
  <c r="K49" i="62"/>
  <c r="M49" i="62" s="1"/>
  <c r="T49" i="62"/>
  <c r="V49" i="62" s="1"/>
  <c r="AJ49" i="62"/>
  <c r="X48" i="62"/>
  <c r="Z48" i="62" s="1"/>
  <c r="AJ18" i="61"/>
  <c r="BI18" i="61" s="1"/>
  <c r="S19" i="61"/>
  <c r="AJ19" i="61"/>
  <c r="BI19" i="61" s="1"/>
  <c r="R20" i="61"/>
  <c r="M20" i="61"/>
  <c r="BA20" i="61"/>
  <c r="BC20" i="61" s="1"/>
  <c r="R22" i="61"/>
  <c r="AI22" i="61"/>
  <c r="S23" i="61"/>
  <c r="U23" i="61" s="1"/>
  <c r="AI23" i="61"/>
  <c r="R25" i="61"/>
  <c r="S26" i="61"/>
  <c r="S27" i="61"/>
  <c r="U27" i="61" s="1"/>
  <c r="AI27" i="61"/>
  <c r="AI29" i="61"/>
  <c r="AZ29" i="61"/>
  <c r="G38" i="61"/>
  <c r="I38" i="61" s="1"/>
  <c r="AI33" i="61"/>
  <c r="AE38" i="61"/>
  <c r="BA33" i="61"/>
  <c r="BC33" i="61" s="1"/>
  <c r="AZ34" i="61"/>
  <c r="R35" i="61"/>
  <c r="AJ35" i="61"/>
  <c r="BI35" i="61" s="1"/>
  <c r="BA35" i="61"/>
  <c r="BC35" i="61" s="1"/>
  <c r="BA36" i="61"/>
  <c r="BC36" i="61" s="1"/>
  <c r="AI42" i="61"/>
  <c r="K49" i="61"/>
  <c r="W49" i="61"/>
  <c r="AE49" i="61"/>
  <c r="AW49" i="61"/>
  <c r="AY49" i="61" s="1"/>
  <c r="R48" i="61"/>
  <c r="Q49" i="61"/>
  <c r="K28" i="62"/>
  <c r="K30" i="62" s="1"/>
  <c r="AK28" i="62"/>
  <c r="AK30" i="62" s="1"/>
  <c r="W15" i="62"/>
  <c r="AO18" i="62"/>
  <c r="W21" i="62"/>
  <c r="AO21" i="62"/>
  <c r="X26" i="62"/>
  <c r="AO26" i="62"/>
  <c r="X29" i="62"/>
  <c r="AO29" i="62"/>
  <c r="B38" i="62"/>
  <c r="P38" i="62"/>
  <c r="P50" i="62" s="1"/>
  <c r="AO34" i="62"/>
  <c r="AS34" i="62" s="1"/>
  <c r="AW34" i="62" s="1"/>
  <c r="W35" i="62"/>
  <c r="AO36" i="62"/>
  <c r="AP37" i="62"/>
  <c r="AR37" i="62" s="1"/>
  <c r="AO44" i="62"/>
  <c r="B49" i="62"/>
  <c r="G49" i="62"/>
  <c r="I49" i="62" s="1"/>
  <c r="O49" i="62"/>
  <c r="V46" i="62"/>
  <c r="X47" i="62"/>
  <c r="Z47" i="62" s="1"/>
  <c r="AP47" i="62"/>
  <c r="AR47" i="62" s="1"/>
  <c r="S22" i="61"/>
  <c r="U22" i="61" s="1"/>
  <c r="AJ22" i="61"/>
  <c r="BI22" i="61" s="1"/>
  <c r="R23" i="61"/>
  <c r="S25" i="61"/>
  <c r="AI25" i="61"/>
  <c r="AZ25" i="61"/>
  <c r="BA26" i="61"/>
  <c r="BC26" i="61" s="1"/>
  <c r="AJ27" i="61"/>
  <c r="BI27" i="61" s="1"/>
  <c r="BA27" i="61"/>
  <c r="BC27" i="61" s="1"/>
  <c r="AJ33" i="61"/>
  <c r="BI33" i="61" s="1"/>
  <c r="AR38" i="61"/>
  <c r="AJ34" i="61"/>
  <c r="BI34" i="61" s="1"/>
  <c r="S36" i="61"/>
  <c r="U36" i="61" s="1"/>
  <c r="R37" i="61"/>
  <c r="AJ42" i="61"/>
  <c r="AL42" i="61" s="1"/>
  <c r="AZ42" i="61"/>
  <c r="AI44" i="61"/>
  <c r="AZ46" i="61"/>
  <c r="S48" i="61"/>
  <c r="F28" i="62"/>
  <c r="F30" i="62" s="1"/>
  <c r="O28" i="62"/>
  <c r="O30" i="62" s="1"/>
  <c r="AE14" i="62"/>
  <c r="AP16" i="62"/>
  <c r="AR16" i="62" s="1"/>
  <c r="W17" i="62"/>
  <c r="AO17" i="62"/>
  <c r="W18" i="62"/>
  <c r="W19" i="62"/>
  <c r="W20" i="62"/>
  <c r="AS20" i="62" s="1"/>
  <c r="AW20" i="62" s="1"/>
  <c r="X22" i="62"/>
  <c r="Z22" i="62" s="1"/>
  <c r="AO22" i="62"/>
  <c r="AP24" i="62"/>
  <c r="AR24" i="62" s="1"/>
  <c r="W27" i="62"/>
  <c r="J38" i="62"/>
  <c r="J50" i="62" s="1"/>
  <c r="AP34" i="62"/>
  <c r="AR34" i="62" s="1"/>
  <c r="AO35" i="62"/>
  <c r="W37" i="62"/>
  <c r="W40" i="62"/>
  <c r="AR42" i="62"/>
  <c r="I46" i="62"/>
  <c r="W46" i="62"/>
  <c r="AS46" i="62" s="1"/>
  <c r="AP46" i="62"/>
  <c r="AR46" i="62" s="1"/>
  <c r="E47" i="62"/>
  <c r="AY13" i="62"/>
  <c r="AP15" i="62"/>
  <c r="AE15" i="62"/>
  <c r="AE25" i="62"/>
  <c r="AP25" i="62"/>
  <c r="AR25" i="62" s="1"/>
  <c r="G28" i="62"/>
  <c r="M10" i="62"/>
  <c r="T28" i="62"/>
  <c r="T30" i="62" s="1"/>
  <c r="W11" i="62"/>
  <c r="AE11" i="62"/>
  <c r="W12" i="62"/>
  <c r="AU12" i="62"/>
  <c r="X14" i="62"/>
  <c r="AT14" i="62" s="1"/>
  <c r="AX14" i="62" s="1"/>
  <c r="M14" i="62"/>
  <c r="AP22" i="62"/>
  <c r="AR22" i="62" s="1"/>
  <c r="AE22" i="62"/>
  <c r="W23" i="62"/>
  <c r="AG28" i="62"/>
  <c r="AG30" i="62" s="1"/>
  <c r="AC38" i="62"/>
  <c r="AE33" i="62"/>
  <c r="AP33" i="62"/>
  <c r="AD30" i="62"/>
  <c r="AY18" i="62"/>
  <c r="I10" i="62"/>
  <c r="W10" i="62"/>
  <c r="AC28" i="62"/>
  <c r="AC30" i="62" s="1"/>
  <c r="AP10" i="62"/>
  <c r="AJ28" i="62"/>
  <c r="AJ30" i="62" s="1"/>
  <c r="AU10" i="62"/>
  <c r="X11" i="62"/>
  <c r="AO11" i="62"/>
  <c r="AO12" i="62"/>
  <c r="X13" i="62"/>
  <c r="M13" i="62"/>
  <c r="AU15" i="62"/>
  <c r="X16" i="62"/>
  <c r="Z16" i="62" s="1"/>
  <c r="M16" i="62"/>
  <c r="X18" i="62"/>
  <c r="X19" i="62"/>
  <c r="E19" i="62"/>
  <c r="AY19" i="62"/>
  <c r="X20" i="62"/>
  <c r="E20" i="62"/>
  <c r="AY20" i="62"/>
  <c r="AP21" i="62"/>
  <c r="AY27" i="62"/>
  <c r="J28" i="62"/>
  <c r="J30" i="62" s="1"/>
  <c r="P28" i="62"/>
  <c r="P30" i="62" s="1"/>
  <c r="X10" i="62"/>
  <c r="Z10" i="62" s="1"/>
  <c r="W14" i="62"/>
  <c r="AU16" i="62"/>
  <c r="X17" i="62"/>
  <c r="X23" i="62"/>
  <c r="M23" i="62"/>
  <c r="Y34" i="62"/>
  <c r="D38" i="62"/>
  <c r="E34" i="62"/>
  <c r="AF28" i="62"/>
  <c r="AF30" i="62" s="1"/>
  <c r="AQ14" i="62"/>
  <c r="AR14" i="62" s="1"/>
  <c r="AP19" i="62"/>
  <c r="AR19" i="62" s="1"/>
  <c r="AU21" i="62"/>
  <c r="AP23" i="62"/>
  <c r="AR23" i="62" s="1"/>
  <c r="W25" i="62"/>
  <c r="AB28" i="62"/>
  <c r="AB30" i="62" s="1"/>
  <c r="E11" i="62"/>
  <c r="E17" i="62"/>
  <c r="E18" i="62"/>
  <c r="W26" i="62"/>
  <c r="AP27" i="62"/>
  <c r="AE27" i="62"/>
  <c r="AL51" i="62"/>
  <c r="AL54" i="62" s="1"/>
  <c r="W29" i="62"/>
  <c r="AH30" i="62"/>
  <c r="D28" i="62"/>
  <c r="Y24" i="62"/>
  <c r="E24" i="62"/>
  <c r="X35" i="62"/>
  <c r="E35" i="62"/>
  <c r="AY35" i="62"/>
  <c r="AP48" i="62"/>
  <c r="AR48" i="62" s="1"/>
  <c r="AE48" i="62"/>
  <c r="AU23" i="62"/>
  <c r="AU25" i="62"/>
  <c r="AU26" i="62"/>
  <c r="AU29" i="62"/>
  <c r="K38" i="62"/>
  <c r="S38" i="62"/>
  <c r="S50" i="62" s="1"/>
  <c r="Y38" i="62"/>
  <c r="AQ50" i="62"/>
  <c r="AU33" i="62"/>
  <c r="X40" i="62"/>
  <c r="E40" i="62"/>
  <c r="AY40" i="62"/>
  <c r="AU42" i="62"/>
  <c r="M33" i="62"/>
  <c r="AF38" i="62"/>
  <c r="AR33" i="62"/>
  <c r="X34" i="62"/>
  <c r="X37" i="62"/>
  <c r="E37" i="62"/>
  <c r="AY37" i="62"/>
  <c r="H50" i="62"/>
  <c r="W42" i="62"/>
  <c r="W44" i="62"/>
  <c r="AY47" i="62"/>
  <c r="AU48" i="62"/>
  <c r="AB49" i="62"/>
  <c r="C38" i="62"/>
  <c r="I33" i="62"/>
  <c r="O38" i="62"/>
  <c r="W33" i="62"/>
  <c r="AB38" i="62"/>
  <c r="AG38" i="62"/>
  <c r="AO33" i="62"/>
  <c r="W36" i="62"/>
  <c r="L50" i="62"/>
  <c r="X42" i="62"/>
  <c r="AP44" i="62"/>
  <c r="AR44" i="62" s="1"/>
  <c r="AP40" i="62"/>
  <c r="AR40" i="62" s="1"/>
  <c r="AU44" i="62"/>
  <c r="X46" i="62"/>
  <c r="AU46" i="62"/>
  <c r="AC49" i="62"/>
  <c r="AE49" i="62" s="1"/>
  <c r="E36" i="62"/>
  <c r="M46" i="62"/>
  <c r="I10" i="61"/>
  <c r="AJ10" i="61"/>
  <c r="AR28" i="61"/>
  <c r="AR30" i="61" s="1"/>
  <c r="AW28" i="61"/>
  <c r="BB30" i="61"/>
  <c r="R12" i="61"/>
  <c r="BF20" i="61"/>
  <c r="R10" i="61"/>
  <c r="S12" i="61"/>
  <c r="E12" i="61"/>
  <c r="L30" i="61"/>
  <c r="H30" i="61"/>
  <c r="S10" i="61"/>
  <c r="BH10" i="61"/>
  <c r="AI10" i="61"/>
  <c r="AP10" i="61"/>
  <c r="BA10" i="61"/>
  <c r="BA12" i="61"/>
  <c r="BC12" i="61" s="1"/>
  <c r="BF24" i="61"/>
  <c r="S14" i="61"/>
  <c r="U14" i="61" s="1"/>
  <c r="AU14" i="61"/>
  <c r="T15" i="61"/>
  <c r="BF22" i="61"/>
  <c r="T26" i="61"/>
  <c r="D28" i="61"/>
  <c r="AT28" i="61"/>
  <c r="BH38" i="61"/>
  <c r="AY13" i="61"/>
  <c r="U16" i="61"/>
  <c r="AU18" i="61"/>
  <c r="E19" i="61"/>
  <c r="AY19" i="61"/>
  <c r="AU20" i="61"/>
  <c r="E21" i="61"/>
  <c r="AU21" i="61"/>
  <c r="E22" i="61"/>
  <c r="AY22" i="61"/>
  <c r="I23" i="61"/>
  <c r="AU24" i="61"/>
  <c r="E25" i="61"/>
  <c r="AU25" i="61"/>
  <c r="E26" i="61"/>
  <c r="AU26" i="61"/>
  <c r="E27" i="61"/>
  <c r="AU27" i="61"/>
  <c r="Y51" i="61"/>
  <c r="Z30" i="61"/>
  <c r="E13" i="61"/>
  <c r="T18" i="61"/>
  <c r="AG54" i="61"/>
  <c r="AO51" i="61"/>
  <c r="AP30" i="61"/>
  <c r="E29" i="61"/>
  <c r="U25" i="61"/>
  <c r="AJ26" i="61"/>
  <c r="BI26" i="61" s="1"/>
  <c r="AC54" i="61"/>
  <c r="AP28" i="61"/>
  <c r="E33" i="61"/>
  <c r="AH33" i="61"/>
  <c r="AY33" i="61"/>
  <c r="I34" i="61"/>
  <c r="AU36" i="61"/>
  <c r="BH36" i="61"/>
  <c r="E37" i="61"/>
  <c r="AD37" i="61"/>
  <c r="W38" i="61"/>
  <c r="AB38" i="61"/>
  <c r="AS38" i="61"/>
  <c r="AW38" i="61"/>
  <c r="R40" i="61"/>
  <c r="BC44" i="61"/>
  <c r="R33" i="61"/>
  <c r="AZ33" i="61"/>
  <c r="BH33" i="61"/>
  <c r="X38" i="61"/>
  <c r="X50" i="61" s="1"/>
  <c r="S40" i="61"/>
  <c r="U40" i="61" s="1"/>
  <c r="S33" i="61"/>
  <c r="T38" i="61"/>
  <c r="Z49" i="61"/>
  <c r="BA40" i="61"/>
  <c r="BC40" i="61" s="1"/>
  <c r="S42" i="61"/>
  <c r="BA42" i="61"/>
  <c r="BC42" i="61" s="1"/>
  <c r="S46" i="61"/>
  <c r="U46" i="61" s="1"/>
  <c r="AU46" i="61"/>
  <c r="BA46" i="61"/>
  <c r="BC46" i="61" s="1"/>
  <c r="AJ47" i="61"/>
  <c r="BI47" i="61" s="1"/>
  <c r="BA47" i="61"/>
  <c r="BC47" i="61" s="1"/>
  <c r="C49" i="61"/>
  <c r="G49" i="61"/>
  <c r="T49" i="61"/>
  <c r="AR49" i="61"/>
  <c r="BF42" i="61"/>
  <c r="S44" i="61"/>
  <c r="BF44" i="61"/>
  <c r="AI46" i="61"/>
  <c r="BF46" i="61"/>
  <c r="S47" i="61"/>
  <c r="BF47" i="61"/>
  <c r="AJ46" i="61"/>
  <c r="AK49" i="61"/>
  <c r="AK50" i="61" s="1"/>
  <c r="R46" i="61"/>
  <c r="B59" i="60"/>
  <c r="B61" i="60" s="1"/>
  <c r="C59" i="60"/>
  <c r="C61" i="60" s="1"/>
  <c r="E39" i="60"/>
  <c r="E56" i="60" s="1"/>
  <c r="E59" i="60" s="1"/>
  <c r="E61" i="60" s="1"/>
  <c r="D56" i="60"/>
  <c r="AK30" i="61" l="1"/>
  <c r="AS40" i="62"/>
  <c r="AW40" i="62" s="1"/>
  <c r="BD20" i="61"/>
  <c r="BD47" i="61"/>
  <c r="AT21" i="62"/>
  <c r="AX21" i="62" s="1"/>
  <c r="AS27" i="62"/>
  <c r="AW27" i="62" s="1"/>
  <c r="T28" i="61"/>
  <c r="AT42" i="62"/>
  <c r="AX42" i="62" s="1"/>
  <c r="C50" i="62"/>
  <c r="AS19" i="62"/>
  <c r="AW19" i="62" s="1"/>
  <c r="B50" i="61"/>
  <c r="AT36" i="62"/>
  <c r="AX36" i="62" s="1"/>
  <c r="AT26" i="62"/>
  <c r="AX26" i="62" s="1"/>
  <c r="BD29" i="61"/>
  <c r="BD22" i="61"/>
  <c r="AS24" i="62"/>
  <c r="AW24" i="62" s="1"/>
  <c r="J50" i="61"/>
  <c r="J51" i="61" s="1"/>
  <c r="J54" i="61" s="1"/>
  <c r="BE17" i="61"/>
  <c r="BG17" i="61" s="1"/>
  <c r="C51" i="62"/>
  <c r="C54" i="62" s="1"/>
  <c r="AS14" i="62"/>
  <c r="AW14" i="62" s="1"/>
  <c r="G50" i="61"/>
  <c r="I50" i="61" s="1"/>
  <c r="AZ38" i="61"/>
  <c r="BD40" i="61"/>
  <c r="W50" i="61"/>
  <c r="BD12" i="61"/>
  <c r="AS26" i="62"/>
  <c r="AW26" i="62" s="1"/>
  <c r="BD15" i="61"/>
  <c r="F50" i="61"/>
  <c r="F51" i="61" s="1"/>
  <c r="F54" i="61" s="1"/>
  <c r="AT13" i="62"/>
  <c r="AX13" i="62" s="1"/>
  <c r="AK51" i="62"/>
  <c r="AK54" i="62" s="1"/>
  <c r="AS42" i="62"/>
  <c r="AW42" i="62" s="1"/>
  <c r="M28" i="62"/>
  <c r="AT15" i="62"/>
  <c r="AX15" i="62" s="1"/>
  <c r="AV50" i="61"/>
  <c r="AV51" i="61" s="1"/>
  <c r="AV54" i="61" s="1"/>
  <c r="BE18" i="61"/>
  <c r="AF50" i="62"/>
  <c r="AS23" i="62"/>
  <c r="AW23" i="62" s="1"/>
  <c r="AT12" i="62"/>
  <c r="AX12" i="62" s="1"/>
  <c r="AS15" i="62"/>
  <c r="AW15" i="62" s="1"/>
  <c r="BD48" i="61"/>
  <c r="F50" i="62"/>
  <c r="F51" i="62" s="1"/>
  <c r="F54" i="62" s="1"/>
  <c r="AA50" i="61"/>
  <c r="AA51" i="61" s="1"/>
  <c r="AA54" i="61" s="1"/>
  <c r="O50" i="62"/>
  <c r="O51" i="62" s="1"/>
  <c r="O54" i="62" s="1"/>
  <c r="P51" i="62"/>
  <c r="P54" i="62" s="1"/>
  <c r="BD35" i="61"/>
  <c r="C50" i="61"/>
  <c r="C51" i="61" s="1"/>
  <c r="C54" i="61" s="1"/>
  <c r="W51" i="61"/>
  <c r="W54" i="61" s="1"/>
  <c r="BE21" i="61"/>
  <c r="BG21" i="61" s="1"/>
  <c r="AS17" i="62"/>
  <c r="AW17" i="62" s="1"/>
  <c r="AL44" i="61"/>
  <c r="AI49" i="61"/>
  <c r="S51" i="62"/>
  <c r="S54" i="62" s="1"/>
  <c r="N50" i="61"/>
  <c r="N51" i="61" s="1"/>
  <c r="N54" i="61" s="1"/>
  <c r="AI38" i="61"/>
  <c r="AL33" i="61"/>
  <c r="AT27" i="62"/>
  <c r="BD23" i="61"/>
  <c r="AN50" i="61"/>
  <c r="AN51" i="61" s="1"/>
  <c r="AN54" i="61" s="1"/>
  <c r="AR21" i="62"/>
  <c r="AS18" i="62"/>
  <c r="AW18" i="62" s="1"/>
  <c r="AT29" i="62"/>
  <c r="AX29" i="62" s="1"/>
  <c r="AS16" i="62"/>
  <c r="AW16" i="62" s="1"/>
  <c r="BE25" i="61"/>
  <c r="BG25" i="61" s="1"/>
  <c r="AT25" i="62"/>
  <c r="AX25" i="62" s="1"/>
  <c r="BE15" i="61"/>
  <c r="BD18" i="61"/>
  <c r="BD21" i="61"/>
  <c r="AF50" i="61"/>
  <c r="AF51" i="61" s="1"/>
  <c r="BD26" i="61"/>
  <c r="BD11" i="61"/>
  <c r="AL29" i="61"/>
  <c r="BE48" i="61"/>
  <c r="BG48" i="61" s="1"/>
  <c r="AT48" i="62"/>
  <c r="AX48" i="62" s="1"/>
  <c r="AH38" i="61"/>
  <c r="BI37" i="61"/>
  <c r="BE20" i="61"/>
  <c r="I28" i="61"/>
  <c r="M28" i="61"/>
  <c r="AV36" i="62"/>
  <c r="AT23" i="62"/>
  <c r="AX23" i="62" s="1"/>
  <c r="AZ49" i="61"/>
  <c r="X51" i="61"/>
  <c r="X54" i="61" s="1"/>
  <c r="BE22" i="61"/>
  <c r="BE29" i="61"/>
  <c r="BG29" i="61" s="1"/>
  <c r="AB50" i="62"/>
  <c r="AB51" i="62" s="1"/>
  <c r="AB54" i="62" s="1"/>
  <c r="W49" i="62"/>
  <c r="BD44" i="61"/>
  <c r="BD13" i="61"/>
  <c r="BD17" i="61"/>
  <c r="AS22" i="62"/>
  <c r="AW22" i="62" s="1"/>
  <c r="BD14" i="61"/>
  <c r="AR50" i="61"/>
  <c r="AR51" i="61" s="1"/>
  <c r="AR54" i="61" s="1"/>
  <c r="Z50" i="61"/>
  <c r="AJ38" i="61"/>
  <c r="AL38" i="61" s="1"/>
  <c r="BD37" i="61"/>
  <c r="BD42" i="61"/>
  <c r="BE19" i="61"/>
  <c r="BG19" i="61" s="1"/>
  <c r="AJ50" i="62"/>
  <c r="AS13" i="62"/>
  <c r="AW13" i="62" s="1"/>
  <c r="BE44" i="61"/>
  <c r="BG44" i="61" s="1"/>
  <c r="BI42" i="61"/>
  <c r="AP50" i="61"/>
  <c r="AS44" i="62"/>
  <c r="AW44" i="62" s="1"/>
  <c r="K50" i="62"/>
  <c r="M50" i="62" s="1"/>
  <c r="AR27" i="62"/>
  <c r="AS29" i="62"/>
  <c r="AW29" i="62" s="1"/>
  <c r="J51" i="62"/>
  <c r="J54" i="62" s="1"/>
  <c r="AT11" i="62"/>
  <c r="AX11" i="62" s="1"/>
  <c r="AT22" i="62"/>
  <c r="AX22" i="62" s="1"/>
  <c r="AS37" i="62"/>
  <c r="AW37" i="62" s="1"/>
  <c r="BE27" i="61"/>
  <c r="BG27" i="61" s="1"/>
  <c r="BE11" i="61"/>
  <c r="BG11" i="61" s="1"/>
  <c r="BE24" i="61"/>
  <c r="BG24" i="61" s="1"/>
  <c r="AH50" i="61"/>
  <c r="BG22" i="61"/>
  <c r="AT34" i="62"/>
  <c r="AX34" i="62" s="1"/>
  <c r="Z26" i="62"/>
  <c r="T50" i="62"/>
  <c r="V50" i="62" s="1"/>
  <c r="O50" i="61"/>
  <c r="Q50" i="61" s="1"/>
  <c r="BD34" i="61"/>
  <c r="BE13" i="61"/>
  <c r="BG13" i="61" s="1"/>
  <c r="AJ51" i="62"/>
  <c r="AJ54" i="62" s="1"/>
  <c r="AS35" i="62"/>
  <c r="AW35" i="62" s="1"/>
  <c r="B50" i="62"/>
  <c r="B51" i="62" s="1"/>
  <c r="B54" i="62" s="1"/>
  <c r="AS21" i="62"/>
  <c r="AW21" i="62" s="1"/>
  <c r="BE23" i="61"/>
  <c r="BG23" i="61" s="1"/>
  <c r="K50" i="61"/>
  <c r="M50" i="61" s="1"/>
  <c r="E49" i="61"/>
  <c r="BE36" i="61"/>
  <c r="BG36" i="61" s="1"/>
  <c r="BE37" i="61"/>
  <c r="BG37" i="61" s="1"/>
  <c r="AI28" i="61"/>
  <c r="AI30" i="61" s="1"/>
  <c r="U19" i="61"/>
  <c r="AT47" i="62"/>
  <c r="AX47" i="62" s="1"/>
  <c r="M38" i="62"/>
  <c r="AS36" i="62"/>
  <c r="AW36" i="62" s="1"/>
  <c r="Z13" i="62"/>
  <c r="AT16" i="62"/>
  <c r="AX16" i="62" s="1"/>
  <c r="Z14" i="62"/>
  <c r="AO28" i="62"/>
  <c r="AO30" i="62" s="1"/>
  <c r="AR15" i="62"/>
  <c r="AS11" i="62"/>
  <c r="AW11" i="62" s="1"/>
  <c r="BA38" i="61"/>
  <c r="BC38" i="61" s="1"/>
  <c r="BD24" i="61"/>
  <c r="BE35" i="61"/>
  <c r="BG35" i="61" s="1"/>
  <c r="B51" i="61"/>
  <c r="B54" i="61" s="1"/>
  <c r="BE16" i="61"/>
  <c r="BG16" i="61" s="1"/>
  <c r="G50" i="62"/>
  <c r="I50" i="62" s="1"/>
  <c r="BD27" i="61"/>
  <c r="Z29" i="62"/>
  <c r="AS25" i="62"/>
  <c r="AW25" i="62" s="1"/>
  <c r="BE47" i="61"/>
  <c r="BG47" i="61" s="1"/>
  <c r="BA49" i="61"/>
  <c r="BC49" i="61" s="1"/>
  <c r="BE42" i="61"/>
  <c r="BG42" i="61" s="1"/>
  <c r="BE14" i="61"/>
  <c r="BG14" i="61" s="1"/>
  <c r="AT44" i="62"/>
  <c r="AX44" i="62" s="1"/>
  <c r="AO38" i="62"/>
  <c r="AO50" i="62" s="1"/>
  <c r="AT35" i="62"/>
  <c r="AX35" i="62" s="1"/>
  <c r="AE50" i="61"/>
  <c r="AE51" i="61" s="1"/>
  <c r="AE54" i="61" s="1"/>
  <c r="BD25" i="61"/>
  <c r="AT24" i="62"/>
  <c r="AX24" i="62" s="1"/>
  <c r="BE34" i="61"/>
  <c r="BG34" i="61" s="1"/>
  <c r="AZ28" i="61"/>
  <c r="AZ30" i="61" s="1"/>
  <c r="BD16" i="61"/>
  <c r="BD19" i="61"/>
  <c r="AX27" i="62"/>
  <c r="AV27" i="62"/>
  <c r="AV42" i="62"/>
  <c r="AY42" i="62"/>
  <c r="AE28" i="62"/>
  <c r="Z40" i="62"/>
  <c r="AT40" i="62"/>
  <c r="AY29" i="62"/>
  <c r="AW46" i="62"/>
  <c r="AS49" i="62"/>
  <c r="AW49" i="62" s="1"/>
  <c r="D30" i="62"/>
  <c r="E28" i="62"/>
  <c r="AY12" i="62"/>
  <c r="Z11" i="62"/>
  <c r="Y50" i="62"/>
  <c r="AV26" i="62"/>
  <c r="AY26" i="62"/>
  <c r="AI28" i="62"/>
  <c r="X38" i="62"/>
  <c r="AT17" i="62"/>
  <c r="Z17" i="62"/>
  <c r="AY10" i="62"/>
  <c r="Z23" i="62"/>
  <c r="AD51" i="62"/>
  <c r="AE30" i="62"/>
  <c r="G30" i="62"/>
  <c r="I28" i="62"/>
  <c r="Z46" i="62"/>
  <c r="X49" i="62"/>
  <c r="Z49" i="62" s="1"/>
  <c r="AT46" i="62"/>
  <c r="AV46" i="62" s="1"/>
  <c r="W38" i="62"/>
  <c r="AS33" i="62"/>
  <c r="Z37" i="62"/>
  <c r="AT37" i="62"/>
  <c r="AU38" i="62"/>
  <c r="AY33" i="62"/>
  <c r="AV25" i="62"/>
  <c r="AY25" i="62"/>
  <c r="AP49" i="62"/>
  <c r="AR49" i="62" s="1"/>
  <c r="AH51" i="62"/>
  <c r="AI30" i="62"/>
  <c r="Z35" i="62"/>
  <c r="M30" i="62"/>
  <c r="AF51" i="62"/>
  <c r="AF54" i="62" s="1"/>
  <c r="AU34" i="62"/>
  <c r="Z34" i="62"/>
  <c r="Z20" i="62"/>
  <c r="AT20" i="62"/>
  <c r="Z19" i="62"/>
  <c r="AT19" i="62"/>
  <c r="AQ28" i="62"/>
  <c r="AS12" i="62"/>
  <c r="AW12" i="62" s="1"/>
  <c r="AG50" i="62"/>
  <c r="AI50" i="62" s="1"/>
  <c r="AI38" i="62"/>
  <c r="AY46" i="62"/>
  <c r="AU49" i="62"/>
  <c r="D50" i="62"/>
  <c r="E50" i="62" s="1"/>
  <c r="E38" i="62"/>
  <c r="W28" i="62"/>
  <c r="W30" i="62" s="1"/>
  <c r="AS10" i="62"/>
  <c r="AP38" i="62"/>
  <c r="AT33" i="62"/>
  <c r="AY44" i="62"/>
  <c r="L51" i="62"/>
  <c r="AY48" i="62"/>
  <c r="Z42" i="62"/>
  <c r="AV23" i="62"/>
  <c r="AY23" i="62"/>
  <c r="Z24" i="62"/>
  <c r="AU24" i="62"/>
  <c r="AV21" i="62"/>
  <c r="AY21" i="62"/>
  <c r="AY16" i="62"/>
  <c r="X28" i="62"/>
  <c r="X30" i="62" s="1"/>
  <c r="AT10" i="62"/>
  <c r="H51" i="62"/>
  <c r="AT18" i="62"/>
  <c r="Z18" i="62"/>
  <c r="AY15" i="62"/>
  <c r="AU14" i="62"/>
  <c r="AP28" i="62"/>
  <c r="AP30" i="62" s="1"/>
  <c r="AC50" i="62"/>
  <c r="AE50" i="62" s="1"/>
  <c r="AE38" i="62"/>
  <c r="Y28" i="62"/>
  <c r="AR10" i="62"/>
  <c r="AF54" i="61"/>
  <c r="AH51" i="61"/>
  <c r="T30" i="61"/>
  <c r="BF49" i="61"/>
  <c r="BF50" i="61" s="1"/>
  <c r="BE33" i="61"/>
  <c r="S38" i="61"/>
  <c r="U38" i="61" s="1"/>
  <c r="I49" i="61"/>
  <c r="AO54" i="61"/>
  <c r="Y54" i="61"/>
  <c r="BF26" i="61"/>
  <c r="U26" i="61"/>
  <c r="S28" i="61"/>
  <c r="S30" i="61" s="1"/>
  <c r="BE10" i="61"/>
  <c r="AK51" i="61"/>
  <c r="BH30" i="61"/>
  <c r="BB51" i="61"/>
  <c r="AJ49" i="61"/>
  <c r="BI46" i="61"/>
  <c r="U44" i="61"/>
  <c r="U42" i="61"/>
  <c r="BD33" i="61"/>
  <c r="R38" i="61"/>
  <c r="U47" i="61"/>
  <c r="AW50" i="61"/>
  <c r="AY50" i="61" s="1"/>
  <c r="AY38" i="61"/>
  <c r="BA28" i="61"/>
  <c r="BC10" i="61"/>
  <c r="U12" i="61"/>
  <c r="BE12" i="61"/>
  <c r="BG12" i="61" s="1"/>
  <c r="AW30" i="61"/>
  <c r="AY28" i="61"/>
  <c r="U10" i="61"/>
  <c r="BD46" i="61"/>
  <c r="BD49" i="61" s="1"/>
  <c r="R49" i="61"/>
  <c r="AL47" i="61"/>
  <c r="S49" i="61"/>
  <c r="U49" i="61" s="1"/>
  <c r="BE46" i="61"/>
  <c r="BE49" i="61" s="1"/>
  <c r="AS50" i="61"/>
  <c r="AU38" i="61"/>
  <c r="U33" i="61"/>
  <c r="AX54" i="61"/>
  <c r="BF18" i="61"/>
  <c r="U18" i="61"/>
  <c r="AT30" i="61"/>
  <c r="AU28" i="61"/>
  <c r="BF15" i="61"/>
  <c r="U15" i="61"/>
  <c r="BE26" i="61"/>
  <c r="H51" i="61"/>
  <c r="I30" i="61"/>
  <c r="L51" i="61"/>
  <c r="M30" i="61"/>
  <c r="R28" i="61"/>
  <c r="R30" i="61" s="1"/>
  <c r="BD10" i="61"/>
  <c r="BG20" i="61"/>
  <c r="T50" i="61"/>
  <c r="BE40" i="61"/>
  <c r="BG40" i="61" s="1"/>
  <c r="AB50" i="61"/>
  <c r="AD38" i="61"/>
  <c r="D30" i="61"/>
  <c r="E28" i="61"/>
  <c r="AJ28" i="61"/>
  <c r="AJ30" i="61" s="1"/>
  <c r="BI10" i="61"/>
  <c r="D59" i="60"/>
  <c r="AV11" i="62" l="1"/>
  <c r="W50" i="62"/>
  <c r="AV12" i="62"/>
  <c r="G51" i="61"/>
  <c r="G54" i="61" s="1"/>
  <c r="AV13" i="62"/>
  <c r="AV15" i="62"/>
  <c r="AJ50" i="61"/>
  <c r="AL50" i="61" s="1"/>
  <c r="E50" i="61"/>
  <c r="AP51" i="61"/>
  <c r="BA50" i="61"/>
  <c r="BC50" i="61" s="1"/>
  <c r="AZ50" i="61"/>
  <c r="AI50" i="61"/>
  <c r="AI51" i="61" s="1"/>
  <c r="AI54" i="61" s="1"/>
  <c r="BG18" i="61"/>
  <c r="T51" i="62"/>
  <c r="T54" i="62" s="1"/>
  <c r="AV22" i="62"/>
  <c r="K51" i="61"/>
  <c r="K54" i="61" s="1"/>
  <c r="AV48" i="62"/>
  <c r="AV35" i="62"/>
  <c r="AV29" i="62"/>
  <c r="AV44" i="62"/>
  <c r="O51" i="61"/>
  <c r="O54" i="61" s="1"/>
  <c r="K51" i="62"/>
  <c r="K54" i="62" s="1"/>
  <c r="Z51" i="61"/>
  <c r="AV16" i="62"/>
  <c r="AL49" i="61"/>
  <c r="AV47" i="62"/>
  <c r="AZ51" i="61"/>
  <c r="AZ54" i="61" s="1"/>
  <c r="BD38" i="61"/>
  <c r="BD50" i="61" s="1"/>
  <c r="AO51" i="62"/>
  <c r="AO54" i="62" s="1"/>
  <c r="BD28" i="61"/>
  <c r="BD30" i="61" s="1"/>
  <c r="AY38" i="62"/>
  <c r="AU50" i="62"/>
  <c r="AP50" i="62"/>
  <c r="AR50" i="62" s="1"/>
  <c r="AR38" i="62"/>
  <c r="AG51" i="62"/>
  <c r="AG54" i="62" s="1"/>
  <c r="AV34" i="62"/>
  <c r="AY34" i="62"/>
  <c r="AX37" i="62"/>
  <c r="AV37" i="62"/>
  <c r="AT49" i="62"/>
  <c r="AX49" i="62" s="1"/>
  <c r="AX46" i="62"/>
  <c r="G51" i="62"/>
  <c r="G54" i="62" s="1"/>
  <c r="I30" i="62"/>
  <c r="AX17" i="62"/>
  <c r="AV17" i="62"/>
  <c r="AT28" i="62"/>
  <c r="AX10" i="62"/>
  <c r="AT38" i="62"/>
  <c r="AX33" i="62"/>
  <c r="Y30" i="62"/>
  <c r="Z28" i="62"/>
  <c r="AV14" i="62"/>
  <c r="AY14" i="62"/>
  <c r="AX18" i="62"/>
  <c r="AV18" i="62"/>
  <c r="AS28" i="62"/>
  <c r="AW10" i="62"/>
  <c r="AY49" i="62"/>
  <c r="AC51" i="62"/>
  <c r="AC54" i="62" s="1"/>
  <c r="AX20" i="62"/>
  <c r="AV20" i="62"/>
  <c r="AH54" i="62"/>
  <c r="AV10" i="62"/>
  <c r="X50" i="62"/>
  <c r="X51" i="62" s="1"/>
  <c r="X54" i="62" s="1"/>
  <c r="D51" i="62"/>
  <c r="E30" i="62"/>
  <c r="L54" i="62"/>
  <c r="AX19" i="62"/>
  <c r="AV19" i="62"/>
  <c r="H54" i="62"/>
  <c r="AV24" i="62"/>
  <c r="AY24" i="62"/>
  <c r="W51" i="62"/>
  <c r="W54" i="62" s="1"/>
  <c r="AQ30" i="62"/>
  <c r="AR28" i="62"/>
  <c r="AV33" i="62"/>
  <c r="AW33" i="62"/>
  <c r="AS38" i="62"/>
  <c r="AD54" i="62"/>
  <c r="AU28" i="62"/>
  <c r="Z38" i="62"/>
  <c r="AX40" i="62"/>
  <c r="AV40" i="62"/>
  <c r="BG15" i="61"/>
  <c r="BF28" i="61"/>
  <c r="R50" i="61"/>
  <c r="R51" i="61" s="1"/>
  <c r="R54" i="61" s="1"/>
  <c r="BB54" i="61"/>
  <c r="BE28" i="61"/>
  <c r="BE30" i="61" s="1"/>
  <c r="BG10" i="61"/>
  <c r="BE38" i="61"/>
  <c r="BG33" i="61"/>
  <c r="T51" i="61"/>
  <c r="U30" i="61"/>
  <c r="AB51" i="61"/>
  <c r="AD50" i="61"/>
  <c r="H54" i="61"/>
  <c r="AW51" i="61"/>
  <c r="AY30" i="61"/>
  <c r="BA30" i="61"/>
  <c r="BC28" i="61"/>
  <c r="AL30" i="61"/>
  <c r="BG46" i="61"/>
  <c r="AT51" i="61"/>
  <c r="AU30" i="61"/>
  <c r="BG49" i="61"/>
  <c r="D51" i="61"/>
  <c r="E30" i="61"/>
  <c r="L54" i="61"/>
  <c r="AS51" i="61"/>
  <c r="AS54" i="61" s="1"/>
  <c r="AU50" i="61"/>
  <c r="AK54" i="61"/>
  <c r="BG26" i="61"/>
  <c r="S50" i="61"/>
  <c r="U50" i="61" s="1"/>
  <c r="U28" i="61"/>
  <c r="D61" i="60"/>
  <c r="I51" i="61" l="1"/>
  <c r="AJ51" i="61"/>
  <c r="AJ54" i="61" s="1"/>
  <c r="M51" i="62"/>
  <c r="V51" i="62"/>
  <c r="BD51" i="61"/>
  <c r="BD54" i="61" s="1"/>
  <c r="AE51" i="62"/>
  <c r="AV49" i="62"/>
  <c r="M51" i="61"/>
  <c r="Q51" i="61"/>
  <c r="AL51" i="61"/>
  <c r="I51" i="62"/>
  <c r="AP51" i="62"/>
  <c r="AP54" i="62" s="1"/>
  <c r="AQ51" i="62"/>
  <c r="AR30" i="62"/>
  <c r="D54" i="62"/>
  <c r="E51" i="62"/>
  <c r="AU30" i="62"/>
  <c r="AV28" i="62"/>
  <c r="AY28" i="62"/>
  <c r="Y51" i="62"/>
  <c r="Z30" i="62"/>
  <c r="AX28" i="62"/>
  <c r="AT30" i="62"/>
  <c r="AY50" i="62"/>
  <c r="Z50" i="62"/>
  <c r="AS50" i="62"/>
  <c r="AW50" i="62" s="1"/>
  <c r="AW38" i="62"/>
  <c r="AI51" i="62"/>
  <c r="AS30" i="62"/>
  <c r="AW28" i="62"/>
  <c r="AX38" i="62"/>
  <c r="AT50" i="62"/>
  <c r="AX50" i="62" s="1"/>
  <c r="AV38" i="62"/>
  <c r="AU51" i="61"/>
  <c r="AT54" i="61"/>
  <c r="AW54" i="61"/>
  <c r="AY51" i="61"/>
  <c r="E51" i="61"/>
  <c r="D54" i="61"/>
  <c r="AB54" i="61"/>
  <c r="AD51" i="61"/>
  <c r="BE50" i="61"/>
  <c r="BG50" i="61" s="1"/>
  <c r="BG38" i="61"/>
  <c r="S51" i="61"/>
  <c r="S54" i="61" s="1"/>
  <c r="BA51" i="61"/>
  <c r="BC30" i="61"/>
  <c r="T54" i="61"/>
  <c r="BF30" i="61"/>
  <c r="BG28" i="61"/>
  <c r="BE51" i="61" l="1"/>
  <c r="BE54" i="61" s="1"/>
  <c r="AV50" i="62"/>
  <c r="AT51" i="62"/>
  <c r="AX30" i="62"/>
  <c r="AS51" i="62"/>
  <c r="AW30" i="62"/>
  <c r="Z51" i="62"/>
  <c r="Y54" i="62"/>
  <c r="AU51" i="62"/>
  <c r="AY51" i="62" s="1"/>
  <c r="AV30" i="62"/>
  <c r="AY30" i="62"/>
  <c r="AR51" i="62"/>
  <c r="AQ54" i="62"/>
  <c r="BA54" i="61"/>
  <c r="BC51" i="61"/>
  <c r="U51" i="61"/>
  <c r="BF51" i="61"/>
  <c r="BG30" i="61"/>
  <c r="AU54" i="62" l="1"/>
  <c r="AV51" i="62"/>
  <c r="AS54" i="62"/>
  <c r="AW51" i="62"/>
  <c r="AT54" i="62"/>
  <c r="AX51" i="62"/>
  <c r="BF54" i="61"/>
  <c r="BG51" i="61"/>
  <c r="F89" i="43" l="1"/>
  <c r="E21" i="13"/>
  <c r="E7" i="13"/>
  <c r="E31" i="12"/>
  <c r="E7" i="12"/>
  <c r="E40" i="11"/>
  <c r="D40" i="11"/>
  <c r="C40" i="11"/>
  <c r="F39" i="11"/>
  <c r="E7" i="11"/>
  <c r="E25" i="36"/>
  <c r="E10" i="36"/>
  <c r="E112" i="36"/>
  <c r="E103" i="36"/>
  <c r="E30" i="36"/>
  <c r="E20" i="36"/>
  <c r="E14" i="36"/>
  <c r="E65" i="40" l="1"/>
  <c r="G61" i="40"/>
  <c r="G64" i="40"/>
  <c r="G53" i="40"/>
  <c r="G54" i="40"/>
  <c r="G57" i="40"/>
  <c r="F50" i="43" l="1"/>
  <c r="F54" i="43"/>
  <c r="F46" i="43"/>
  <c r="E23" i="14"/>
  <c r="E15" i="12"/>
  <c r="E73" i="36"/>
  <c r="E11" i="9"/>
  <c r="I100" i="39" l="1"/>
  <c r="F40" i="40"/>
  <c r="F41" i="40"/>
  <c r="I71" i="39"/>
  <c r="D15" i="47"/>
  <c r="C15" i="47"/>
  <c r="C11" i="47"/>
  <c r="N16" i="47"/>
  <c r="D16" i="47"/>
  <c r="N15" i="47"/>
  <c r="C16" i="47" l="1"/>
  <c r="G47" i="59" l="1"/>
  <c r="F47" i="59"/>
  <c r="C48" i="59"/>
  <c r="B48" i="59"/>
  <c r="E48" i="59"/>
  <c r="D48" i="59"/>
  <c r="G45" i="59"/>
  <c r="F45" i="59"/>
  <c r="G43" i="59"/>
  <c r="F43" i="59"/>
  <c r="G41" i="59"/>
  <c r="F41" i="59"/>
  <c r="G39" i="59"/>
  <c r="F39" i="59"/>
  <c r="G36" i="59"/>
  <c r="F36" i="59"/>
  <c r="G35" i="59"/>
  <c r="F35" i="59"/>
  <c r="G34" i="59"/>
  <c r="F34" i="59"/>
  <c r="E37" i="59"/>
  <c r="E49" i="59" s="1"/>
  <c r="D37" i="59"/>
  <c r="D49" i="59" s="1"/>
  <c r="G33" i="59"/>
  <c r="F33" i="59"/>
  <c r="G32" i="59"/>
  <c r="F32" i="59"/>
  <c r="E28" i="59"/>
  <c r="D28" i="59"/>
  <c r="C28" i="59"/>
  <c r="B28" i="59"/>
  <c r="G26" i="59"/>
  <c r="F26" i="59"/>
  <c r="G25" i="59"/>
  <c r="F25" i="59"/>
  <c r="G24" i="59"/>
  <c r="F24" i="59"/>
  <c r="G23" i="59"/>
  <c r="F23" i="59"/>
  <c r="G22" i="59"/>
  <c r="F22" i="59"/>
  <c r="G21" i="59"/>
  <c r="F21" i="59"/>
  <c r="G20" i="59"/>
  <c r="F20" i="59"/>
  <c r="G19" i="59"/>
  <c r="F19" i="59"/>
  <c r="G18" i="59"/>
  <c r="F18" i="59"/>
  <c r="G17" i="59"/>
  <c r="F17" i="59"/>
  <c r="G16" i="59"/>
  <c r="F16" i="59"/>
  <c r="G15" i="59"/>
  <c r="F15" i="59"/>
  <c r="G14" i="59"/>
  <c r="F14" i="59"/>
  <c r="G13" i="59"/>
  <c r="F13" i="59"/>
  <c r="G12" i="59"/>
  <c r="F12" i="59"/>
  <c r="G11" i="59"/>
  <c r="F11" i="59"/>
  <c r="G10" i="59"/>
  <c r="F10" i="59"/>
  <c r="E27" i="59"/>
  <c r="D27" i="59"/>
  <c r="C27" i="59"/>
  <c r="B27" i="59"/>
  <c r="F37" i="59" l="1"/>
  <c r="G37" i="59"/>
  <c r="D29" i="59"/>
  <c r="D50" i="59" s="1"/>
  <c r="F28" i="59"/>
  <c r="E29" i="59"/>
  <c r="E50" i="59" s="1"/>
  <c r="G28" i="59"/>
  <c r="C29" i="59"/>
  <c r="B29" i="59"/>
  <c r="F9" i="59"/>
  <c r="F27" i="59" s="1"/>
  <c r="F29" i="59" s="1"/>
  <c r="B37" i="59"/>
  <c r="B49" i="59" s="1"/>
  <c r="G9" i="59"/>
  <c r="G27" i="59" s="1"/>
  <c r="C37" i="59"/>
  <c r="C49" i="59" s="1"/>
  <c r="F46" i="59"/>
  <c r="F48" i="59" s="1"/>
  <c r="F49" i="59" s="1"/>
  <c r="G46" i="59"/>
  <c r="G48" i="59" s="1"/>
  <c r="G49" i="59" s="1"/>
  <c r="C50" i="59" l="1"/>
  <c r="G29" i="59"/>
  <c r="G50" i="59" s="1"/>
  <c r="B50" i="59"/>
  <c r="F50" i="59"/>
  <c r="C113" i="50" l="1"/>
  <c r="G45" i="50"/>
  <c r="F45" i="50"/>
  <c r="F12" i="51" l="1"/>
  <c r="G12" i="51"/>
  <c r="H12" i="51"/>
  <c r="E12" i="51"/>
  <c r="D12" i="51"/>
  <c r="C8" i="48" l="1"/>
  <c r="C17" i="49" l="1"/>
  <c r="O12" i="47"/>
  <c r="N19" i="47"/>
  <c r="N20" i="47" s="1"/>
  <c r="N17" i="47"/>
  <c r="N13" i="47"/>
  <c r="I14" i="47"/>
  <c r="H10" i="47"/>
  <c r="I8" i="47"/>
  <c r="L17" i="47"/>
  <c r="L18" i="47" s="1"/>
  <c r="L20" i="47" s="1"/>
  <c r="L13" i="47"/>
  <c r="G118" i="52" l="1"/>
  <c r="G85" i="52"/>
  <c r="G11" i="52"/>
  <c r="G105" i="52"/>
  <c r="E43" i="40" l="1"/>
  <c r="E50" i="40"/>
  <c r="E11" i="40"/>
  <c r="F11" i="40"/>
  <c r="D11" i="40"/>
  <c r="F19" i="55" l="1"/>
  <c r="H22" i="55" s="1"/>
  <c r="F136" i="43"/>
  <c r="E204" i="54"/>
  <c r="C204" i="54"/>
  <c r="F33" i="53"/>
  <c r="I27" i="58"/>
  <c r="J16" i="58"/>
  <c r="J15" i="58"/>
  <c r="I31" i="58"/>
  <c r="H31" i="58"/>
  <c r="J30" i="58"/>
  <c r="J29" i="58"/>
  <c r="J28" i="58"/>
  <c r="J26" i="58"/>
  <c r="J25" i="58"/>
  <c r="J24" i="58"/>
  <c r="H23" i="58"/>
  <c r="F23" i="58" s="1"/>
  <c r="J22" i="58"/>
  <c r="H21" i="58"/>
  <c r="J21" i="58" s="1"/>
  <c r="J20" i="58"/>
  <c r="J19" i="58"/>
  <c r="J18" i="58"/>
  <c r="H17" i="58"/>
  <c r="J17" i="58" s="1"/>
  <c r="G17" i="58"/>
  <c r="I14" i="58"/>
  <c r="J13" i="58"/>
  <c r="J12" i="58"/>
  <c r="J11" i="58"/>
  <c r="H10" i="58"/>
  <c r="J10" i="58" s="1"/>
  <c r="H9" i="58"/>
  <c r="G9" i="58"/>
  <c r="J8" i="58"/>
  <c r="G107" i="57"/>
  <c r="G106" i="57"/>
  <c r="G105" i="57"/>
  <c r="G104" i="57"/>
  <c r="G103" i="57"/>
  <c r="G102" i="57"/>
  <c r="F101" i="57"/>
  <c r="E101" i="57"/>
  <c r="G99" i="57"/>
  <c r="G98" i="57"/>
  <c r="G97" i="57"/>
  <c r="F96" i="57"/>
  <c r="E96" i="57"/>
  <c r="G94" i="57"/>
  <c r="G93" i="57"/>
  <c r="G92" i="57"/>
  <c r="G91" i="57"/>
  <c r="F90" i="57"/>
  <c r="E90" i="57"/>
  <c r="G80" i="57"/>
  <c r="G73" i="57"/>
  <c r="G63" i="57"/>
  <c r="G57" i="57"/>
  <c r="G53" i="57"/>
  <c r="G52" i="57"/>
  <c r="G51" i="57" s="1"/>
  <c r="F51" i="57"/>
  <c r="E51" i="57"/>
  <c r="G47" i="57"/>
  <c r="G46" i="57"/>
  <c r="G45" i="57"/>
  <c r="G44" i="57"/>
  <c r="F43" i="57"/>
  <c r="E43" i="57"/>
  <c r="G42" i="57"/>
  <c r="G41" i="57"/>
  <c r="G40" i="57"/>
  <c r="G39" i="57"/>
  <c r="F38" i="57"/>
  <c r="E38" i="57"/>
  <c r="G37" i="57"/>
  <c r="G36" i="57"/>
  <c r="G35" i="57"/>
  <c r="F34" i="57"/>
  <c r="E34" i="57"/>
  <c r="G33" i="57"/>
  <c r="G32" i="57"/>
  <c r="F25" i="57"/>
  <c r="G30" i="57"/>
  <c r="G29" i="57"/>
  <c r="G28" i="57"/>
  <c r="G27" i="57"/>
  <c r="G26" i="57"/>
  <c r="G24" i="57"/>
  <c r="F18" i="57"/>
  <c r="G21" i="57"/>
  <c r="G20" i="57"/>
  <c r="G19" i="57"/>
  <c r="E18" i="57"/>
  <c r="G15" i="57"/>
  <c r="G14" i="57" s="1"/>
  <c r="F14" i="57"/>
  <c r="F10" i="57" s="1"/>
  <c r="E14" i="57"/>
  <c r="E10" i="57" s="1"/>
  <c r="G13" i="57"/>
  <c r="G12" i="57"/>
  <c r="F11" i="57"/>
  <c r="E11" i="57"/>
  <c r="J27" i="55"/>
  <c r="K21" i="55"/>
  <c r="F17" i="55"/>
  <c r="F13" i="55"/>
  <c r="F11" i="55"/>
  <c r="E196" i="54"/>
  <c r="C196" i="54"/>
  <c r="E188" i="54"/>
  <c r="C188" i="54"/>
  <c r="E180" i="54"/>
  <c r="C180" i="54"/>
  <c r="E172" i="54"/>
  <c r="C172" i="54"/>
  <c r="E164" i="54"/>
  <c r="C164" i="54"/>
  <c r="E158" i="54"/>
  <c r="C158" i="54"/>
  <c r="E152" i="54"/>
  <c r="C152" i="54"/>
  <c r="E146" i="54"/>
  <c r="C146" i="54"/>
  <c r="C140" i="54"/>
  <c r="E139" i="54"/>
  <c r="E140" i="54" s="1"/>
  <c r="C134" i="54"/>
  <c r="E133" i="54"/>
  <c r="E134" i="54" s="1"/>
  <c r="C128" i="54"/>
  <c r="E127" i="54"/>
  <c r="E128" i="54" s="1"/>
  <c r="C121" i="54"/>
  <c r="E118" i="54"/>
  <c r="E121" i="54" s="1"/>
  <c r="C114" i="54"/>
  <c r="E113" i="54"/>
  <c r="E114" i="54" s="1"/>
  <c r="E111" i="54"/>
  <c r="E106" i="54"/>
  <c r="C106" i="54"/>
  <c r="E98" i="54"/>
  <c r="C98" i="54"/>
  <c r="E88" i="54"/>
  <c r="E91" i="54" s="1"/>
  <c r="C86" i="54"/>
  <c r="C91" i="54" s="1"/>
  <c r="E84" i="54"/>
  <c r="C84" i="54"/>
  <c r="C77" i="54"/>
  <c r="E74" i="54"/>
  <c r="E77" i="54" s="1"/>
  <c r="C70" i="54"/>
  <c r="E69" i="54"/>
  <c r="E66" i="54"/>
  <c r="E70" i="54" s="1"/>
  <c r="E65" i="54"/>
  <c r="C65" i="54"/>
  <c r="C57" i="54"/>
  <c r="E54" i="54"/>
  <c r="E57" i="54" s="1"/>
  <c r="C48" i="54"/>
  <c r="E45" i="54"/>
  <c r="E43" i="54"/>
  <c r="E42" i="54"/>
  <c r="E41" i="54"/>
  <c r="E34" i="54"/>
  <c r="F34" i="54" s="1"/>
  <c r="C34" i="54"/>
  <c r="E28" i="54"/>
  <c r="E17" i="54"/>
  <c r="C17" i="54"/>
  <c r="G71" i="53"/>
  <c r="F71" i="53"/>
  <c r="G70" i="53"/>
  <c r="F70" i="53"/>
  <c r="G68" i="53"/>
  <c r="K68" i="53" s="1"/>
  <c r="F68" i="53"/>
  <c r="G64" i="53"/>
  <c r="K64" i="53" s="1"/>
  <c r="F64" i="53"/>
  <c r="G60" i="53"/>
  <c r="K60" i="53" s="1"/>
  <c r="F60" i="53"/>
  <c r="G56" i="53"/>
  <c r="K56" i="53" s="1"/>
  <c r="F56" i="53"/>
  <c r="G50" i="53"/>
  <c r="G49" i="53"/>
  <c r="F49" i="53"/>
  <c r="G47" i="53"/>
  <c r="K47" i="53" s="1"/>
  <c r="F47" i="53"/>
  <c r="G43" i="53"/>
  <c r="K43" i="53" s="1"/>
  <c r="F43" i="53"/>
  <c r="G39" i="53"/>
  <c r="K39" i="53" s="1"/>
  <c r="F50" i="53"/>
  <c r="G34" i="53"/>
  <c r="G33" i="53"/>
  <c r="G35" i="53" s="1"/>
  <c r="G31" i="53"/>
  <c r="K31" i="53" s="1"/>
  <c r="F34" i="53"/>
  <c r="G27" i="53"/>
  <c r="K27" i="53" s="1"/>
  <c r="F27" i="53"/>
  <c r="G23" i="53"/>
  <c r="K23" i="53" s="1"/>
  <c r="F23" i="53"/>
  <c r="G19" i="53"/>
  <c r="K19" i="53" s="1"/>
  <c r="F19" i="53"/>
  <c r="G15" i="53"/>
  <c r="K15" i="53" s="1"/>
  <c r="F15" i="53"/>
  <c r="G11" i="53"/>
  <c r="K11" i="53" s="1"/>
  <c r="F11" i="53"/>
  <c r="G134" i="52"/>
  <c r="F134" i="52"/>
  <c r="G133" i="52"/>
  <c r="F133" i="52"/>
  <c r="F135" i="52" s="1"/>
  <c r="G131" i="52"/>
  <c r="K131" i="52" s="1"/>
  <c r="F131" i="52"/>
  <c r="G127" i="52"/>
  <c r="K127" i="52" s="1"/>
  <c r="F127" i="52"/>
  <c r="G123" i="52"/>
  <c r="K123" i="52" s="1"/>
  <c r="F123" i="52"/>
  <c r="G119" i="52"/>
  <c r="K119" i="52" s="1"/>
  <c r="F119" i="52"/>
  <c r="G114" i="52"/>
  <c r="F114" i="52"/>
  <c r="G113" i="52"/>
  <c r="F113" i="52"/>
  <c r="F115" i="52" s="1"/>
  <c r="G111" i="52"/>
  <c r="K111" i="52" s="1"/>
  <c r="F111" i="52"/>
  <c r="G107" i="52"/>
  <c r="K107" i="52" s="1"/>
  <c r="F107" i="52"/>
  <c r="G103" i="52"/>
  <c r="K103" i="52" s="1"/>
  <c r="F103" i="52"/>
  <c r="G98" i="52"/>
  <c r="F98" i="52"/>
  <c r="G97" i="52"/>
  <c r="F97" i="52"/>
  <c r="G94" i="52"/>
  <c r="K94" i="52" s="1"/>
  <c r="F94" i="52"/>
  <c r="G90" i="52"/>
  <c r="K90" i="52" s="1"/>
  <c r="F90" i="52"/>
  <c r="G86" i="52"/>
  <c r="K86" i="52" s="1"/>
  <c r="F86" i="52"/>
  <c r="G82" i="52"/>
  <c r="K82" i="52" s="1"/>
  <c r="F82" i="52"/>
  <c r="G72" i="52"/>
  <c r="F72" i="52"/>
  <c r="G71" i="52"/>
  <c r="F71" i="52"/>
  <c r="G69" i="52"/>
  <c r="K69" i="52" s="1"/>
  <c r="F69" i="52"/>
  <c r="G65" i="52"/>
  <c r="K65" i="52" s="1"/>
  <c r="F65" i="52"/>
  <c r="G57" i="52"/>
  <c r="K57" i="52" s="1"/>
  <c r="F57" i="52"/>
  <c r="G52" i="52"/>
  <c r="F52" i="52"/>
  <c r="G51" i="52"/>
  <c r="F51" i="52"/>
  <c r="F53" i="52" s="1"/>
  <c r="G49" i="52"/>
  <c r="K49" i="52" s="1"/>
  <c r="F49" i="52"/>
  <c r="G45" i="52"/>
  <c r="K45" i="52" s="1"/>
  <c r="F45" i="52"/>
  <c r="G40" i="52"/>
  <c r="F40" i="52"/>
  <c r="G39" i="52"/>
  <c r="F39" i="52"/>
  <c r="F41" i="52" s="1"/>
  <c r="G37" i="52"/>
  <c r="F37" i="52"/>
  <c r="G33" i="52"/>
  <c r="K33" i="52" s="1"/>
  <c r="F33" i="52"/>
  <c r="G29" i="52"/>
  <c r="F29" i="52"/>
  <c r="G25" i="52"/>
  <c r="F25" i="52"/>
  <c r="G20" i="52"/>
  <c r="F20" i="52"/>
  <c r="G19" i="52"/>
  <c r="F19" i="52"/>
  <c r="G17" i="52"/>
  <c r="K17" i="52" s="1"/>
  <c r="F17" i="52"/>
  <c r="G13" i="52"/>
  <c r="K13" i="52" s="1"/>
  <c r="F13" i="52"/>
  <c r="H25" i="51"/>
  <c r="G25" i="51"/>
  <c r="F25" i="51"/>
  <c r="E25" i="51"/>
  <c r="D25" i="51"/>
  <c r="H22" i="51"/>
  <c r="G22" i="51"/>
  <c r="F22" i="51"/>
  <c r="E22" i="51"/>
  <c r="D22" i="51"/>
  <c r="H18" i="51"/>
  <c r="G18" i="51"/>
  <c r="F18" i="51"/>
  <c r="E18" i="51"/>
  <c r="D18" i="51"/>
  <c r="H15" i="51"/>
  <c r="G15" i="51"/>
  <c r="F15" i="51"/>
  <c r="E15" i="51"/>
  <c r="D15" i="51"/>
  <c r="H9" i="51"/>
  <c r="H26" i="51" s="1"/>
  <c r="G9" i="51"/>
  <c r="F9" i="51"/>
  <c r="E9" i="51"/>
  <c r="D9" i="51"/>
  <c r="D113" i="50"/>
  <c r="D130" i="50" s="1"/>
  <c r="C130" i="50"/>
  <c r="D32" i="50"/>
  <c r="C32" i="50"/>
  <c r="D14" i="48"/>
  <c r="J19" i="47"/>
  <c r="M19" i="47" s="1"/>
  <c r="E19" i="47"/>
  <c r="O19" i="47" s="1"/>
  <c r="I17" i="47"/>
  <c r="H17" i="47"/>
  <c r="D17" i="47"/>
  <c r="C17" i="47"/>
  <c r="J16" i="47"/>
  <c r="M16" i="47" s="1"/>
  <c r="E16" i="47"/>
  <c r="O16" i="47" s="1"/>
  <c r="J15" i="47"/>
  <c r="E15" i="47"/>
  <c r="O15" i="47" s="1"/>
  <c r="J14" i="47"/>
  <c r="M14" i="47" s="1"/>
  <c r="E14" i="47"/>
  <c r="O14" i="47" s="1"/>
  <c r="I13" i="47"/>
  <c r="I18" i="47" s="1"/>
  <c r="I20" i="47" s="1"/>
  <c r="H13" i="47"/>
  <c r="D13" i="47"/>
  <c r="C13" i="47"/>
  <c r="J12" i="47"/>
  <c r="M12" i="47" s="1"/>
  <c r="J11" i="47"/>
  <c r="M11" i="47" s="1"/>
  <c r="E11" i="47"/>
  <c r="O11" i="47" s="1"/>
  <c r="J10" i="47"/>
  <c r="M10" i="47" s="1"/>
  <c r="E10" i="47"/>
  <c r="O10" i="47" s="1"/>
  <c r="J9" i="47"/>
  <c r="M9" i="47" s="1"/>
  <c r="E9" i="47"/>
  <c r="O9" i="47" s="1"/>
  <c r="J8" i="47"/>
  <c r="M8" i="47" s="1"/>
  <c r="E8" i="47"/>
  <c r="O8" i="47" s="1"/>
  <c r="G72" i="53" l="1"/>
  <c r="K72" i="53" s="1"/>
  <c r="J17" i="47"/>
  <c r="M17" i="47" s="1"/>
  <c r="M15" i="47"/>
  <c r="F26" i="51"/>
  <c r="H17" i="57"/>
  <c r="K25" i="52"/>
  <c r="H19" i="55"/>
  <c r="H20" i="55" s="1"/>
  <c r="G26" i="51"/>
  <c r="F73" i="52"/>
  <c r="F17" i="54"/>
  <c r="H73" i="57"/>
  <c r="K35" i="53"/>
  <c r="I32" i="58"/>
  <c r="D26" i="51"/>
  <c r="G60" i="52"/>
  <c r="H43" i="57"/>
  <c r="K37" i="52"/>
  <c r="H38" i="57"/>
  <c r="K29" i="52"/>
  <c r="E26" i="51"/>
  <c r="E48" i="54"/>
  <c r="F48" i="54" s="1"/>
  <c r="F57" i="54" s="1"/>
  <c r="F65" i="54" s="1"/>
  <c r="F70" i="54" s="1"/>
  <c r="F77" i="54" s="1"/>
  <c r="F84" i="54" s="1"/>
  <c r="F91" i="54" s="1"/>
  <c r="F98" i="54" s="1"/>
  <c r="F106" i="54" s="1"/>
  <c r="F114" i="54" s="1"/>
  <c r="F121" i="54" s="1"/>
  <c r="F128" i="54" s="1"/>
  <c r="F134" i="54" s="1"/>
  <c r="F140" i="54" s="1"/>
  <c r="F146" i="54" s="1"/>
  <c r="F152" i="54" s="1"/>
  <c r="F158" i="54" s="1"/>
  <c r="F164" i="54" s="1"/>
  <c r="F172" i="54" s="1"/>
  <c r="F180" i="54" s="1"/>
  <c r="F188" i="54" s="1"/>
  <c r="F196" i="54" s="1"/>
  <c r="F204" i="54" s="1"/>
  <c r="G43" i="57"/>
  <c r="G101" i="57"/>
  <c r="F17" i="57"/>
  <c r="F16" i="57" s="1"/>
  <c r="F9" i="57" s="1"/>
  <c r="H18" i="47"/>
  <c r="H20" i="47" s="1"/>
  <c r="J13" i="47"/>
  <c r="J18" i="47" s="1"/>
  <c r="G96" i="57"/>
  <c r="G90" i="57"/>
  <c r="I87" i="57"/>
  <c r="G38" i="57"/>
  <c r="G11" i="57"/>
  <c r="G10" i="57"/>
  <c r="G51" i="53"/>
  <c r="G75" i="53"/>
  <c r="F72" i="53"/>
  <c r="F35" i="53"/>
  <c r="F74" i="53"/>
  <c r="G135" i="52"/>
  <c r="K135" i="52" s="1"/>
  <c r="G115" i="52"/>
  <c r="G99" i="52"/>
  <c r="G138" i="52"/>
  <c r="G73" i="52"/>
  <c r="G53" i="52"/>
  <c r="K53" i="52" s="1"/>
  <c r="G59" i="52"/>
  <c r="G137" i="52" s="1"/>
  <c r="G41" i="52"/>
  <c r="F99" i="52"/>
  <c r="F59" i="52"/>
  <c r="F137" i="52" s="1"/>
  <c r="F60" i="52"/>
  <c r="F138" i="52" s="1"/>
  <c r="J31" i="58"/>
  <c r="H27" i="58"/>
  <c r="H14" i="58"/>
  <c r="J9" i="58"/>
  <c r="J14" i="58" s="1"/>
  <c r="J23" i="58"/>
  <c r="G25" i="57"/>
  <c r="F75" i="53"/>
  <c r="F22" i="55"/>
  <c r="G13" i="55" s="1"/>
  <c r="G34" i="57"/>
  <c r="G21" i="52"/>
  <c r="F31" i="53"/>
  <c r="F51" i="53"/>
  <c r="G23" i="57"/>
  <c r="G18" i="57" s="1"/>
  <c r="E25" i="57"/>
  <c r="E17" i="57" s="1"/>
  <c r="E16" i="57" s="1"/>
  <c r="F21" i="52"/>
  <c r="F39" i="53"/>
  <c r="G74" i="53"/>
  <c r="D18" i="47"/>
  <c r="D20" i="47" s="1"/>
  <c r="E13" i="47"/>
  <c r="C18" i="47"/>
  <c r="C20" i="47" s="1"/>
  <c r="E17" i="47"/>
  <c r="H63" i="57" l="1"/>
  <c r="K115" i="52"/>
  <c r="H16" i="57"/>
  <c r="K41" i="52"/>
  <c r="K21" i="52"/>
  <c r="H10" i="57"/>
  <c r="H32" i="58"/>
  <c r="H53" i="57"/>
  <c r="K73" i="52"/>
  <c r="K51" i="53"/>
  <c r="H80" i="57"/>
  <c r="O13" i="47"/>
  <c r="O17" i="47"/>
  <c r="J20" i="47"/>
  <c r="M18" i="47"/>
  <c r="M13" i="47"/>
  <c r="H57" i="57"/>
  <c r="K99" i="52"/>
  <c r="G10" i="55"/>
  <c r="G76" i="53"/>
  <c r="K76" i="53" s="1"/>
  <c r="F76" i="53"/>
  <c r="G139" i="52"/>
  <c r="G61" i="52"/>
  <c r="F139" i="52"/>
  <c r="F78" i="53" s="1"/>
  <c r="F61" i="52"/>
  <c r="J27" i="58"/>
  <c r="J32" i="58" s="1"/>
  <c r="G16" i="57"/>
  <c r="E9" i="57"/>
  <c r="G17" i="57"/>
  <c r="J28" i="55"/>
  <c r="G22" i="55"/>
  <c r="G14" i="55"/>
  <c r="G19" i="55"/>
  <c r="G15" i="55"/>
  <c r="G12" i="55"/>
  <c r="G20" i="55"/>
  <c r="G16" i="55"/>
  <c r="G21" i="55"/>
  <c r="G11" i="55"/>
  <c r="G17" i="55"/>
  <c r="E20" i="47"/>
  <c r="O20" i="47" s="1"/>
  <c r="E18" i="47"/>
  <c r="O18" i="47" s="1"/>
  <c r="M20" i="47" l="1"/>
  <c r="C10" i="48"/>
  <c r="L57" i="41"/>
  <c r="G9" i="57"/>
  <c r="I70" i="57" s="1"/>
  <c r="F57" i="41"/>
  <c r="C7" i="48"/>
  <c r="H9" i="57"/>
  <c r="K61" i="52"/>
  <c r="G78" i="53"/>
  <c r="G79" i="53" s="1"/>
  <c r="K139" i="52"/>
  <c r="F79" i="53"/>
  <c r="G23" i="55"/>
  <c r="C11" i="48" l="1"/>
  <c r="E11" i="48" s="1"/>
  <c r="F20" i="13"/>
  <c r="D15" i="48" l="1"/>
  <c r="I93" i="39"/>
  <c r="J120" i="39" l="1"/>
  <c r="E18" i="14"/>
  <c r="E14" i="11"/>
  <c r="F14" i="11" s="1"/>
  <c r="C14" i="11"/>
  <c r="D14" i="11"/>
  <c r="G13" i="43"/>
  <c r="F76" i="14"/>
  <c r="F77" i="14"/>
  <c r="F13" i="11"/>
  <c r="J55" i="39" l="1"/>
  <c r="J33" i="39" l="1"/>
  <c r="G52" i="43"/>
  <c r="G12" i="43"/>
  <c r="H121" i="39"/>
  <c r="I121" i="39"/>
  <c r="J121" i="39" s="1"/>
  <c r="G121" i="39"/>
  <c r="E54" i="14" l="1"/>
  <c r="M19" i="41" l="1"/>
  <c r="G28" i="40"/>
  <c r="F16" i="22"/>
  <c r="F31" i="9"/>
  <c r="H111" i="39"/>
  <c r="J102" i="39"/>
  <c r="G25" i="43" l="1"/>
  <c r="J97" i="39" l="1"/>
  <c r="I111" i="39"/>
  <c r="I75" i="39"/>
  <c r="I57" i="39"/>
  <c r="I36" i="39"/>
  <c r="I29" i="39"/>
  <c r="I16" i="39"/>
  <c r="J119" i="39" l="1"/>
  <c r="F90" i="14" l="1"/>
  <c r="J32" i="39" l="1"/>
  <c r="J11" i="39"/>
  <c r="G118" i="43" l="1"/>
  <c r="G114" i="43"/>
  <c r="G112" i="43"/>
  <c r="G110" i="43"/>
  <c r="G108" i="43"/>
  <c r="F93" i="36"/>
  <c r="F80" i="36"/>
  <c r="G39" i="43" l="1"/>
  <c r="E36" i="22" l="1"/>
  <c r="J49" i="39"/>
  <c r="G49" i="43" l="1"/>
  <c r="G49" i="40" l="1"/>
  <c r="F43" i="40" l="1"/>
  <c r="F37" i="40"/>
  <c r="D50" i="40"/>
  <c r="F50" i="40"/>
  <c r="F33" i="9"/>
  <c r="G107" i="43"/>
  <c r="G109" i="43"/>
  <c r="G111" i="43"/>
  <c r="E24" i="12"/>
  <c r="D34" i="9" l="1"/>
  <c r="E34" i="9"/>
  <c r="C34" i="9"/>
  <c r="G42" i="40" l="1"/>
  <c r="I27" i="24"/>
  <c r="F53" i="14" l="1"/>
  <c r="G142" i="43" l="1"/>
  <c r="G64" i="43"/>
  <c r="G44" i="43"/>
  <c r="F15" i="43"/>
  <c r="D15" i="43"/>
  <c r="E15" i="43"/>
  <c r="G14" i="43"/>
  <c r="G32" i="40"/>
  <c r="J26" i="24"/>
  <c r="H27" i="24"/>
  <c r="F17" i="22"/>
  <c r="F18" i="22"/>
  <c r="E32" i="11"/>
  <c r="D32" i="11"/>
  <c r="C32" i="11"/>
  <c r="F31" i="11"/>
  <c r="F29" i="11"/>
  <c r="H16" i="39"/>
  <c r="G16" i="39"/>
  <c r="J16" i="39" l="1"/>
  <c r="J93" i="39" l="1"/>
  <c r="F13" i="13" l="1"/>
  <c r="G50" i="43" l="1"/>
  <c r="G11" i="43"/>
  <c r="G10" i="43"/>
  <c r="J90" i="39" l="1"/>
  <c r="E37" i="40" l="1"/>
  <c r="D37" i="40"/>
  <c r="G36" i="40"/>
  <c r="F92" i="36" l="1"/>
  <c r="F35" i="22" l="1"/>
  <c r="F27" i="22"/>
  <c r="G66" i="43" l="1"/>
  <c r="G69" i="43"/>
  <c r="G70" i="43"/>
  <c r="J118" i="39" l="1"/>
  <c r="J48" i="39" l="1"/>
  <c r="F52" i="14"/>
  <c r="F30" i="11" l="1"/>
  <c r="H12" i="24" l="1"/>
  <c r="G12" i="24"/>
  <c r="J11" i="24"/>
  <c r="F35" i="14"/>
  <c r="J96" i="39" l="1"/>
  <c r="D24" i="36" l="1"/>
  <c r="G31" i="40" l="1"/>
  <c r="F91" i="14"/>
  <c r="J107" i="39"/>
  <c r="G21" i="40" l="1"/>
  <c r="G7" i="40"/>
  <c r="G34" i="40" l="1"/>
  <c r="G35" i="40"/>
  <c r="F76" i="36" l="1"/>
  <c r="F40" i="14"/>
  <c r="G43" i="43"/>
  <c r="G101" i="43" l="1"/>
  <c r="G30" i="40"/>
  <c r="F33" i="22"/>
  <c r="I12" i="24" l="1"/>
  <c r="G126" i="43" l="1"/>
  <c r="K43" i="41" l="1"/>
  <c r="L43" i="41"/>
  <c r="J43" i="41"/>
  <c r="K39" i="41"/>
  <c r="L39" i="41"/>
  <c r="J39" i="41"/>
  <c r="E94" i="36" l="1"/>
  <c r="F91" i="36" l="1"/>
  <c r="J10" i="24" l="1"/>
  <c r="G63" i="43" l="1"/>
  <c r="G65" i="43"/>
  <c r="G72" i="43"/>
  <c r="G71" i="43"/>
  <c r="G74" i="43"/>
  <c r="G75" i="43"/>
  <c r="G76" i="43"/>
  <c r="G77" i="43"/>
  <c r="G78" i="43"/>
  <c r="G79" i="43"/>
  <c r="G80" i="43"/>
  <c r="G81" i="43"/>
  <c r="G82" i="43"/>
  <c r="G83" i="43"/>
  <c r="G84" i="43"/>
  <c r="G85" i="43"/>
  <c r="G87" i="43"/>
  <c r="G88" i="43"/>
  <c r="G89" i="43"/>
  <c r="G90" i="43"/>
  <c r="G91" i="43"/>
  <c r="G92" i="43"/>
  <c r="G93" i="43"/>
  <c r="G94" i="43"/>
  <c r="G96" i="43"/>
  <c r="G97" i="43"/>
  <c r="G98" i="43"/>
  <c r="G99" i="43"/>
  <c r="G100" i="43"/>
  <c r="G102" i="43"/>
  <c r="G103" i="43"/>
  <c r="G104" i="43"/>
  <c r="G105" i="43"/>
  <c r="G106" i="43"/>
  <c r="G113" i="43"/>
  <c r="G115" i="43"/>
  <c r="G117" i="43"/>
  <c r="G119" i="43"/>
  <c r="G120" i="43"/>
  <c r="G121" i="43"/>
  <c r="G122" i="43"/>
  <c r="G123" i="43"/>
  <c r="G124" i="43"/>
  <c r="G125" i="43"/>
  <c r="G127" i="43"/>
  <c r="G128" i="43"/>
  <c r="G129" i="43"/>
  <c r="G130" i="43"/>
  <c r="G131" i="43"/>
  <c r="G132" i="43"/>
  <c r="G133" i="43"/>
  <c r="G134" i="43"/>
  <c r="G136" i="43"/>
  <c r="G137" i="43"/>
  <c r="G138" i="43"/>
  <c r="G139" i="43"/>
  <c r="G140" i="43"/>
  <c r="G141" i="43"/>
  <c r="G146" i="43"/>
  <c r="L42" i="41"/>
  <c r="K42" i="41"/>
  <c r="J42" i="41"/>
  <c r="F144" i="43"/>
  <c r="L41" i="41" s="1"/>
  <c r="E144" i="43"/>
  <c r="D144" i="43"/>
  <c r="J41" i="41" s="1"/>
  <c r="G61" i="43"/>
  <c r="G60" i="43"/>
  <c r="G59" i="43"/>
  <c r="G58" i="43"/>
  <c r="G57" i="43"/>
  <c r="G55" i="43"/>
  <c r="G54" i="43"/>
  <c r="G48" i="43"/>
  <c r="G47" i="43"/>
  <c r="G46" i="43"/>
  <c r="G42" i="43"/>
  <c r="G41" i="43"/>
  <c r="G40" i="43"/>
  <c r="G38" i="43"/>
  <c r="G37" i="43"/>
  <c r="G36" i="43"/>
  <c r="G35" i="43"/>
  <c r="G34" i="43"/>
  <c r="G32" i="43"/>
  <c r="G31" i="43"/>
  <c r="G30" i="43"/>
  <c r="F27" i="43"/>
  <c r="L40" i="41" s="1"/>
  <c r="E27" i="43"/>
  <c r="K40" i="41" s="1"/>
  <c r="D27" i="43"/>
  <c r="J40" i="41" s="1"/>
  <c r="G26" i="43"/>
  <c r="G24" i="43"/>
  <c r="F21" i="43"/>
  <c r="E21" i="43"/>
  <c r="K38" i="41" s="1"/>
  <c r="D21" i="43"/>
  <c r="G20" i="43"/>
  <c r="F18" i="43"/>
  <c r="L37" i="41" s="1"/>
  <c r="E18" i="43"/>
  <c r="K37" i="41" s="1"/>
  <c r="D18" i="43"/>
  <c r="J37" i="41" s="1"/>
  <c r="G17" i="43"/>
  <c r="L36" i="41"/>
  <c r="K36" i="41"/>
  <c r="J36" i="41"/>
  <c r="G9" i="43"/>
  <c r="G8" i="43"/>
  <c r="G7" i="43"/>
  <c r="D147" i="43" l="1"/>
  <c r="L38" i="41"/>
  <c r="F147" i="43"/>
  <c r="K41" i="41"/>
  <c r="E147" i="43"/>
  <c r="J38" i="41"/>
  <c r="G27" i="43"/>
  <c r="G144" i="43"/>
  <c r="G21" i="43"/>
  <c r="G15" i="43"/>
  <c r="G147" i="43" l="1"/>
  <c r="E93" i="14"/>
  <c r="J54" i="39" l="1"/>
  <c r="F7" i="13" l="1"/>
  <c r="D93" i="14" l="1"/>
  <c r="F92" i="14"/>
  <c r="F75" i="14"/>
  <c r="F65" i="40"/>
  <c r="D65" i="40"/>
  <c r="G33" i="40"/>
  <c r="F34" i="22"/>
  <c r="G136" i="39"/>
  <c r="H136" i="39"/>
  <c r="I136" i="39"/>
  <c r="J128" i="39"/>
  <c r="G65" i="40" l="1"/>
  <c r="F43" i="14"/>
  <c r="F75" i="36" l="1"/>
  <c r="J80" i="39"/>
  <c r="J52" i="39"/>
  <c r="F47" i="14"/>
  <c r="J70" i="39"/>
  <c r="F68" i="36" l="1"/>
  <c r="D83" i="14" l="1"/>
  <c r="H36" i="39"/>
  <c r="H29" i="39"/>
  <c r="F82" i="14" l="1"/>
  <c r="F12" i="14" l="1"/>
  <c r="J50" i="39"/>
  <c r="F67" i="14"/>
  <c r="F11" i="9" l="1"/>
  <c r="F28" i="14" l="1"/>
  <c r="E95" i="36"/>
  <c r="F79" i="36" l="1"/>
  <c r="F23" i="14"/>
  <c r="F65" i="14" l="1"/>
  <c r="F64" i="14"/>
  <c r="F46" i="14"/>
  <c r="F112" i="36"/>
  <c r="F110" i="36"/>
  <c r="F108" i="36"/>
  <c r="F106" i="36"/>
  <c r="D107" i="36"/>
  <c r="D109" i="36"/>
  <c r="E114" i="36"/>
  <c r="E111" i="36"/>
  <c r="E109" i="36"/>
  <c r="E107" i="36"/>
  <c r="E105" i="36"/>
  <c r="E115" i="36" s="1"/>
  <c r="L30" i="41" s="1"/>
  <c r="C114" i="36"/>
  <c r="D111" i="36"/>
  <c r="C111" i="36"/>
  <c r="C109" i="36"/>
  <c r="C107" i="36"/>
  <c r="C105" i="36"/>
  <c r="F104" i="36"/>
  <c r="J106" i="39"/>
  <c r="F107" i="36" l="1"/>
  <c r="F109" i="36"/>
  <c r="F111" i="36"/>
  <c r="D114" i="36"/>
  <c r="D105" i="36"/>
  <c r="F103" i="36"/>
  <c r="F105" i="36" s="1"/>
  <c r="F113" i="36"/>
  <c r="F114" i="36" s="1"/>
  <c r="C115" i="36"/>
  <c r="J30" i="41" s="1"/>
  <c r="J74" i="39"/>
  <c r="D115" i="36" l="1"/>
  <c r="F74" i="14"/>
  <c r="K30" i="41" l="1"/>
  <c r="F115" i="36"/>
  <c r="F56" i="36"/>
  <c r="J28" i="39"/>
  <c r="F21" i="22" l="1"/>
  <c r="M49" i="41" l="1"/>
  <c r="M48" i="41"/>
  <c r="E38" i="36" l="1"/>
  <c r="E37" i="36"/>
  <c r="F42" i="14"/>
  <c r="F44" i="14"/>
  <c r="F45" i="14"/>
  <c r="F48" i="14"/>
  <c r="F49" i="14"/>
  <c r="F50" i="14"/>
  <c r="F51" i="14"/>
  <c r="F55" i="14"/>
  <c r="J30" i="24"/>
  <c r="E36" i="36" l="1"/>
  <c r="E29" i="36"/>
  <c r="E24" i="36"/>
  <c r="E9" i="40" l="1"/>
  <c r="E38" i="40" s="1"/>
  <c r="E66" i="40" s="1"/>
  <c r="F9" i="40"/>
  <c r="F26" i="22"/>
  <c r="F28" i="22"/>
  <c r="F29" i="22"/>
  <c r="F30" i="22"/>
  <c r="F31" i="22"/>
  <c r="F32" i="22"/>
  <c r="C83" i="14"/>
  <c r="H57" i="39"/>
  <c r="G57" i="39"/>
  <c r="H42" i="39"/>
  <c r="I42" i="39"/>
  <c r="G42" i="39"/>
  <c r="H39" i="39"/>
  <c r="H40" i="39" s="1"/>
  <c r="I39" i="39"/>
  <c r="I40" i="39" s="1"/>
  <c r="G39" i="39"/>
  <c r="G36" i="39"/>
  <c r="G29" i="39"/>
  <c r="D57" i="36"/>
  <c r="E57" i="36"/>
  <c r="G40" i="39" l="1"/>
  <c r="D38" i="40"/>
  <c r="F38" i="40"/>
  <c r="F66" i="40" s="1"/>
  <c r="G66" i="40" s="1"/>
  <c r="H58" i="39"/>
  <c r="G58" i="39"/>
  <c r="G9" i="40"/>
  <c r="J36" i="39"/>
  <c r="J29" i="39"/>
  <c r="J39" i="39"/>
  <c r="C57" i="36"/>
  <c r="I58" i="39" l="1"/>
  <c r="J40" i="39"/>
  <c r="L22" i="41" l="1"/>
  <c r="J22" i="41"/>
  <c r="K22" i="41"/>
  <c r="G17" i="40"/>
  <c r="J25" i="24"/>
  <c r="E6" i="41"/>
  <c r="J19" i="39"/>
  <c r="J20" i="39"/>
  <c r="J21" i="39"/>
  <c r="G16" i="40"/>
  <c r="F89" i="14"/>
  <c r="F87" i="14"/>
  <c r="J105" i="39"/>
  <c r="G49" i="41"/>
  <c r="F22" i="22"/>
  <c r="F23" i="22"/>
  <c r="J56" i="39"/>
  <c r="G19" i="40"/>
  <c r="G20" i="40"/>
  <c r="G22" i="40"/>
  <c r="G23" i="40"/>
  <c r="G24" i="40"/>
  <c r="G25" i="40"/>
  <c r="G26" i="40"/>
  <c r="G27" i="40"/>
  <c r="G29" i="40"/>
  <c r="F86" i="14"/>
  <c r="F88" i="14"/>
  <c r="J117" i="39"/>
  <c r="G15" i="40"/>
  <c r="G18" i="40"/>
  <c r="G14" i="40"/>
  <c r="C93" i="14"/>
  <c r="F63" i="14"/>
  <c r="F21" i="13"/>
  <c r="C94" i="36"/>
  <c r="C95" i="36" s="1"/>
  <c r="D94" i="36"/>
  <c r="D95" i="36" s="1"/>
  <c r="F8" i="22"/>
  <c r="G215" i="41"/>
  <c r="E82" i="36"/>
  <c r="F85" i="14"/>
  <c r="F30" i="41"/>
  <c r="J38" i="39"/>
  <c r="J31" i="39"/>
  <c r="F37" i="36"/>
  <c r="F15" i="14"/>
  <c r="F16" i="14"/>
  <c r="F20" i="36"/>
  <c r="F16" i="36"/>
  <c r="E30" i="41"/>
  <c r="F27" i="11"/>
  <c r="J53" i="39"/>
  <c r="F28" i="41"/>
  <c r="J95" i="39"/>
  <c r="F9" i="41"/>
  <c r="F8" i="41"/>
  <c r="F10" i="41"/>
  <c r="G41" i="40"/>
  <c r="G12" i="40"/>
  <c r="J115" i="39"/>
  <c r="J82" i="39"/>
  <c r="D36" i="22"/>
  <c r="K12" i="41" s="1"/>
  <c r="F10" i="22"/>
  <c r="D30" i="25"/>
  <c r="D10" i="12"/>
  <c r="D24" i="12"/>
  <c r="D32" i="12"/>
  <c r="D9" i="9"/>
  <c r="D43" i="9"/>
  <c r="K29" i="41" s="1"/>
  <c r="D10" i="11"/>
  <c r="K31" i="41"/>
  <c r="D13" i="36"/>
  <c r="D19" i="36"/>
  <c r="D34" i="36"/>
  <c r="D29" i="36"/>
  <c r="D69" i="36"/>
  <c r="D70" i="36" s="1"/>
  <c r="D82" i="36"/>
  <c r="D86" i="36"/>
  <c r="F78" i="36"/>
  <c r="D9" i="14"/>
  <c r="D18" i="14"/>
  <c r="D94" i="14" s="1"/>
  <c r="D103" i="14"/>
  <c r="D10" i="13"/>
  <c r="D22" i="13"/>
  <c r="K33" i="41" s="1"/>
  <c r="F20" i="22"/>
  <c r="F19" i="22"/>
  <c r="E69" i="36"/>
  <c r="E86" i="36"/>
  <c r="E13" i="36"/>
  <c r="J44" i="39"/>
  <c r="J45" i="39"/>
  <c r="J46" i="39"/>
  <c r="J47" i="39"/>
  <c r="J51" i="39"/>
  <c r="F12" i="12"/>
  <c r="F23" i="12"/>
  <c r="F16" i="25"/>
  <c r="F12" i="13"/>
  <c r="F23" i="36"/>
  <c r="J15" i="39"/>
  <c r="H75" i="39"/>
  <c r="E9" i="41" s="1"/>
  <c r="G75" i="39"/>
  <c r="D9" i="41" s="1"/>
  <c r="E9" i="9"/>
  <c r="E9" i="14"/>
  <c r="E30" i="25"/>
  <c r="E10" i="13"/>
  <c r="E14" i="13"/>
  <c r="E10" i="12"/>
  <c r="E10" i="11"/>
  <c r="L31" i="41"/>
  <c r="E32" i="12"/>
  <c r="L32" i="41" s="1"/>
  <c r="E103" i="14"/>
  <c r="L53" i="41"/>
  <c r="F15" i="22"/>
  <c r="F72" i="14"/>
  <c r="F71" i="14"/>
  <c r="F62" i="14"/>
  <c r="F16" i="9"/>
  <c r="J94" i="39"/>
  <c r="J92" i="39"/>
  <c r="G27" i="24"/>
  <c r="C69" i="36"/>
  <c r="C70" i="36" s="1"/>
  <c r="F28" i="25"/>
  <c r="F26" i="11"/>
  <c r="C34" i="36"/>
  <c r="G48" i="41"/>
  <c r="G6" i="40"/>
  <c r="G8" i="40"/>
  <c r="F77" i="36"/>
  <c r="J134" i="39"/>
  <c r="E8" i="41"/>
  <c r="J34" i="39"/>
  <c r="J35" i="39"/>
  <c r="G50" i="41"/>
  <c r="G52" i="41"/>
  <c r="C18" i="14"/>
  <c r="D39" i="36"/>
  <c r="E43" i="9"/>
  <c r="F25" i="11"/>
  <c r="F28" i="11"/>
  <c r="F12" i="11"/>
  <c r="F31" i="41"/>
  <c r="F53" i="41"/>
  <c r="F13" i="22"/>
  <c r="J27" i="39"/>
  <c r="J114" i="39"/>
  <c r="F90" i="36"/>
  <c r="J83" i="39"/>
  <c r="J73" i="39"/>
  <c r="F66" i="36"/>
  <c r="J14" i="39"/>
  <c r="J9" i="39"/>
  <c r="J8" i="39"/>
  <c r="J103" i="39"/>
  <c r="J104" i="39"/>
  <c r="F100" i="14"/>
  <c r="F101" i="14"/>
  <c r="F102" i="14"/>
  <c r="F69" i="14"/>
  <c r="F70" i="14"/>
  <c r="F73" i="14"/>
  <c r="F38" i="14"/>
  <c r="F27" i="14"/>
  <c r="F19" i="12"/>
  <c r="F20" i="12"/>
  <c r="F21" i="12"/>
  <c r="F22" i="12"/>
  <c r="F19" i="9"/>
  <c r="F20" i="9"/>
  <c r="F21" i="9"/>
  <c r="F22" i="9"/>
  <c r="F23" i="9"/>
  <c r="F24" i="9"/>
  <c r="F25" i="9"/>
  <c r="F26" i="9"/>
  <c r="F27" i="9"/>
  <c r="F32" i="9"/>
  <c r="F14" i="9"/>
  <c r="F15" i="9"/>
  <c r="F17" i="9"/>
  <c r="F7" i="14"/>
  <c r="F8" i="14"/>
  <c r="D8" i="41"/>
  <c r="D10" i="41"/>
  <c r="G111" i="39"/>
  <c r="E10" i="41"/>
  <c r="C10" i="11"/>
  <c r="F54" i="36"/>
  <c r="F55" i="36"/>
  <c r="E28" i="41"/>
  <c r="D43" i="40"/>
  <c r="E53" i="41"/>
  <c r="F53" i="36"/>
  <c r="F52" i="36"/>
  <c r="J17" i="24"/>
  <c r="F29" i="25"/>
  <c r="F18" i="25"/>
  <c r="C9" i="9"/>
  <c r="D14" i="13"/>
  <c r="E22" i="13"/>
  <c r="L33" i="41" s="1"/>
  <c r="C36" i="22"/>
  <c r="J12" i="41" s="1"/>
  <c r="C9" i="14"/>
  <c r="C13" i="36"/>
  <c r="C19" i="36"/>
  <c r="C24" i="36"/>
  <c r="C29" i="36"/>
  <c r="C39" i="36"/>
  <c r="C82" i="36"/>
  <c r="C86" i="36"/>
  <c r="C30" i="25"/>
  <c r="J14" i="41" s="1"/>
  <c r="C103" i="14"/>
  <c r="J34" i="41" s="1"/>
  <c r="C24" i="12"/>
  <c r="C10" i="12"/>
  <c r="G13" i="40"/>
  <c r="G40" i="40"/>
  <c r="G46" i="40"/>
  <c r="G47" i="40"/>
  <c r="D30" i="41"/>
  <c r="D31" i="41"/>
  <c r="G60" i="40"/>
  <c r="F7" i="25"/>
  <c r="F8" i="25"/>
  <c r="F9" i="25"/>
  <c r="F10" i="25"/>
  <c r="F11" i="25"/>
  <c r="F12" i="25"/>
  <c r="F13" i="25"/>
  <c r="F14" i="25"/>
  <c r="F15" i="25"/>
  <c r="F17" i="25"/>
  <c r="F19" i="25"/>
  <c r="F20" i="25"/>
  <c r="F21" i="25"/>
  <c r="F22" i="25"/>
  <c r="F23" i="25"/>
  <c r="F24" i="25"/>
  <c r="F25" i="25"/>
  <c r="F26" i="25"/>
  <c r="F27" i="25"/>
  <c r="J8" i="24"/>
  <c r="J9" i="24"/>
  <c r="J14" i="24"/>
  <c r="J15" i="24"/>
  <c r="J16" i="24"/>
  <c r="J18" i="24"/>
  <c r="J19" i="24"/>
  <c r="J21" i="24"/>
  <c r="J22" i="24"/>
  <c r="J23" i="24"/>
  <c r="J24" i="24"/>
  <c r="J29" i="24"/>
  <c r="F7" i="22"/>
  <c r="F9" i="22"/>
  <c r="F11" i="22"/>
  <c r="F12" i="22"/>
  <c r="F14" i="22"/>
  <c r="F24" i="22"/>
  <c r="F25" i="22"/>
  <c r="F6" i="14"/>
  <c r="F11" i="14"/>
  <c r="F14" i="14"/>
  <c r="F17" i="14"/>
  <c r="F57" i="14"/>
  <c r="F20" i="14"/>
  <c r="F79" i="14"/>
  <c r="F21" i="14"/>
  <c r="F22" i="14"/>
  <c r="F24" i="14"/>
  <c r="F58" i="14"/>
  <c r="F25" i="14"/>
  <c r="F59" i="14"/>
  <c r="F81" i="14"/>
  <c r="F26" i="14"/>
  <c r="F30" i="14"/>
  <c r="F31" i="14"/>
  <c r="F32" i="14"/>
  <c r="F33" i="14"/>
  <c r="F34" i="14"/>
  <c r="F36" i="14"/>
  <c r="F68" i="14"/>
  <c r="F60" i="14"/>
  <c r="F61" i="14"/>
  <c r="F29" i="14"/>
  <c r="F39" i="14"/>
  <c r="F8" i="13"/>
  <c r="F9" i="13"/>
  <c r="C10" i="13"/>
  <c r="C14" i="13"/>
  <c r="C22" i="13"/>
  <c r="J33" i="41" s="1"/>
  <c r="F11" i="13"/>
  <c r="F7" i="12"/>
  <c r="F8" i="12"/>
  <c r="F9" i="12"/>
  <c r="F15" i="12"/>
  <c r="F16" i="12"/>
  <c r="F17" i="12"/>
  <c r="F30" i="12"/>
  <c r="F31" i="12"/>
  <c r="C32" i="12"/>
  <c r="J32" i="41" s="1"/>
  <c r="F7" i="11"/>
  <c r="F8" i="11"/>
  <c r="F9" i="11"/>
  <c r="F16" i="11"/>
  <c r="F17" i="11"/>
  <c r="F18" i="11"/>
  <c r="F19" i="11"/>
  <c r="F20" i="11"/>
  <c r="F22" i="11"/>
  <c r="F23" i="11"/>
  <c r="F24" i="11"/>
  <c r="J31" i="41"/>
  <c r="F10" i="36"/>
  <c r="F11" i="36"/>
  <c r="F12" i="36"/>
  <c r="F17" i="36"/>
  <c r="F18" i="36"/>
  <c r="F22" i="36"/>
  <c r="F33" i="36"/>
  <c r="F32" i="36"/>
  <c r="F27" i="36"/>
  <c r="F28" i="36"/>
  <c r="F42" i="36"/>
  <c r="F43" i="36"/>
  <c r="F44" i="36"/>
  <c r="F45" i="36"/>
  <c r="F46" i="36"/>
  <c r="F47" i="36"/>
  <c r="F48" i="36"/>
  <c r="F49" i="36"/>
  <c r="F50" i="36"/>
  <c r="F51" i="36"/>
  <c r="F61" i="36"/>
  <c r="F73" i="36"/>
  <c r="F74" i="36"/>
  <c r="F81" i="36"/>
  <c r="F84" i="36"/>
  <c r="F85" i="36"/>
  <c r="F89" i="36"/>
  <c r="F7" i="9"/>
  <c r="F8" i="9"/>
  <c r="F10" i="9"/>
  <c r="F41" i="9"/>
  <c r="F42" i="9"/>
  <c r="C43" i="9"/>
  <c r="J29" i="41" s="1"/>
  <c r="J10" i="39"/>
  <c r="J12" i="39"/>
  <c r="J18" i="39"/>
  <c r="J22" i="39"/>
  <c r="J23" i="39"/>
  <c r="J25" i="39"/>
  <c r="J26" i="39"/>
  <c r="J43" i="39"/>
  <c r="J61" i="39"/>
  <c r="J63" i="39"/>
  <c r="J65" i="39"/>
  <c r="J66" i="39"/>
  <c r="J67" i="39"/>
  <c r="J69" i="39"/>
  <c r="J71" i="39"/>
  <c r="J72" i="39"/>
  <c r="J77" i="39"/>
  <c r="J78" i="39"/>
  <c r="J79" i="39"/>
  <c r="J81" i="39"/>
  <c r="J84" i="39"/>
  <c r="J85" i="39"/>
  <c r="J86" i="39"/>
  <c r="J87" i="39"/>
  <c r="J88" i="39"/>
  <c r="J89" i="39"/>
  <c r="J91" i="39"/>
  <c r="J99" i="39"/>
  <c r="J101" i="39"/>
  <c r="J109" i="39"/>
  <c r="J123" i="39"/>
  <c r="J124" i="39"/>
  <c r="J125" i="39"/>
  <c r="J126" i="39"/>
  <c r="J127" i="39"/>
  <c r="J129" i="39"/>
  <c r="J130" i="39"/>
  <c r="J131" i="39"/>
  <c r="J132" i="39"/>
  <c r="J133" i="39"/>
  <c r="D53" i="41"/>
  <c r="J53" i="41"/>
  <c r="K53" i="41"/>
  <c r="J100" i="39"/>
  <c r="F54" i="14"/>
  <c r="F31" i="36"/>
  <c r="E34" i="36"/>
  <c r="J24" i="39"/>
  <c r="E83" i="14"/>
  <c r="D28" i="41" l="1"/>
  <c r="D66" i="40"/>
  <c r="L34" i="41"/>
  <c r="F103" i="14"/>
  <c r="F30" i="25"/>
  <c r="L14" i="41"/>
  <c r="E94" i="14"/>
  <c r="C35" i="36"/>
  <c r="C40" i="36" s="1"/>
  <c r="C58" i="36" s="1"/>
  <c r="D35" i="36"/>
  <c r="D40" i="36" s="1"/>
  <c r="D58" i="36" s="1"/>
  <c r="F32" i="12"/>
  <c r="K34" i="41"/>
  <c r="M34" i="41" s="1"/>
  <c r="D95" i="14"/>
  <c r="K32" i="41"/>
  <c r="M32" i="41" s="1"/>
  <c r="F6" i="41"/>
  <c r="G6" i="41" s="1"/>
  <c r="D6" i="41"/>
  <c r="G137" i="39"/>
  <c r="F32" i="11"/>
  <c r="G53" i="41"/>
  <c r="E31" i="41"/>
  <c r="G31" i="41" s="1"/>
  <c r="D25" i="12"/>
  <c r="K9" i="41" s="1"/>
  <c r="F10" i="12"/>
  <c r="F24" i="12"/>
  <c r="E87" i="36"/>
  <c r="J27" i="24"/>
  <c r="F18" i="14"/>
  <c r="C94" i="14"/>
  <c r="C95" i="14" s="1"/>
  <c r="J11" i="41" s="1"/>
  <c r="F34" i="36"/>
  <c r="D15" i="13"/>
  <c r="K10" i="41" s="1"/>
  <c r="D35" i="9"/>
  <c r="C25" i="12"/>
  <c r="C34" i="12" s="1"/>
  <c r="M22" i="41"/>
  <c r="M53" i="41"/>
  <c r="J44" i="41"/>
  <c r="K44" i="41"/>
  <c r="H28" i="24"/>
  <c r="H31" i="24" s="1"/>
  <c r="F10" i="13"/>
  <c r="M33" i="41"/>
  <c r="D33" i="11"/>
  <c r="D34" i="11" s="1"/>
  <c r="M38" i="41"/>
  <c r="M40" i="41"/>
  <c r="M43" i="41"/>
  <c r="G28" i="41"/>
  <c r="G30" i="41"/>
  <c r="G43" i="40"/>
  <c r="G50" i="40"/>
  <c r="E33" i="11"/>
  <c r="G28" i="24"/>
  <c r="G31" i="24" s="1"/>
  <c r="F36" i="22"/>
  <c r="F9" i="14"/>
  <c r="F83" i="14"/>
  <c r="C15" i="13"/>
  <c r="J10" i="41" s="1"/>
  <c r="E15" i="13"/>
  <c r="F14" i="13"/>
  <c r="F22" i="13"/>
  <c r="E25" i="12"/>
  <c r="E34" i="12" s="1"/>
  <c r="C33" i="11"/>
  <c r="C34" i="11" s="1"/>
  <c r="F40" i="11"/>
  <c r="M31" i="41"/>
  <c r="F10" i="11"/>
  <c r="F69" i="36"/>
  <c r="C87" i="36"/>
  <c r="C96" i="36" s="1"/>
  <c r="F86" i="36"/>
  <c r="F82" i="36"/>
  <c r="F21" i="36"/>
  <c r="F24" i="36"/>
  <c r="M30" i="41"/>
  <c r="F13" i="36"/>
  <c r="E70" i="36"/>
  <c r="J35" i="41"/>
  <c r="F57" i="36"/>
  <c r="D87" i="36"/>
  <c r="D96" i="36" s="1"/>
  <c r="E39" i="36"/>
  <c r="F26" i="36"/>
  <c r="F29" i="36"/>
  <c r="J75" i="39"/>
  <c r="F36" i="36"/>
  <c r="J111" i="39"/>
  <c r="G10" i="41"/>
  <c r="J136" i="39"/>
  <c r="G8" i="41"/>
  <c r="G9" i="41"/>
  <c r="L29" i="41"/>
  <c r="L35" i="41" s="1"/>
  <c r="E35" i="9"/>
  <c r="E45" i="9" s="1"/>
  <c r="C35" i="9"/>
  <c r="F9" i="9"/>
  <c r="F43" i="9"/>
  <c r="F15" i="36"/>
  <c r="F94" i="36"/>
  <c r="F34" i="9"/>
  <c r="K14" i="41"/>
  <c r="M14" i="41" s="1"/>
  <c r="M41" i="41"/>
  <c r="L12" i="41"/>
  <c r="M12" i="41" s="1"/>
  <c r="F93" i="14"/>
  <c r="F38" i="36"/>
  <c r="J13" i="41" l="1"/>
  <c r="F15" i="13"/>
  <c r="K35" i="41"/>
  <c r="K45" i="41" s="1"/>
  <c r="K11" i="41"/>
  <c r="K6" i="41"/>
  <c r="D34" i="12"/>
  <c r="F34" i="12" s="1"/>
  <c r="J9" i="41"/>
  <c r="D24" i="13"/>
  <c r="D45" i="9"/>
  <c r="F45" i="9" s="1"/>
  <c r="F70" i="36"/>
  <c r="E96" i="36"/>
  <c r="E95" i="14"/>
  <c r="F33" i="11"/>
  <c r="L10" i="41"/>
  <c r="M10" i="41" s="1"/>
  <c r="F94" i="14"/>
  <c r="F25" i="12"/>
  <c r="L9" i="41"/>
  <c r="M9" i="41" s="1"/>
  <c r="M36" i="41"/>
  <c r="D7" i="41"/>
  <c r="D23" i="41" s="1"/>
  <c r="D42" i="11"/>
  <c r="K8" i="41"/>
  <c r="C24" i="13"/>
  <c r="D105" i="14"/>
  <c r="C105" i="14"/>
  <c r="E24" i="13"/>
  <c r="E34" i="11"/>
  <c r="L8" i="41" s="1"/>
  <c r="J45" i="41"/>
  <c r="F29" i="41"/>
  <c r="F45" i="41" s="1"/>
  <c r="D29" i="41"/>
  <c r="D45" i="41" s="1"/>
  <c r="F35" i="9"/>
  <c r="J8" i="41"/>
  <c r="C42" i="11"/>
  <c r="C97" i="36"/>
  <c r="C117" i="36" s="1"/>
  <c r="D97" i="36"/>
  <c r="F87" i="36"/>
  <c r="F39" i="36"/>
  <c r="F25" i="36"/>
  <c r="L6" i="41"/>
  <c r="M29" i="41"/>
  <c r="J6" i="41"/>
  <c r="C45" i="9"/>
  <c r="F95" i="36"/>
  <c r="L44" i="41"/>
  <c r="M37" i="41"/>
  <c r="E19" i="36"/>
  <c r="E35" i="36" s="1"/>
  <c r="E40" i="36" s="1"/>
  <c r="E58" i="36" s="1"/>
  <c r="F14" i="36"/>
  <c r="F7" i="41"/>
  <c r="I137" i="39"/>
  <c r="F24" i="13" l="1"/>
  <c r="E97" i="36"/>
  <c r="F97" i="36" s="1"/>
  <c r="L11" i="41"/>
  <c r="M11" i="41" s="1"/>
  <c r="M35" i="41"/>
  <c r="D117" i="36"/>
  <c r="M6" i="41"/>
  <c r="K13" i="41"/>
  <c r="F95" i="14"/>
  <c r="E105" i="14"/>
  <c r="F105" i="14" s="1"/>
  <c r="D56" i="41"/>
  <c r="H137" i="39"/>
  <c r="J137" i="39" s="1"/>
  <c r="J57" i="39"/>
  <c r="J58" i="39"/>
  <c r="M8" i="41"/>
  <c r="J7" i="41"/>
  <c r="J23" i="41" s="1"/>
  <c r="J56" i="41" s="1"/>
  <c r="E42" i="11"/>
  <c r="F42" i="11" s="1"/>
  <c r="F34" i="11"/>
  <c r="K7" i="41"/>
  <c r="E7" i="41"/>
  <c r="E23" i="41" s="1"/>
  <c r="L45" i="41"/>
  <c r="M44" i="41"/>
  <c r="F23" i="41"/>
  <c r="F19" i="36"/>
  <c r="F30" i="36" s="1"/>
  <c r="F96" i="36"/>
  <c r="K23" i="41" l="1"/>
  <c r="K56" i="41" s="1"/>
  <c r="G7" i="41"/>
  <c r="G23" i="41"/>
  <c r="F56" i="41"/>
  <c r="F40" i="36"/>
  <c r="M45" i="41"/>
  <c r="F58" i="36" l="1"/>
  <c r="E117" i="36" l="1"/>
  <c r="F117" i="36" s="1"/>
  <c r="L7" i="41"/>
  <c r="M7" i="41" l="1"/>
  <c r="G37" i="40" l="1"/>
  <c r="E29" i="41" l="1"/>
  <c r="G29" i="41" s="1"/>
  <c r="G38" i="40"/>
  <c r="E45" i="41" l="1"/>
  <c r="G45" i="41" s="1"/>
  <c r="E56" i="41" l="1"/>
  <c r="G56" i="41" l="1"/>
  <c r="J12" i="24"/>
  <c r="I28" i="24"/>
  <c r="I31" i="24" s="1"/>
  <c r="J28" i="24" l="1"/>
  <c r="L13" i="41" l="1"/>
  <c r="L23" i="41" s="1"/>
  <c r="L56" i="41" s="1"/>
  <c r="L21" i="47" s="1"/>
  <c r="J31" i="24"/>
  <c r="M13" i="41" l="1"/>
  <c r="M23" i="41"/>
  <c r="M56" i="41" l="1"/>
</calcChain>
</file>

<file path=xl/sharedStrings.xml><?xml version="1.0" encoding="utf-8"?>
<sst xmlns="http://schemas.openxmlformats.org/spreadsheetml/2006/main" count="3179" uniqueCount="1790">
  <si>
    <t>FELHALMOZÁSI CÉLÚ ÁTVETT PÉNZESZKÖZÖK ÖSSZESEN</t>
  </si>
  <si>
    <t>Óvodai és Iskolai úszásoktatás feladatai</t>
  </si>
  <si>
    <t>Arany János ösztöndíj</t>
  </si>
  <si>
    <t>Oktatási intézmények összesen</t>
  </si>
  <si>
    <t>Savaria Múzeum összesen</t>
  </si>
  <si>
    <t>Berzsenyi Dániel könyvtár központi támogatásból fedezett kiadás</t>
  </si>
  <si>
    <t>Capella Savaria</t>
  </si>
  <si>
    <t>Ferrum Színházi Társulat</t>
  </si>
  <si>
    <t>Kulturális ágazat kiadásai mindösszesen</t>
  </si>
  <si>
    <t>Lakás bérleti díj támogatása</t>
  </si>
  <si>
    <t>Savaria Turizmus Nonprofit Kft - támogatása</t>
  </si>
  <si>
    <t>Parkolásgazdálkodási kiadás</t>
  </si>
  <si>
    <t>Joska Ola Alapítvány</t>
  </si>
  <si>
    <t>Külterületi utak fenntartása</t>
  </si>
  <si>
    <t>Csapadékvízelvezetés fejlesztése</t>
  </si>
  <si>
    <t>út, járda, kerékpárút, parkoló, közvilágítási építési és felújítási program</t>
  </si>
  <si>
    <t>Óvoda adminisztrációs szoftver</t>
  </si>
  <si>
    <t>Áfa befizetés (saját bevételből)</t>
  </si>
  <si>
    <t>Intézményi vagyonbiztosítások</t>
  </si>
  <si>
    <t>Városfejlesztési célok (helyi építészeti értékek védelme)</t>
  </si>
  <si>
    <t>Oktatási intézmények összesen:</t>
  </si>
  <si>
    <t>Egészségügyi ágazat kiadásai mindösszesen</t>
  </si>
  <si>
    <t xml:space="preserve">Oktatási ágazat </t>
  </si>
  <si>
    <t>Sportágazat kiadásai mindösszesen</t>
  </si>
  <si>
    <t>Szociális ágazat kiadásai mindösszesen</t>
  </si>
  <si>
    <t>Oktatási ágazat kiadásai mindösszesen</t>
  </si>
  <si>
    <t>Segély központi támogatásból</t>
  </si>
  <si>
    <t>Savaria Városfejlesztési Kft. Támogatása</t>
  </si>
  <si>
    <t xml:space="preserve">Fejlesztési céltartalékok </t>
  </si>
  <si>
    <t>Termőföld bérbeadásából szárm.jöv.adó</t>
  </si>
  <si>
    <t>Helyi iparűzési adó</t>
  </si>
  <si>
    <t>Helyettes szülői hálózat</t>
  </si>
  <si>
    <t>Városi pedagógus nap, tanévnyító ünnepség</t>
  </si>
  <si>
    <t>Szombathely Város Fúvószenekar támogatása</t>
  </si>
  <si>
    <t>ezer forintban</t>
  </si>
  <si>
    <t>Felhalmozási kiadások</t>
  </si>
  <si>
    <t>Önkormányzat egyéb kiadásai (informatikai kiadások)</t>
  </si>
  <si>
    <t>Informatikai fejlesztések</t>
  </si>
  <si>
    <t>Oktatási ágazat kiadásai</t>
  </si>
  <si>
    <t>Szociális ágazat kiadásai</t>
  </si>
  <si>
    <t>Egészségügyi ágazat kiadásai</t>
  </si>
  <si>
    <t>Sport ágazat kiadásai</t>
  </si>
  <si>
    <t>Köztemetés költségeinek megtérítése</t>
  </si>
  <si>
    <t>Kiszámlázott és befizetendő áfa</t>
  </si>
  <si>
    <t>Vas megye és Szombathely Megyei Jogú Város Nyugdíjas Közösségeinek Szövetsége támogatása</t>
  </si>
  <si>
    <t>Önkormányzat egyéb kiadásai</t>
  </si>
  <si>
    <t>Önkormányzat egyéb kiadásai (Városüzemeltetési kiadások)</t>
  </si>
  <si>
    <t>Önkormányzat egyéb kiadásai (Hatósági kiadások)</t>
  </si>
  <si>
    <t>Önkormányzat egyéb kiadásai (Főépítészi kiadások)</t>
  </si>
  <si>
    <t>Közterület felügyelet bírság bevétel</t>
  </si>
  <si>
    <t>Nagy Lajos Gimnázium fűtése, hőszolgáltatási ktg</t>
  </si>
  <si>
    <t>Megnevezés</t>
  </si>
  <si>
    <t>Épitményadó</t>
  </si>
  <si>
    <t>Gyermekvédelmi kiadások</t>
  </si>
  <si>
    <t>Költségvetési szervek bevételei</t>
  </si>
  <si>
    <r>
      <t>Szombathelyi Egészségügyi és Kulturális Intézmények GESZ</t>
    </r>
    <r>
      <rPr>
        <b/>
        <sz val="12"/>
        <rFont val="Arial CE"/>
        <family val="2"/>
        <charset val="238"/>
      </rPr>
      <t xml:space="preserve">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</si>
  <si>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 xml:space="preserve">Szombathelyi Egészségügyi és Kulturális Intézmények GESZ </t>
    </r>
    <r>
      <rPr>
        <b/>
        <i/>
        <sz val="12"/>
        <rFont val="Arial CE"/>
        <family val="2"/>
        <charset val="238"/>
      </rPr>
      <t>saját bevételéből és OEP támogatásból fedezett kiadás</t>
    </r>
  </si>
  <si>
    <r>
      <t xml:space="preserve">Egyesített Bölcsődei Intézmény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</si>
  <si>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>Egyesített Bölcsődei Intézmény</t>
    </r>
    <r>
      <rPr>
        <b/>
        <i/>
        <sz val="12"/>
        <rFont val="Arial CE"/>
        <family val="2"/>
        <charset val="238"/>
      </rPr>
      <t xml:space="preserve"> saját bevételéből fedezett kiadás</t>
    </r>
  </si>
  <si>
    <t>Működési célú maradvány</t>
  </si>
  <si>
    <t>Költségvetési szervek beruházásai és felújításai</t>
  </si>
  <si>
    <t>2.</t>
  </si>
  <si>
    <t>Nagyprojektek, projektek</t>
  </si>
  <si>
    <t>Talajterhelési díj</t>
  </si>
  <si>
    <t>Bérleti díj</t>
  </si>
  <si>
    <t>Lakáskölcsöntörlesztés</t>
  </si>
  <si>
    <t>Nyugdíjasok háza befizetés</t>
  </si>
  <si>
    <t>Könyvtári érdekeltségnövelő támogatás</t>
  </si>
  <si>
    <t>Határont túli magyar egyesületek támogatása</t>
  </si>
  <si>
    <t xml:space="preserve">     Beruházások  összesen</t>
  </si>
  <si>
    <t>Vásárcsarnok átadott pénzeszköze</t>
  </si>
  <si>
    <t>Hézagkiöntés</t>
  </si>
  <si>
    <t>Közvilágítás</t>
  </si>
  <si>
    <t>Hídfenntartás</t>
  </si>
  <si>
    <t>Idegenforgalmi adó</t>
  </si>
  <si>
    <t>Polgármesteri Hivatal</t>
  </si>
  <si>
    <t>Gépjárműadó</t>
  </si>
  <si>
    <t>Jelzőrendszeres házi segítségnyújtás támogatása</t>
  </si>
  <si>
    <t>Pálos K. Szociális Szolgáltató Központ és Gyermekjóléti Szolgálat</t>
  </si>
  <si>
    <t>Egységes ügyiratkezelő szoftver az önk. által mük. Intézményekben</t>
  </si>
  <si>
    <t>KULTURÁLIS MŰKÖDÉSI KIADÁSOK ÖSSZESEN</t>
  </si>
  <si>
    <t>Esőemberke Alapítvány támogatása</t>
  </si>
  <si>
    <t>Mérőkészülékek felszerelése, és egyéb lakásgazdálkodási kiadások</t>
  </si>
  <si>
    <t>Háziorvosi rendelők karbantartása</t>
  </si>
  <si>
    <t>Lelkisegély szolgálat támogatása  (szerződés) - Telehumanitas Szombathelyi Mentálhigiénés Egyesület</t>
  </si>
  <si>
    <t>Víziközmű és szennyvízközmű használati díjbevételhez kapcsolódó áfa visszaigénylés</t>
  </si>
  <si>
    <t>Gyermek és ifjúsági sport támogatása</t>
  </si>
  <si>
    <t>Közösségi és szabadidős sportrendezvények támogatása</t>
  </si>
  <si>
    <t>Szombathelyi Szabadidősport Szövetség támogatása</t>
  </si>
  <si>
    <t>Gyermek és ifjúsági kitüntetések</t>
  </si>
  <si>
    <t>Dobó Se támogatása</t>
  </si>
  <si>
    <t>Éves hídvizsgálat</t>
  </si>
  <si>
    <t>Sugár úti Sportcentrum üzemeltetéséhez kapacitás lekötés</t>
  </si>
  <si>
    <t>Környezetvédelmi birság</t>
  </si>
  <si>
    <t>Tartalékok</t>
  </si>
  <si>
    <t xml:space="preserve"> </t>
  </si>
  <si>
    <t>Drogellenes stratégiai feladatok</t>
  </si>
  <si>
    <t>Munkáltatói kölcsön</t>
  </si>
  <si>
    <t>Szombathelyi Hospice Alapítvány</t>
  </si>
  <si>
    <t>Közterület felügyelet</t>
  </si>
  <si>
    <t>Egyéb bevételek</t>
  </si>
  <si>
    <t>Közterület foglalás</t>
  </si>
  <si>
    <t>1. Város és községgazd. szolg.</t>
  </si>
  <si>
    <t>Közvilágitás</t>
  </si>
  <si>
    <t>Egyéb feladatok</t>
  </si>
  <si>
    <t xml:space="preserve">Összesen:                    </t>
  </si>
  <si>
    <t>Csapadékvízelvezetés</t>
  </si>
  <si>
    <t>Jelzőlámpák</t>
  </si>
  <si>
    <t>Burkolati jelek festése</t>
  </si>
  <si>
    <t>Posta költség</t>
  </si>
  <si>
    <t>Egyesített Bölcsődei Intézmény</t>
  </si>
  <si>
    <t>Vásárcsarnok</t>
  </si>
  <si>
    <t xml:space="preserve">Pedagógus kituntetések </t>
  </si>
  <si>
    <t>Helyiségek és lakások bérleti díja</t>
  </si>
  <si>
    <t>Földhaszonbérlet</t>
  </si>
  <si>
    <t>Egészség-hét</t>
  </si>
  <si>
    <t>Humán Civil ház</t>
  </si>
  <si>
    <t>Kiegészítő gyermekvédelmi támogatás</t>
  </si>
  <si>
    <t>Segély önkormányzati támogatásból</t>
  </si>
  <si>
    <t>Szociális ágazat</t>
  </si>
  <si>
    <t>Kulturális intézmények támogatása</t>
  </si>
  <si>
    <t>Városi kulturális intézmények</t>
  </si>
  <si>
    <t>Weöres Sándor Színház Nonprofit Kft. összesen</t>
  </si>
  <si>
    <t>Városi kulturális intézmények és Weöres S. Színház összesen</t>
  </si>
  <si>
    <t>KULTURÁLIS INTÉZMÉNYEK TÁMOGATÁSA ÖSSZESEN</t>
  </si>
  <si>
    <t>Rendezvények támogatása</t>
  </si>
  <si>
    <t>Kiemelt rendezvények</t>
  </si>
  <si>
    <t>Kiemelt rendezvények összesen</t>
  </si>
  <si>
    <t>RENDEZVÉNYEK ÖSSZESEN</t>
  </si>
  <si>
    <t>Egyéb támogatások</t>
  </si>
  <si>
    <t>Önerő támogatás kulturális pályázatokhoz összesen</t>
  </si>
  <si>
    <t>Egészségügyi civil szervezetek támogatása</t>
  </si>
  <si>
    <t>Óvodák</t>
  </si>
  <si>
    <t>Finanszírozási műveletek</t>
  </si>
  <si>
    <t>Finanszírozási műveletek összesen</t>
  </si>
  <si>
    <t>Olimpiai reménységeket nevelő egyesületek támogatása</t>
  </si>
  <si>
    <t>Szemünk fénye program - bérleti díj 12 hónapra</t>
  </si>
  <si>
    <t>Önk.int.-ek fűtéskorszerűsítés - bérleti díj 12 hónapra</t>
  </si>
  <si>
    <t>Sportszervezetek támogatása</t>
  </si>
  <si>
    <t>Felhalmozási célú visszatérítendő támogatások, kölcsönök visszatérülése államháztartáson kívülről</t>
  </si>
  <si>
    <t>EPCOS telephely városfejlesztési akcióterv</t>
  </si>
  <si>
    <t>Egészségügyi ágazat</t>
  </si>
  <si>
    <t>Bursa Hungarica felsőokt.ösztöndíj</t>
  </si>
  <si>
    <t>összesen</t>
  </si>
  <si>
    <t>Pénzeszközátadás</t>
  </si>
  <si>
    <t>Egyéb szociális kiadások, támogatások</t>
  </si>
  <si>
    <t>Szombathelyi Képző Központ Nonprofit Kft. működési kiadások</t>
  </si>
  <si>
    <t>Kalandváros és Műjégpálya óvodai és iskolai csoportok által történő szervezett látogatásának támogatása</t>
  </si>
  <si>
    <t>KULTURÁLIS ÉS CIVIL ALAP ÖSSZESEN</t>
  </si>
  <si>
    <t xml:space="preserve">Kommunális városüzemeltetési és környezetvédelmi kiadások  </t>
  </si>
  <si>
    <t>Közhatalmi bevételek</t>
  </si>
  <si>
    <t>Folyószámla hitel kamata, bankköltségek</t>
  </si>
  <si>
    <t>Tervezések hatósági díja lejáró engedélyekhez</t>
  </si>
  <si>
    <t>Lakás és helységüzemeltetés veszteség pótlás</t>
  </si>
  <si>
    <t>Közterület-felügyelet átjátszó bérleti díj</t>
  </si>
  <si>
    <t>Markusovszky kórház támogatása</t>
  </si>
  <si>
    <t>Buszmegálló kialakítása</t>
  </si>
  <si>
    <t>Nem oktatási intézmények eszközfejlesztése</t>
  </si>
  <si>
    <t>Petz ösztöndíj</t>
  </si>
  <si>
    <t>Erdőgazdálkodási költség</t>
  </si>
  <si>
    <t>Önkormányzati konferenciák, rendezvények, fogadások</t>
  </si>
  <si>
    <t>Vizhasználati dij</t>
  </si>
  <si>
    <t>Szolgalmi joggal terhelt épületrész karbantartása</t>
  </si>
  <si>
    <t>Parkfenntartás</t>
  </si>
  <si>
    <t>mód.ei.</t>
  </si>
  <si>
    <t>teljesítés</t>
  </si>
  <si>
    <t>Teljesítés</t>
  </si>
  <si>
    <t>%-a</t>
  </si>
  <si>
    <t>KÖLTSÉGVETÉSI SZERVEK FELHALMOZÁSI BEVÉTELEI ÖSSZESEN</t>
  </si>
  <si>
    <t>"Szombathely visszavár" ösztöndíjrendszer</t>
  </si>
  <si>
    <t>Horvát Nemzetiségi nap támogatása</t>
  </si>
  <si>
    <t>Működési célú nagyprojektek, projektek</t>
  </si>
  <si>
    <t>FALCO KC Kft. támogatás</t>
  </si>
  <si>
    <t>Jelzőtáblák (forgalmi rend változás)</t>
  </si>
  <si>
    <t>Kátyúkár - önerő biztosítás</t>
  </si>
  <si>
    <t>Környezetvédelmi kiadások</t>
  </si>
  <si>
    <t>Kommunális és vároüzemeltetési kiadások összesen</t>
  </si>
  <si>
    <t>Kommunális, vároüzemeltetési és környezetvédelmi kiadások összesen</t>
  </si>
  <si>
    <t>Városfejlesztési alap</t>
  </si>
  <si>
    <t>ÖNKORMÁNYZATOK MŰKÖDÉSI TÁMOGATÁSAI</t>
  </si>
  <si>
    <t>Vas Megyei Tudományos Ismeretterjesztő Egyesület közművelődési megállapodás</t>
  </si>
  <si>
    <t>Települési Önkormányzatok kulturális feladatainak támogatása</t>
  </si>
  <si>
    <t>JÖVEDELEMADÓK</t>
  </si>
  <si>
    <t>VAGYONI TÍPUSÚ ADÓK</t>
  </si>
  <si>
    <t>TERMÉK ÉS SZOLGÁLTATÁSOK ADÓI</t>
  </si>
  <si>
    <t>EGYÉB KÖZHATALMI BEVÉTELEK</t>
  </si>
  <si>
    <t>KÖLTSÉGVETÉSI SZERVEK MŰKÖDÉSI BEVÉTELEI</t>
  </si>
  <si>
    <t xml:space="preserve">Felhalmozási célú önkormányzati támogatások </t>
  </si>
  <si>
    <t>Egyéb felhalmozási célú támogatások bevételei államháztartáson belülről</t>
  </si>
  <si>
    <t>Egyéb felhalmozási célú átvett pénzeszközök</t>
  </si>
  <si>
    <t>Működési célú visszatérítendő támogatások, kölcsönök visszatérülése államháztartáson kívülről</t>
  </si>
  <si>
    <t>Egyéb működési célú átvett pénzeszközök</t>
  </si>
  <si>
    <t>EGYÉB MŰKÖDÉSI CÉLÚ TÁMOGATÁSOK BEVÉTELEI ÁLLAMHÁZTARTÁSON BELÜLRŐL</t>
  </si>
  <si>
    <t>ELVONÁSOK ÉS BEFIZETÉSEK BEVÉTELEI</t>
  </si>
  <si>
    <t>Kiszámlázott általános forgalmi adó és áfa visszatérítése</t>
  </si>
  <si>
    <t>Kamatbevételek</t>
  </si>
  <si>
    <t>SOS Gyermekfalu Magyarországi Alapítvány támogatása (átmeneti vagy tartós nevelésbe vett gyermekek, fiatal felnőttek gyermekvédelmi szakellátása)</t>
  </si>
  <si>
    <t>Versenyek rendezvények, támogatások</t>
  </si>
  <si>
    <t>Zanati Kulturális és Sportegyesület</t>
  </si>
  <si>
    <t>Gyöngyöshermán-Szentkirályi Polgári Kör</t>
  </si>
  <si>
    <t>Herényi Kulturális és Sportegyesület</t>
  </si>
  <si>
    <t>Petőfi Telepért Egyesület</t>
  </si>
  <si>
    <t>Derkovits Városrészért Közhasznú Egyesület</t>
  </si>
  <si>
    <t>Savaria Fórum</t>
  </si>
  <si>
    <t>Felhalmozási célú maradvány</t>
  </si>
  <si>
    <t>Vásárok, rendezvények, karácsonyi díszkivilágítás</t>
  </si>
  <si>
    <t>Könyvvizsgálói költség</t>
  </si>
  <si>
    <t>Állami és önkormányzati adatbázisok használati, továbbvezetési, karbantartási és szolgáltatási díja</t>
  </si>
  <si>
    <t>Erzsébet utalványok formájában nyújtott gyermekvédelmi támogatások</t>
  </si>
  <si>
    <t>Nyugdíjba vonuló vezetők ped.szolg.emlékérme és juttatása</t>
  </si>
  <si>
    <t>Közösségi közlekedés (buszmegállók kialakítása, leszálló szigetek helyreállítása, kialakítása)</t>
  </si>
  <si>
    <t>Osztalék bevétel</t>
  </si>
  <si>
    <t>vagyongazdálkodási kiadások (ingatlan kisajátítás, vásárlás)</t>
  </si>
  <si>
    <t>2014-2020 évekre szóló projektek előkészítése</t>
  </si>
  <si>
    <t>Szombathelyi Köznevelési GAMESZ</t>
  </si>
  <si>
    <t>Működési célú költségvetési támogatások és kiegészítő támogatások</t>
  </si>
  <si>
    <t>Elszámolásból származó bevételek</t>
  </si>
  <si>
    <t xml:space="preserve">Helyi közösségi közlekedés támogatása </t>
  </si>
  <si>
    <t>Felhalmozási célú visszatérítendő támogatások, kölcsönök visszatérülése államháztartáson belülről</t>
  </si>
  <si>
    <t>Folyékony hulladékgyűjtés</t>
  </si>
  <si>
    <t>Oktatási, szociális és ifjúsági kiadások - tartalék</t>
  </si>
  <si>
    <t>KISZ Lakótelepért Egyesület</t>
  </si>
  <si>
    <t>ISIS Big Band támogatása</t>
  </si>
  <si>
    <t>Közterület - felügyelet</t>
  </si>
  <si>
    <t>Térfigyelő Kamerarendszer üzemeltetése</t>
  </si>
  <si>
    <t>Office 365 rendszer működtetése</t>
  </si>
  <si>
    <t>Integrált pénzügyi rendszer üzemeltetés az intézményekben</t>
  </si>
  <si>
    <t>Forgalmi rend felülvizsgálata</t>
  </si>
  <si>
    <t>Költségvetési szervek beruházásai és felújításai összesen:</t>
  </si>
  <si>
    <t xml:space="preserve">Önkormányzati bérlakások felújítása </t>
  </si>
  <si>
    <t>Központi bevételekkel fedezett kiadások</t>
  </si>
  <si>
    <t>Központi bevételekkel fedezett kiadások összesen</t>
  </si>
  <si>
    <t>Önkormányzati bevételekkel fedezett kiadások</t>
  </si>
  <si>
    <t>Szociális hét</t>
  </si>
  <si>
    <t>Önkormányzati bevételekkel fedezett kiadások összesen intézményi kiadások nélkül</t>
  </si>
  <si>
    <t>Könyv, film</t>
  </si>
  <si>
    <t>Szociális intézmény összesen</t>
  </si>
  <si>
    <t>Működési kiadások</t>
  </si>
  <si>
    <t>Egészségügyi intézmény összesen</t>
  </si>
  <si>
    <t>Gyermekvédelmi intézmény Intézmény összesen</t>
  </si>
  <si>
    <t>Önkormányzati gyermekvédelmi kiadások összesen</t>
  </si>
  <si>
    <t>Gyermekvédelmi működési kiadások összesen</t>
  </si>
  <si>
    <t xml:space="preserve">Áfa visszaigénylés </t>
  </si>
  <si>
    <t>Önkormányzati szociális kiadások összesen</t>
  </si>
  <si>
    <t>Szociális működési kiadások összesen</t>
  </si>
  <si>
    <t>Önkormányzati egészségügyi kiadások összesen</t>
  </si>
  <si>
    <t>Egészségügyi működési kiadások összesen</t>
  </si>
  <si>
    <t>Gyermekvédelmi intézmény összesen</t>
  </si>
  <si>
    <t>Gyermekvédelmi ágazat kiadásai mindösszesen</t>
  </si>
  <si>
    <t>Egyéb, más ágazathoz nem sorolható intézmény kiadásai összesen</t>
  </si>
  <si>
    <t>Berzsenyi Dániel Könyvtár összesen</t>
  </si>
  <si>
    <t>Vízközmű-használati díj terhére végzett beruházás - fordított áfa kiadás</t>
  </si>
  <si>
    <t>Egyéb, más ágazathoz nem sorolható intézmények és feladatok kiadásai mindösszesen</t>
  </si>
  <si>
    <t>Önkormányzati, egyéb más ágazathoz nem sorolható feladatok kiadásai összesen</t>
  </si>
  <si>
    <t>Egyéb más ágazathoz nem sorolható feladatok és intézmények működési kiadásai összesen</t>
  </si>
  <si>
    <t>Egyéb pénzügyi műveletek bevételei</t>
  </si>
  <si>
    <t>Önkormányzati felhalmozási kiadások mindösszesen</t>
  </si>
  <si>
    <t>Működési célú támogatások ÁH-on belülről</t>
  </si>
  <si>
    <t>URBACT III program Disarned cities projekt támogatás II. ütem</t>
  </si>
  <si>
    <t>Szent Márton kártya értékesítése</t>
  </si>
  <si>
    <t>Szent Márton Emlékévhez kapcsolódó beruházások után áfa visszaigénylés</t>
  </si>
  <si>
    <t>Bartók Fesztivál</t>
  </si>
  <si>
    <t>Érzékenyítő programok - Helyi esélyegyenlőségi program keretében</t>
  </si>
  <si>
    <t>Szociális önkormányzati kitüntetések</t>
  </si>
  <si>
    <t>"Szombathely Szent Márton városa" Jóléti Alapítvány támogatás</t>
  </si>
  <si>
    <t>Egészségügyi dolgozók kitüntetése</t>
  </si>
  <si>
    <t>Kéményseprő ipari közszolgáltatás elllátásának támogatása (központi ei.)</t>
  </si>
  <si>
    <t>Helyi közösségi közlekedés támogatása (központi ei)</t>
  </si>
  <si>
    <t>URBACT III program Disarmed citis projekt (önerő+támogatás) II.ütem</t>
  </si>
  <si>
    <t xml:space="preserve">Szombathelyi Sportközpont és Sportiskola Nonprofit Kft. </t>
  </si>
  <si>
    <t xml:space="preserve">Teljes pályaszerkezet helyreállítás </t>
  </si>
  <si>
    <t>Járászszékhely települési önkormányzatok által fenntartott múzeumok szakmai támogatása</t>
  </si>
  <si>
    <t>Gyalogátkelőhelyek akadálymentesítése - helyi esélyegyenlőségi program keretében</t>
  </si>
  <si>
    <t>Herényi temető bővítés</t>
  </si>
  <si>
    <t>TOP projektek auditálási kiadásai</t>
  </si>
  <si>
    <t>Kulturális kiadások, média</t>
  </si>
  <si>
    <t>Működési célú átvett pénzeszközök</t>
  </si>
  <si>
    <t xml:space="preserve">Gyermekvédelem </t>
  </si>
  <si>
    <t>Kommunális, városüzemeltetési és környezetvédelmi kiadások</t>
  </si>
  <si>
    <t>Tartalékok össszesen</t>
  </si>
  <si>
    <t xml:space="preserve"> Működési célú bevételek összesen :</t>
  </si>
  <si>
    <t>FELHALMOZÁSI KIADÁSOK</t>
  </si>
  <si>
    <t>Intézményi felhalmozási kiadások</t>
  </si>
  <si>
    <t>Felhalmozási célú támogatások államháztartáson belülről</t>
  </si>
  <si>
    <t>Felhalmozási célú átvett péneszközök</t>
  </si>
  <si>
    <t>Intézményi felhalmozási kiadások össszesen</t>
  </si>
  <si>
    <t>Önkormányzati felhalmozási kiadások össszesen</t>
  </si>
  <si>
    <t xml:space="preserve">  Bevételek és finanszírozási műveletek összesen</t>
  </si>
  <si>
    <t xml:space="preserve">  Kiadások és finanszírozási műveletek összesen</t>
  </si>
  <si>
    <t xml:space="preserve">Központi költségvetés részére visszafizetési kötelezettség </t>
  </si>
  <si>
    <t>Felhalmozási bevételek</t>
  </si>
  <si>
    <t>Közbeszerzési kiadások</t>
  </si>
  <si>
    <t>Vízelnyelők tisztítása</t>
  </si>
  <si>
    <t>Egyéb más ágazathoz nem sorolható int.és feladatok</t>
  </si>
  <si>
    <t>Közhasznú információk támogatása</t>
  </si>
  <si>
    <t xml:space="preserve">Közlekedés, útépítés, közvilágítás, hídfelújítás </t>
  </si>
  <si>
    <t>Közművesítés</t>
  </si>
  <si>
    <t>Egyéb beruházások</t>
  </si>
  <si>
    <t>Lakásalap</t>
  </si>
  <si>
    <t>1.</t>
  </si>
  <si>
    <t>3.</t>
  </si>
  <si>
    <t>4.</t>
  </si>
  <si>
    <t>Vagyongazdálkodás</t>
  </si>
  <si>
    <t>5.</t>
  </si>
  <si>
    <t>6.</t>
  </si>
  <si>
    <t>7.</t>
  </si>
  <si>
    <t>Pénzeszközátadás összesen:</t>
  </si>
  <si>
    <t>Lakásalap összesen:</t>
  </si>
  <si>
    <t>Vagyongazdálkodás összesen</t>
  </si>
  <si>
    <t>Beruházások</t>
  </si>
  <si>
    <t xml:space="preserve">SZOMBATHELY MEGYEI JOGÚ VÁROS ÖNKORMÁNYZATÁNAK  PÉNZÜGYI  MÉRLEGE        </t>
  </si>
  <si>
    <t>Út-híd fenntartás</t>
  </si>
  <si>
    <t>Közhasznú információk támogatása összesen</t>
  </si>
  <si>
    <t>EGYÉB TÁMOGATÁSOK MINDÖSSZESEN</t>
  </si>
  <si>
    <t>Média</t>
  </si>
  <si>
    <t>Média összesen</t>
  </si>
  <si>
    <t>MÉDIA MINDÖSSZESEN</t>
  </si>
  <si>
    <t>Rendőrség támogatása</t>
  </si>
  <si>
    <t>Szökőkutak előre nem látható hibaelhárítása</t>
  </si>
  <si>
    <t xml:space="preserve"> Működési célú kiadások összesen :</t>
  </si>
  <si>
    <t>Városfejlesztési célok</t>
  </si>
  <si>
    <t>Fejlesztési céltartalék</t>
  </si>
  <si>
    <t xml:space="preserve">      Felhalmozási célú bevételek összesen :</t>
  </si>
  <si>
    <t xml:space="preserve">      Felhalmozási célú kiadások összesen :</t>
  </si>
  <si>
    <t>Sport</t>
  </si>
  <si>
    <t>eredeti ei.</t>
  </si>
  <si>
    <t>Foltos bevonat</t>
  </si>
  <si>
    <t>Helyreállítások (teljes pályaszerkezet csere)</t>
  </si>
  <si>
    <t>Padkarendezés</t>
  </si>
  <si>
    <t>Hidak, műtárgyak üzemeltetése (lemosása)</t>
  </si>
  <si>
    <t>Járdafenntartás</t>
  </si>
  <si>
    <t>Polgármesteri keret</t>
  </si>
  <si>
    <t xml:space="preserve">Technikai, bevétellel 100%-ig fedezett tételek </t>
  </si>
  <si>
    <t>Lakás és helyiségüzemeltetés (bevétellel)</t>
  </si>
  <si>
    <t xml:space="preserve">Egyéb tagdijak </t>
  </si>
  <si>
    <t xml:space="preserve">Egyéb önkormányzati kitüntetések </t>
  </si>
  <si>
    <t xml:space="preserve"> összesen</t>
  </si>
  <si>
    <t>intézmények összesen</t>
  </si>
  <si>
    <t>Egyéb, más ágazathoz nem sorolható intézmények és feladatok kiadásai</t>
  </si>
  <si>
    <t>MŰKÖDÉSI BEVÉTELEK</t>
  </si>
  <si>
    <t>MŰKÖDÉSI KIADÁSOK</t>
  </si>
  <si>
    <t xml:space="preserve">Külföldi  kapcsolatok, kiküldetés </t>
  </si>
  <si>
    <t>Egyéb fejlesztések</t>
  </si>
  <si>
    <t>Egyéb adó és bírságok, pótlékok</t>
  </si>
  <si>
    <t>Légszennyezettségi mérőállomások villamos energia ellátása</t>
  </si>
  <si>
    <t>Térfigyelő kamerarendszer adatátviteli hálózat üzemeltetés</t>
  </si>
  <si>
    <t>FALCO KC Kft. pótbefizetés</t>
  </si>
  <si>
    <t>ÉNYKK  Zrt. - helyi tömegközlekedés támogatása</t>
  </si>
  <si>
    <t>Szombathelyi Civil Kerekasztal támogatása</t>
  </si>
  <si>
    <t>Szombathelyi Egyházmegyei Karitász - Hársfa-ház Pszichiátriai- és Szenvedélybetegek Nappali Ellátója és Átmeneti Otthona, RÉV Szenvedélybeteg-segítő Szolgálta és Közösségi Gondozó</t>
  </si>
  <si>
    <t>Múzeális intézmények szakmai támogatása</t>
  </si>
  <si>
    <t>Víziközmű és szennyvízközmű használati díjbevétel</t>
  </si>
  <si>
    <t>Működési bevételek</t>
  </si>
  <si>
    <t>Közművelődési kiegészítő támogatás - Berzsenyi D. Könyvtár</t>
  </si>
  <si>
    <t>Települési hulladékkezelés és köztisztasági tevékenység, és hóeltakarítás</t>
  </si>
  <si>
    <t>Nagyrendezvények</t>
  </si>
  <si>
    <t>Megyei hatókörű városi múzeumok feladatainak támogatása - Savaria Múzeum feladatainak támogatása</t>
  </si>
  <si>
    <t>Megyei könyvtárak feladatainak támogatása - Berzsenyi Dániel könyvtár feladatainak támogatása</t>
  </si>
  <si>
    <t>Berzsenyi Dániel megyei könyvtár kistelepülési könyvtári célú kiegészítő támogatása</t>
  </si>
  <si>
    <t>Megyeszékhely megyei jogú városok közművelődési feladatainak támogatása</t>
  </si>
  <si>
    <t>Fogyatékkal élőket és hajléktalanokat ellátó Nkft.</t>
  </si>
  <si>
    <t>Aktív időskor Szombathelyen program</t>
  </si>
  <si>
    <t>Egészségügyi kiadások tartaléka</t>
  </si>
  <si>
    <t>Szombathely a segítés városa program</t>
  </si>
  <si>
    <t>Nemzetközi diákjátékok</t>
  </si>
  <si>
    <t>HVSE támogatása</t>
  </si>
  <si>
    <t>Vívók támogatása</t>
  </si>
  <si>
    <t>Környezetállapot értékelés (talaj, víz, levegő)</t>
  </si>
  <si>
    <t>Egészségügyi és Kulturális intézmények GESZ</t>
  </si>
  <si>
    <t>Általános tartalék</t>
  </si>
  <si>
    <t>Útigénybevételi díj</t>
  </si>
  <si>
    <t>Vásárok bevétele</t>
  </si>
  <si>
    <t>Munkáltatói kölcsön visszatérülése</t>
  </si>
  <si>
    <t>Mesebolt Bábszínház</t>
  </si>
  <si>
    <t>Szombathelyi Szimfónikus Zenekar</t>
  </si>
  <si>
    <t>Önkormányzati napközis tábor megszervezése</t>
  </si>
  <si>
    <t>Tavak haszonbérbe adása</t>
  </si>
  <si>
    <t>SZOVA Zrt. Parkolásgazdálkodásból származó bevétel</t>
  </si>
  <si>
    <t>SZOVA Zrt. Parkolásgazdálkodásból származó ÁFA visszatérülés</t>
  </si>
  <si>
    <t>Vagyongazdálkodásból származó bevétel</t>
  </si>
  <si>
    <t>Mesebolt Bábszínház összesen</t>
  </si>
  <si>
    <t>Savaria Szimfónikus Zenekar összesen</t>
  </si>
  <si>
    <t>Kulturális és Civil Alap</t>
  </si>
  <si>
    <t>Támogatás kulturális pályázatokhoz, egyéb szervezetek, társaságok támogatása</t>
  </si>
  <si>
    <r>
      <t>Weöres Sándor Színház Nonprofit Kft.</t>
    </r>
    <r>
      <rPr>
        <b/>
        <i/>
        <sz val="12"/>
        <rFont val="Arial CE"/>
        <charset val="238"/>
      </rPr>
      <t xml:space="preserve"> önkormányzati támogatása</t>
    </r>
  </si>
  <si>
    <t>Nemzetiségi Önkormányzatok támogatása</t>
  </si>
  <si>
    <t xml:space="preserve">Polgárőr szervezetek támogatása </t>
  </si>
  <si>
    <t>Internet alapú városi hálózat</t>
  </si>
  <si>
    <t>Ungaresca Táncegyüttes</t>
  </si>
  <si>
    <t>Köztemetés bevétele</t>
  </si>
  <si>
    <t>OMSZ részére Orvosi Ügyelet ellátására</t>
  </si>
  <si>
    <t>Önkormányzati felhalmozási kiadások</t>
  </si>
  <si>
    <t>Költségvetési működési bevételek</t>
  </si>
  <si>
    <t>ELAMEN RT, és egyéb  bérleti díjak</t>
  </si>
  <si>
    <t>Hemo épülétenek bérbeadása</t>
  </si>
  <si>
    <t xml:space="preserve">Önkormányzat </t>
  </si>
  <si>
    <t>MŰKÖDÉSI CÉLÚ TÁMOGATÁSOK ÁLLAMHÁZTARTÁSON BELÜLRŐL</t>
  </si>
  <si>
    <t>Weöres S. Színház művészeti támogatása</t>
  </si>
  <si>
    <t>Weöres S. Színház működési támogatása</t>
  </si>
  <si>
    <t>Mesebolt Bábszínház művészeti támogatása</t>
  </si>
  <si>
    <r>
      <t xml:space="preserve">Agora Szombathelyi Kulturális Központ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</si>
  <si>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 xml:space="preserve">Agora Szombathelyi Kulturális Központ </t>
    </r>
    <r>
      <rPr>
        <i/>
        <sz val="12"/>
        <rFont val="Arial CE"/>
        <family val="2"/>
        <charset val="238"/>
      </rPr>
      <t>saját bevételből fedezett kiadás</t>
    </r>
  </si>
  <si>
    <r>
      <t xml:space="preserve">Mesebolt Bábszínház </t>
    </r>
    <r>
      <rPr>
        <b/>
        <i/>
        <sz val="12"/>
        <rFont val="Arial"/>
        <family val="2"/>
        <charset val="238"/>
      </rPr>
      <t xml:space="preserve">önkormányzati támogatásból fedezett kiadása </t>
    </r>
  </si>
  <si>
    <t>Egyéb kiadások</t>
  </si>
  <si>
    <r>
      <t xml:space="preserve">Mesebolt Bábszínház </t>
    </r>
    <r>
      <rPr>
        <i/>
        <sz val="12"/>
        <rFont val="Arial"/>
        <family val="2"/>
        <charset val="238"/>
      </rPr>
      <t xml:space="preserve"> központi művészeti támogatásból fedezett kiadása</t>
    </r>
  </si>
  <si>
    <r>
      <t xml:space="preserve">Mesebolt Bábszínház </t>
    </r>
    <r>
      <rPr>
        <i/>
        <sz val="12"/>
        <rFont val="Arial"/>
        <family val="2"/>
        <charset val="238"/>
      </rPr>
      <t xml:space="preserve"> központi működési támogatásból fedezett kiadása</t>
    </r>
  </si>
  <si>
    <r>
      <t xml:space="preserve">Savaria Szimfonikus Zenekar </t>
    </r>
    <r>
      <rPr>
        <b/>
        <i/>
        <sz val="12"/>
        <rFont val="Arial"/>
        <family val="2"/>
        <charset val="238"/>
      </rPr>
      <t>önkormányzati támogatásból fedezett kiadás</t>
    </r>
  </si>
  <si>
    <r>
      <t xml:space="preserve">Savaria Szimfonikus Zenekar </t>
    </r>
    <r>
      <rPr>
        <i/>
        <sz val="12"/>
        <rFont val="Arial"/>
        <family val="2"/>
        <charset val="238"/>
      </rPr>
      <t>központi támogatásból fedezett kiadás</t>
    </r>
  </si>
  <si>
    <r>
      <t xml:space="preserve">Savaria Szimfonikus Zenekar </t>
    </r>
    <r>
      <rPr>
        <i/>
        <sz val="12"/>
        <rFont val="Arial"/>
        <family val="2"/>
        <charset val="238"/>
      </rPr>
      <t>saját bevételéből fedezett kiadás</t>
    </r>
  </si>
  <si>
    <r>
      <t xml:space="preserve">Savaria Múzeum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</si>
  <si>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 xml:space="preserve">Savaria Múzeum </t>
    </r>
    <r>
      <rPr>
        <i/>
        <sz val="12"/>
        <rFont val="Arial CE"/>
        <family val="2"/>
        <charset val="238"/>
      </rPr>
      <t>központi támogatásból fedezett kiadás</t>
    </r>
  </si>
  <si>
    <r>
      <t xml:space="preserve">Savaria Múzeum </t>
    </r>
    <r>
      <rPr>
        <i/>
        <sz val="12"/>
        <rFont val="Arial CE"/>
        <family val="2"/>
        <charset val="238"/>
      </rPr>
      <t>saját bevételből fedezett kiadás</t>
    </r>
  </si>
  <si>
    <r>
      <t>Berzsenyi Dániel könyvtár</t>
    </r>
    <r>
      <rPr>
        <b/>
        <sz val="12"/>
        <rFont val="Arial CE"/>
        <family val="2"/>
        <charset val="238"/>
      </rPr>
      <t xml:space="preserve"> önkormányzati támogatásból fedezett kiadás</t>
    </r>
  </si>
  <si>
    <r>
      <t xml:space="preserve">Berzsenyi Dániel könyvtár </t>
    </r>
    <r>
      <rPr>
        <i/>
        <sz val="12"/>
        <rFont val="Arial CE"/>
        <family val="2"/>
        <charset val="238"/>
      </rPr>
      <t>saját bevételből fedezett kiadás</t>
    </r>
  </si>
  <si>
    <r>
      <t xml:space="preserve">Pálos Károly Szociális Szolgáltató Központ és Gyermekjóléti Szolgálat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</si>
  <si>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 xml:space="preserve">Pálos Károly Szociális Szolgáltató Központ és Gyermekjóléti Szolgálat </t>
    </r>
    <r>
      <rPr>
        <b/>
        <i/>
        <sz val="12"/>
        <rFont val="Arial CE"/>
        <family val="2"/>
        <charset val="238"/>
      </rPr>
      <t>intézmény saját bevételéből fedezett kiadás</t>
    </r>
  </si>
  <si>
    <r>
      <t xml:space="preserve">Pálos Károly Szociális Szolgáltató Központ és Gyermekjóléti Szolgálat </t>
    </r>
    <r>
      <rPr>
        <b/>
        <sz val="12"/>
        <rFont val="Arial CE"/>
        <family val="2"/>
        <charset val="238"/>
      </rPr>
      <t>intézményi saját bevételből fedezett kiadás</t>
    </r>
  </si>
  <si>
    <t>Mesebolt Bábszínház működési támogatása</t>
  </si>
  <si>
    <t>Savaria Szimfónikus zenekar központi támogatása</t>
  </si>
  <si>
    <t xml:space="preserve">Vagyongazdálkodási kiadások - szakértők igénybevétele, ügyvédi munkadíj, egyéb kiadások </t>
  </si>
  <si>
    <t>Intézményi felhalmozási maradvány</t>
  </si>
  <si>
    <t>Intézményi működési maradvány</t>
  </si>
  <si>
    <t>Gencsapáti Község Önkormányzata - felnőtt háziorvosok ügyeleti díja</t>
  </si>
  <si>
    <t xml:space="preserve">Savaria Városfejlesztési Kft. - tagi kölcsön </t>
  </si>
  <si>
    <t>Savaria Történelmi Karnevál Közhasznú Közalapítvány NKA pályázati önrész</t>
  </si>
  <si>
    <t>Szünidei gyermekétkeztetés</t>
  </si>
  <si>
    <t>Szombathely, Kőszeg u. 44.műemlék épület felújításának támogatása</t>
  </si>
  <si>
    <t>Tömbbelső felújítás</t>
  </si>
  <si>
    <t xml:space="preserve">Gyalogátkelőhelyek kialakítása </t>
  </si>
  <si>
    <t>Vak Bottyán u. Gyöngyös patak híd felújítás engedély, korsz.vizsg.,tervezői ktg.</t>
  </si>
  <si>
    <t>Szombathelyi Kőszegi u. 44.sz. alatti épület felújítása pályázat (önrész+támogatás)</t>
  </si>
  <si>
    <r>
      <t>Szombathelyi Egészségügyi és Kulturális Intézmények GESZ</t>
    </r>
    <r>
      <rPr>
        <b/>
        <sz val="12"/>
        <rFont val="Arial CE"/>
        <family val="2"/>
        <charset val="238"/>
      </rPr>
      <t xml:space="preserve"> </t>
    </r>
    <r>
      <rPr>
        <b/>
        <i/>
        <sz val="12"/>
        <rFont val="Arial CE"/>
        <charset val="238"/>
      </rPr>
      <t>önkormányzati támogatásból fedezett kiadás</t>
    </r>
  </si>
  <si>
    <r>
      <t xml:space="preserve">Szombathelyi Egészségügyi és Kulturális Intézmények GESZ </t>
    </r>
    <r>
      <rPr>
        <b/>
        <i/>
        <sz val="12"/>
        <rFont val="Arial CE"/>
        <charset val="238"/>
      </rPr>
      <t>saját bevételéből és OEP támogatásból fedezett kiadás</t>
    </r>
  </si>
  <si>
    <t>MŰKÖDÉSI CÉLÚ ÁTVETT PÉNZESZKÖZÖK</t>
  </si>
  <si>
    <t>KÖZHATALMI BEVÉTELEK</t>
  </si>
  <si>
    <t>KÖZHATALMI BEVÉTELEK ÖSSZESEN</t>
  </si>
  <si>
    <t>KÖLTSÉGVETÉSI SZERVEK BEVÉTELEI</t>
  </si>
  <si>
    <t>AGORA Szombathelyi Kulturális Központ</t>
  </si>
  <si>
    <t xml:space="preserve">Savaria Múzeum </t>
  </si>
  <si>
    <t xml:space="preserve">Berzsenyi Dániel könyvtár </t>
  </si>
  <si>
    <t>Szegélyek javítása (akadálymentesítés, szintbehelyezés)</t>
  </si>
  <si>
    <t>Zárt csapadék csatorna fenntartása</t>
  </si>
  <si>
    <t>Prenor Kft. telephely felújítása</t>
  </si>
  <si>
    <t>évközi tervezések, útfelújítás tervezések</t>
  </si>
  <si>
    <t>MŰKÖDÉSI BEVÉTELEK ÖSSZESEN</t>
  </si>
  <si>
    <t>Önkormányzati felhalmozási célú bevételek</t>
  </si>
  <si>
    <t>FELHALMOZÁSI BEVÉTELEK</t>
  </si>
  <si>
    <t>FELHALMOZÁSI BEVÉTELEK ÖSSZESEN</t>
  </si>
  <si>
    <t xml:space="preserve"> MŰKÖDÉSI BEVÉTELEK</t>
  </si>
  <si>
    <t>Mesebolt Bábszínház saját bevételéből fedezett kiadás</t>
  </si>
  <si>
    <r>
      <t>Weöres Sándor Színház Nonprofit Kft. -művészeti támogatásból</t>
    </r>
    <r>
      <rPr>
        <i/>
        <sz val="12"/>
        <rFont val="Arial CE"/>
        <family val="2"/>
        <charset val="238"/>
      </rPr>
      <t xml:space="preserve"> fedezett kiadás</t>
    </r>
  </si>
  <si>
    <r>
      <t>Weöres Sándor Színház Nonprofit Kft.v -központi működési támogatásból</t>
    </r>
    <r>
      <rPr>
        <b/>
        <i/>
        <sz val="12"/>
        <rFont val="Arial CE"/>
        <family val="2"/>
        <charset val="238"/>
      </rPr>
      <t xml:space="preserve"> </t>
    </r>
    <r>
      <rPr>
        <i/>
        <sz val="12"/>
        <rFont val="Arial CE"/>
        <family val="2"/>
        <charset val="238"/>
      </rPr>
      <t>fedezett kiadás</t>
    </r>
  </si>
  <si>
    <t>Főépítészi iroda (tervtanács, rendezési terv)</t>
  </si>
  <si>
    <t>Önk.tulajdonú területek kaszálása</t>
  </si>
  <si>
    <t>FELHALMZÁSI CÉLÚ TÁMOGATÁSOK ÁLLAMHÁZTARTÁSON BELÜLRŐL ÖSSZESEN</t>
  </si>
  <si>
    <t>FELHALMOZÁSI CÉLÚ ÁTVETT PÉNZESZKÖZÖK</t>
  </si>
  <si>
    <t>TOP-6.9.1-15 Társadalmi együttműködést elősegítő  komplex programok az Óperint városrészen</t>
  </si>
  <si>
    <t>TOP-6.8.2-15 Gazdaság- és fogl.fejl.partnerség a szhelyi járás területén</t>
  </si>
  <si>
    <t>Vasivíz Zrt. - Uszoda fenntartás</t>
  </si>
  <si>
    <t>TOP-6.2.1-15-00004 Weöres S. és Pipitér Óvoda fejlesztése Szombathelyen</t>
  </si>
  <si>
    <t>TOP-6.2.1-15-00003 Százszorszép Bölcsőde és Mocorgó Óvoda fejlesztése Szombathelyen</t>
  </si>
  <si>
    <t>TOP-6.6.1-15 Új Egészségügyi Alapellátó központ kialakítása</t>
  </si>
  <si>
    <t>TOP-6.4.1-15 SZMJV kerékpárosbarát fejlesztése</t>
  </si>
  <si>
    <t>TOP-6.1.5-15 SZMJV közúthálózati elemeinek gazdfejl.célú megújítása</t>
  </si>
  <si>
    <t xml:space="preserve">8. </t>
  </si>
  <si>
    <t>TOP-6.3.2-15 A szombathelyi Sportliget fejlesztése</t>
  </si>
  <si>
    <t>TOP-6.5.1-15-00003 Neumann János Általános Iskola felújítása</t>
  </si>
  <si>
    <t>TOP-6.1.1-15-00002 Szombathely, Sárdi-ér úti terület alapinfrastruktúrájának kiépítése</t>
  </si>
  <si>
    <t>TOP-6.5.1-15-00004 Óvodák energetikai korszerűsítése</t>
  </si>
  <si>
    <t>TOP-6.1.1-15 A szombathelyi Északi Iparterület fejlesztése</t>
  </si>
  <si>
    <t>TOP-6.2.1-00002 Óvoda fejlesztések Szombathelyen</t>
  </si>
  <si>
    <t>TOP-6.1.3-15- Szombathelyi Vásárcsarnok felújítása</t>
  </si>
  <si>
    <t>TOP-6.2.1-15-00004 Weöres Sándor és Pipitér Óvoda fejlesztése Szombathelyen</t>
  </si>
  <si>
    <t>TOP-6.2.1-00005 Bölcsőde fejlesztések Szombathelyen</t>
  </si>
  <si>
    <t>TOP-6.3.1-15 Szombathely Szent László Király utcai felhagyott iparterület fejlesztése</t>
  </si>
  <si>
    <t>TOP-6.3.3-15 Szombathely bel- és csapadékvíz védelmi rendszerének fejlesztése</t>
  </si>
  <si>
    <t>TOP-6.5.1-15-00005 Egészségügyi intézmények energetikai korszerűsítése</t>
  </si>
  <si>
    <t>TOP-6.5.1-15-00004 Óvodák energetikai korszerűsítés</t>
  </si>
  <si>
    <t>TOP-6.5.1-15-00002 AGORA Központ energetikai korszerűsítés</t>
  </si>
  <si>
    <t>TOP-6.6.2-15 Szociális alapszolgáltatások fejlesztése Szombathelyen</t>
  </si>
  <si>
    <t>TOP-6.7.1-15 Szociális városrehabilitáció II. ütem</t>
  </si>
  <si>
    <t>TOP-6.5.2-1-15 Megújuló Szombathely - tiszta energia saját erőből</t>
  </si>
  <si>
    <t>TOP-6.2.1-00005 Bölcsöde fejlesztések Szombathelyen</t>
  </si>
  <si>
    <t>TOP-6.7.1-15-SH1-2016-00001 Szociális városrehabilitáció II. ütem</t>
  </si>
  <si>
    <t>TOP-6.1.3-15 Szombathelyi Vásárcsarnok felújítása</t>
  </si>
  <si>
    <t>Szombathelyi Kézilabda klub és Akadémia támogatása</t>
  </si>
  <si>
    <t>TOP-6.3.1-15 Szhely Szent.L.kir.u.felhagyott iparterület fejl.áfa visszaigénylés</t>
  </si>
  <si>
    <t>TOP-6.3.1-15 Szombathely Szent László Király utcai felhagyott iparterület fejlesztése -fordított áfa</t>
  </si>
  <si>
    <t>Vízközmű- és szennyvízközmű használati díj terhére végzett beruházás</t>
  </si>
  <si>
    <t>Európai Mobilitási hét</t>
  </si>
  <si>
    <t>Összesen</t>
  </si>
  <si>
    <t>FELHALMOZÁSI CÉLÚ TÁMOGATÁSOK ÁLLAMHÁZTARTÁSON BELÜLRŐL</t>
  </si>
  <si>
    <t>TOP 6.1.1-15. Ipari parkok iparterületek fejlesztése SZOVA önerő (Sárdi-ér út)</t>
  </si>
  <si>
    <t>Egyéb működési célú bevétel</t>
  </si>
  <si>
    <t>GAMESZ</t>
  </si>
  <si>
    <t>Szombathelyi Egészségügyi és Kulturális Intézmények GESZ</t>
  </si>
  <si>
    <t>Nyugat Magyarországi Egyetem közösségi szolgálat támogatása</t>
  </si>
  <si>
    <t>Városi rendezvények és kiemelt rendezvénnyek</t>
  </si>
  <si>
    <t>Iseumi játékok</t>
  </si>
  <si>
    <t>Savaria Turizmus Nonprofit Kft - Karnevál megrendezése</t>
  </si>
  <si>
    <t>Savaria Történelmi Karnevál Közhasznú Alapítvány működési támogatása</t>
  </si>
  <si>
    <t>Hatósági díjak, egyéb kiadások</t>
  </si>
  <si>
    <t>Szombathelyi Médiaközpont Nonprofit Kft. támogatása</t>
  </si>
  <si>
    <t>Települési Önkormányzatok kulturális feladatainak támogatása összesen</t>
  </si>
  <si>
    <t>Működési célú költségvetési támogatások és kiegészítő támogatások összesen:</t>
  </si>
  <si>
    <t>Elszámolásból származó bevételek összesen</t>
  </si>
  <si>
    <t>a.)</t>
  </si>
  <si>
    <t>b.)</t>
  </si>
  <si>
    <t>Elvonások és befizetések bevételei</t>
  </si>
  <si>
    <t>Mezei őrszolgálat fenntartásához és működéséhez kapott állami támogatás</t>
  </si>
  <si>
    <t>c.)</t>
  </si>
  <si>
    <t>Biztosító térítése, egyéb kártérítések</t>
  </si>
  <si>
    <t>MŰKÖDÉSI CÉLÚ ÁTVETT PÉNZESZKÖZÖK ÖSSZESEN:</t>
  </si>
  <si>
    <t>KÖLTSÉGVETÉSI SZERVEK MŰKÖDÉSI BEVÉTELEI ÖSSZESEN</t>
  </si>
  <si>
    <t>Óvodai Intézményi karbantartás</t>
  </si>
  <si>
    <t>KLIK által működtetett többcélú intézmények és kollégiumok működési hozzájárulás</t>
  </si>
  <si>
    <t>SNI gyermekek (Óvoda) szakszolgálati ellátása</t>
  </si>
  <si>
    <t xml:space="preserve">Országos tan.versenyen eredményesen szereplő diákok és felkészítő tanárok </t>
  </si>
  <si>
    <t>Pedagódus továbbképzés (Óvoda)</t>
  </si>
  <si>
    <t xml:space="preserve">Önkormányzati oktatási kiadások összesen </t>
  </si>
  <si>
    <t>Oktatási működési kiadások összesen</t>
  </si>
  <si>
    <t>Agora Szombathelyi Kulturális Központ összesen</t>
  </si>
  <si>
    <t>Nem önkormányzati kulturális és civil szervezetek támogatása</t>
  </si>
  <si>
    <t xml:space="preserve">Nem önkormányzati kulturális és civil szervezetek támogatása </t>
  </si>
  <si>
    <t xml:space="preserve">Kulturális kitüntetés díja, Év Civil Szervezete díja …. </t>
  </si>
  <si>
    <t>ÖNKORMÁNYZATI KULTURÁLIS KIADÁSOK ÖSSZESEN</t>
  </si>
  <si>
    <t>Választott képviselők és bizottsági tagok juttatásai</t>
  </si>
  <si>
    <t>Kariatida tanulmányi támogatás rendszerének működtetése - "Szombathely Szent Márton városa"  Jóléti Alapítvány</t>
  </si>
  <si>
    <t>Gazdaságfejlesztési alap</t>
  </si>
  <si>
    <t>-ELTE Gothard Asztrofizikai Obszervetórium</t>
  </si>
  <si>
    <t>-ELTE - Bolyai Gimn. -étkezési hozzájárulás támogatás</t>
  </si>
  <si>
    <t>-ELTE - SZOESE támogatás</t>
  </si>
  <si>
    <t>-Egyetemi oktatók támogatása</t>
  </si>
  <si>
    <t>-Nyugat-Pannon Járműipari és Mechatronikai Központ Szolgáltató Nonprofit Kft. Támogatása</t>
  </si>
  <si>
    <t>- Pécsi Tudományegyetem Egészségtudományi Kar Szombathelyi Képzési Központ támogatása</t>
  </si>
  <si>
    <t>- Egyéb gazdaságfejlesztés</t>
  </si>
  <si>
    <t>Szolidaritási adó</t>
  </si>
  <si>
    <t>Segítő kezek infokommunikációs modell program</t>
  </si>
  <si>
    <t>Településrendezési terv felülvizsgálata</t>
  </si>
  <si>
    <t>Kiemelkedő sporteredmények jutalmazása (Sportkarácsony)</t>
  </si>
  <si>
    <t>Szhelyi Haladás Labdarúgó és Sportszolg. Kft támogatása</t>
  </si>
  <si>
    <t>Óvoda felújítások</t>
  </si>
  <si>
    <t>Sugár u. Sportkomplexum fejlesztése TAO pályázat keretében</t>
  </si>
  <si>
    <t>Óvodák informatikai eszközfejlesztése</t>
  </si>
  <si>
    <t>Kulturális illetménypótlék</t>
  </si>
  <si>
    <t xml:space="preserve">            Bölcsődében középfokú végzettséggel rendelkező kisgyermeknevelőt megillető bölcsődei pótlék</t>
  </si>
  <si>
    <t>TOP-6.3.1-15 Szhely Szent.L.kir.u.felhagyott iparterület fejl.áfa visszaigénylés az önerőhöz kapcsolódóan</t>
  </si>
  <si>
    <r>
      <t xml:space="preserve">Agora Szombathelyi Kulturális Központ </t>
    </r>
    <r>
      <rPr>
        <b/>
        <i/>
        <sz val="12"/>
        <rFont val="Arial CE"/>
        <charset val="238"/>
      </rPr>
      <t>önkormányzati támogatásból fedezett kiadás</t>
    </r>
  </si>
  <si>
    <r>
      <t xml:space="preserve">Agora Szombathelyi Kulturális Központ </t>
    </r>
    <r>
      <rPr>
        <b/>
        <i/>
        <sz val="12"/>
        <rFont val="Arial CE"/>
        <charset val="238"/>
      </rPr>
      <t>saját bevételből fedezett kiadás</t>
    </r>
  </si>
  <si>
    <r>
      <t xml:space="preserve">Mesebolt Bábszínház </t>
    </r>
    <r>
      <rPr>
        <b/>
        <i/>
        <sz val="12"/>
        <rFont val="Arial"/>
        <family val="2"/>
        <charset val="238"/>
      </rPr>
      <t>önkormányzati támogatásból fedezett kiadás</t>
    </r>
  </si>
  <si>
    <t>Savaria Szimfonikus Zenekar összesen</t>
  </si>
  <si>
    <r>
      <t xml:space="preserve">Berzsenyi Dániel könyvtár </t>
    </r>
    <r>
      <rPr>
        <b/>
        <i/>
        <sz val="12"/>
        <rFont val="Arial CE"/>
        <charset val="238"/>
      </rPr>
      <t>önkormányzati támogatásból fedezett kiadás</t>
    </r>
  </si>
  <si>
    <r>
      <t xml:space="preserve">Savaria Múzeum </t>
    </r>
    <r>
      <rPr>
        <b/>
        <i/>
        <sz val="12"/>
        <rFont val="Arial CE"/>
        <charset val="238"/>
      </rPr>
      <t>önkormányzati támogatásból fedezett kiadás</t>
    </r>
  </si>
  <si>
    <r>
      <t xml:space="preserve">Savaria Múzeum </t>
    </r>
    <r>
      <rPr>
        <b/>
        <i/>
        <sz val="12"/>
        <rFont val="Arial CE"/>
        <charset val="238"/>
      </rPr>
      <t>saját bevételből fedezett kiadás</t>
    </r>
  </si>
  <si>
    <t>Kulturális intézmények felhalmozási kiadásai összesen:</t>
  </si>
  <si>
    <t>SZOVA Zrt.által üzemeltetett lét.-ek (Tófürdő, Kalandváros,Műjégpálya) vezteségének megtérítése</t>
  </si>
  <si>
    <t>Önk.által kijelölt bérlők lakbértámogatásából eredő bérleti díjbvétel kiesés kompenzálása a SZOVA Zrt.részére</t>
  </si>
  <si>
    <t>Bölcsődék informatikai eszközfejlesztése</t>
  </si>
  <si>
    <t>Környezettanulmány díja</t>
  </si>
  <si>
    <t xml:space="preserve">SZOMHULL Nonprofit Kft. - tagi kölcsön visszatérülés </t>
  </si>
  <si>
    <t>Lamantin Jazz Fesztivál</t>
  </si>
  <si>
    <t>Jáki u. temető első világháborús hadisírjainak és emlékműveinek felújítása HM támogatásból</t>
  </si>
  <si>
    <t>Szent Márton Emlékévhez kapcsolódó beruházások - fordított áfa kiadása</t>
  </si>
  <si>
    <t>-ELTE-SEK oktatói bérlakás felújítás</t>
  </si>
  <si>
    <t>AVUS támogatás</t>
  </si>
  <si>
    <t>Modern Városok Program - Multifunkcionális városi közszolgáltatási telephely Szombathely - Sárdi ér út</t>
  </si>
  <si>
    <t>Szombathelyi Huszárlaktanya ún. "B" területének beépítési terve és fejlesztési javaslatok kidolgozása</t>
  </si>
  <si>
    <t>Szent Márton kártya rendszer kialakítása,  QR kód alapú továbbfejlesztése</t>
  </si>
  <si>
    <t>Szombathelyi Szolgáltatási Szakképzési Centrum - Oladi Szakgimnázium és Szakközépiskola tetőfelújításához hozzájárulás</t>
  </si>
  <si>
    <t>út, járda, kerékpárút, parkoló, közvilágítási építési és felújítási program - fordított áfa kiadás</t>
  </si>
  <si>
    <t xml:space="preserve">KÖFOP-1.2.1-VEKOP ASP fejlesztés </t>
  </si>
  <si>
    <t>TOP-6.2.1-00002 Óvoda fejlesztések Szombathelyen fordított áfa kiadás</t>
  </si>
  <si>
    <t>TOP-6.1.1-15 A szombathelyi Északi Iparterület fejlesztése - fordított áfa</t>
  </si>
  <si>
    <t>TOP-6.1.5-15 SZMJV közúthálózati elemeinek gazdfejl.célú megújítása - fordított áfa</t>
  </si>
  <si>
    <t>TOP-6.1.3-15- Szombathelyi Vásárcsarnok felújítása  -fordított áfa</t>
  </si>
  <si>
    <t>TOP-6.2.1-15-00004 Weöres S. és Pipitér Óvoda fejlesztése Szombathelyen - fordított áfa kiadás</t>
  </si>
  <si>
    <t>TOP-6.2.1-00005 Bölcsöde fejlesztések Szombathelyen - fordított áfa</t>
  </si>
  <si>
    <t>TOP-6.3.1-15 Szombathely Szent László Király utcai felhagyott iparterület fejlesztése  - BMSK támogatás</t>
  </si>
  <si>
    <t>TOP-6.3.2-15 A szombathelyi Sportliget fejlesztése - fordított áfa</t>
  </si>
  <si>
    <t>TOP-6.3.3-15 Szombathely bel- és csapadékvíz védelmi rendszerének fejlesztése - fordított áfa kiadás</t>
  </si>
  <si>
    <t>TOP-6.5.1-15-00003 Neumann János Általános Iskola felújítása - fordított áfa</t>
  </si>
  <si>
    <t>TOP-6.6.1-15 Új Egészségügyi Alapellátó központ kialakítása - fordított áfa</t>
  </si>
  <si>
    <t>TOP-6.7.1-15-SH1-2016-00001 Szociális városrehabilitáció II. ütem - fordított áfa</t>
  </si>
  <si>
    <t>Elektromos töltő fenntartása (Zeneiskola)</t>
  </si>
  <si>
    <t>Önkormányzati kiadvány, logó oltalom alá vétele</t>
  </si>
  <si>
    <t>TOP-6.1.1-15 A szombathelyi Északi Iparterület fejlesztése - hozzájárulás</t>
  </si>
  <si>
    <t>TOP-6.1.3-15- Szombathelyi Vásárcsarnok felújítása - hozzájárulás</t>
  </si>
  <si>
    <t>TOP-6.2.1-00002 Óvoda fejlesztések Szombathelyen - hozzájárulás</t>
  </si>
  <si>
    <t>TOP-6.2.1-15-00003 Százszorszép Bölcsőde és Mocorgó Óvoda fejlesztése Szombathelyen - hozzájárulás</t>
  </si>
  <si>
    <t>TOP-6.2.1-15-00004 Weöres S. és Pipitér Óvoda fejlesztése Szombathelyen - hozzájárulás</t>
  </si>
  <si>
    <t>TOP-6.2.1-00005 Bölcsöde fejlesztések Szombathelyen - hozzájárulás</t>
  </si>
  <si>
    <t>TOP-6.4.1-15 SZMJV kerékpárosbarát fejlesztése - hozzájárulás</t>
  </si>
  <si>
    <t>TOP-6.5.1-15-00002 AGORA Központ energetikai korszerűsítés - hozzájárulás</t>
  </si>
  <si>
    <t>TOP-6.5.1-15-00004 Óvodák energetikai korszerűsítése - hozzájárulás</t>
  </si>
  <si>
    <t>TOP-6.5.1-15-00005 Egészségügyi intézmények energetikai korszerűsítése - hozzájárulás</t>
  </si>
  <si>
    <t>TOP-6.6.2-15 Szociális alapszolgáltatások fejlesztése Szombathelyen - hozzájárulás</t>
  </si>
  <si>
    <t>TOP-6.7.1-15-SH1-2016-00001 Szociális városrehabilitáció II. ütem - hozzájárulás</t>
  </si>
  <si>
    <t>TOP-6.1.4-00003 Víztorony és környezetének turisztikai célú fejlesztése</t>
  </si>
  <si>
    <t>TOP-6.1.4-00001 Képtár turisztikai célú felújítása</t>
  </si>
  <si>
    <t>TOP-6.1.4-00002 Romkert turisztikai célú fejlesztése – védőépület megépítése</t>
  </si>
  <si>
    <t>TOP-6.1.4-00004 Schrammel Imre életművének méltó elhelyezése Szombathelyen</t>
  </si>
  <si>
    <t>TOP-6.1.4-00003 Víztorony és környezetének turisztikai célú fejlesztése - fordított áfa</t>
  </si>
  <si>
    <t>I-XII.hó</t>
  </si>
  <si>
    <t xml:space="preserve">Veloregio határon átnyúló osztrák-magyar kerékpár turisztikai pályázat  (önerő) - Savaria Turizmus Nonprofit Kft. </t>
  </si>
  <si>
    <t>TOP-6.1.4-16-SH1-2017-00003 Víztorony és környezetének turisztikai célú fejlesztése</t>
  </si>
  <si>
    <t>vagyongazdálkodási kiadások (ingatlan kisajátítás, vásárlás) fordított áfa</t>
  </si>
  <si>
    <t>Király u. 1-11.közötti tömbbelsőben parkoló építése</t>
  </si>
  <si>
    <t>Út és járdafelújítás, csapadékvíz elvezetés (központi támogatásból)</t>
  </si>
  <si>
    <t>TOP-6.3.1-15 Szombathely Szent László Király utcai felhagyott iparterület fejlesztése  - BMSK támogatás fordított áfa kiadás</t>
  </si>
  <si>
    <t>TOP-6.2.1-15-00004 Weöres S. és Pipitér Óvoda fejlesztése Szombathelyen - hozzájárulás fordított áfa kiadás</t>
  </si>
  <si>
    <t>Modern Városok Program - A szombathelyi Késmárk utcai Teniszcentrum fejlesztése</t>
  </si>
  <si>
    <t xml:space="preserve">Modern Városok Program  - Szent Márton Terv II.ütem </t>
  </si>
  <si>
    <t>Modern Városok Program - Fedett uszoda további fejl. és bővítése</t>
  </si>
  <si>
    <t xml:space="preserve">Modern Városok Program - Multifunkcionális városi közszolgáltatási telephely Szombathely - Sárdi ér út </t>
  </si>
  <si>
    <t>Modern Városok Program - Szent Márton Lovas Sport, Hagyományőrző és Rendezvényközpont fejlesztésének előkészítése</t>
  </si>
  <si>
    <t>Modern Városok Program - Gothard kastély fejlesztése</t>
  </si>
  <si>
    <t>EFOP-1.9.9-17-2017-00002 - Bölcsődei szakemberek szakmai fejlesztése Szombathelyen</t>
  </si>
  <si>
    <t>EBBŐL:</t>
  </si>
  <si>
    <t>STYL bérleti díj visszatérülése (költség visszatérülés)</t>
  </si>
  <si>
    <t>TOP-6.1.1-15-00001 A szombathelyi északi iparterület fejlesztése áfa visszaigénylés</t>
  </si>
  <si>
    <t>TOP-6.1.4-16-SH1-2017-00001 Képtár turisztikai c.felújítása</t>
  </si>
  <si>
    <t xml:space="preserve">2018. évi költségvetési támogatási előleg </t>
  </si>
  <si>
    <t>2018.évi</t>
  </si>
  <si>
    <r>
      <t xml:space="preserve">Agora Szombathelyi Kulturális Központ </t>
    </r>
    <r>
      <rPr>
        <i/>
        <sz val="12"/>
        <rFont val="Arial CE"/>
        <family val="2"/>
        <charset val="238"/>
      </rPr>
      <t>2017. évi maradványból fedezett kiadás</t>
    </r>
  </si>
  <si>
    <r>
      <t xml:space="preserve">Berzsenyi Dániel könyvtár </t>
    </r>
    <r>
      <rPr>
        <i/>
        <sz val="12"/>
        <rFont val="Arial CE"/>
        <family val="2"/>
        <charset val="238"/>
      </rPr>
      <t>2017.évi maradványból fedezett kiadás</t>
    </r>
  </si>
  <si>
    <t>Savaria Múzeum 2017. évi maradványból fedezett kiadás</t>
  </si>
  <si>
    <r>
      <t xml:space="preserve">Savaria Szimfónikus Zenekar </t>
    </r>
    <r>
      <rPr>
        <i/>
        <sz val="12"/>
        <rFont val="Arial"/>
        <family val="2"/>
        <charset val="238"/>
      </rPr>
      <t>2017.évi maradványból fedezett kiadás</t>
    </r>
  </si>
  <si>
    <r>
      <t xml:space="preserve">Mesebolt Bábszínház </t>
    </r>
    <r>
      <rPr>
        <i/>
        <sz val="12"/>
        <rFont val="Arial"/>
        <family val="2"/>
        <charset val="238"/>
      </rPr>
      <t>2017.évi maradványból fedezett kiadás</t>
    </r>
  </si>
  <si>
    <t>Szent Márton Esélyegyenlőségi Támogatási Program</t>
  </si>
  <si>
    <r>
      <t xml:space="preserve">Szombathelyi Egészségügyi és Kulturális Intézmények GESZ  </t>
    </r>
    <r>
      <rPr>
        <b/>
        <i/>
        <sz val="12"/>
        <rFont val="Arial CE"/>
        <family val="2"/>
        <charset val="238"/>
      </rPr>
      <t>2017. évi maradványból fedezett kiadás</t>
    </r>
  </si>
  <si>
    <t xml:space="preserve"> - Vas Megyei Kereskedelmi és Iparkamara együttműködési megállapodás alapján nyújtott támogatás - mikróvállalkozások támogatására</t>
  </si>
  <si>
    <t>Falco mérkőzések online jegyértékesítés rendszere</t>
  </si>
  <si>
    <t>Vasi Honvéd Bajtársi Egyesület támogatása</t>
  </si>
  <si>
    <t>Elektromos töltőállomás fenntartása (A típus 5 helyszín)</t>
  </si>
  <si>
    <t>Illegális hulladéklerakás</t>
  </si>
  <si>
    <t>Vas Megyei Temetkezési Kft. támogatása</t>
  </si>
  <si>
    <t>Zanati Kulturális és Sportegyesület TAO pályázat önrészhez támogatás</t>
  </si>
  <si>
    <t xml:space="preserve">ELTE - Bolyai J. Ált.Isk. és  Gimn. - felújítási pályázati önrész </t>
  </si>
  <si>
    <t>Váci u. orvosi rendelő felújítása</t>
  </si>
  <si>
    <t>TOP-6.6.1-15 Új Egészségügyi Alapellátó központ kialakítása - hozzájárulás  (légtechnikai berendezés biztosítása)</t>
  </si>
  <si>
    <t>2017. évi hiányra képzett tartalék</t>
  </si>
  <si>
    <t>Tartalék - Vásárcsarnok felújítása miatt kieső bevételek</t>
  </si>
  <si>
    <t>EBBŐL:2017.évről áthúzódó bérkompenzáció támogatása</t>
  </si>
  <si>
    <t>Út-híd fenntartási kiadások</t>
  </si>
  <si>
    <t>Támogatások elszámolása - ÁH kívül</t>
  </si>
  <si>
    <t>Kéményseprő ipari közszolgáltatásának ellátásának támogatása</t>
  </si>
  <si>
    <t>Költségvetési szerveknél foglalkoztatottak 2018. évi bérkompenzációja</t>
  </si>
  <si>
    <t>Központi támogatás elszámolás alapján</t>
  </si>
  <si>
    <t>ERFA és hazai támogatás - Szent M. szellemiségével összefüggő nemzetközi projekt</t>
  </si>
  <si>
    <t>Savaria Városfejlesztési Kft. TOP 6.6.1-15-00003 Új Eü. Alapell.Központ kialakítása projekt elszámolás</t>
  </si>
  <si>
    <t>Kulturális ágazat, média kiadásai</t>
  </si>
  <si>
    <t>Kulturális intézmények működési kiadásai össezesen:</t>
  </si>
  <si>
    <t>Könyv kiadás</t>
  </si>
  <si>
    <r>
      <t xml:space="preserve">Pálos Károly Szociális Szolgáltató Központ és Gyermekjóléti Szolgálat </t>
    </r>
    <r>
      <rPr>
        <b/>
        <i/>
        <sz val="12"/>
        <rFont val="Arial CE"/>
        <family val="2"/>
        <charset val="238"/>
      </rPr>
      <t>intézmény 2017. évi maradványból fedezett kiadás</t>
    </r>
  </si>
  <si>
    <r>
      <t xml:space="preserve">Egyesített Bölcsődei Intézmény </t>
    </r>
    <r>
      <rPr>
        <b/>
        <i/>
        <sz val="12"/>
        <rFont val="Arial CE"/>
        <family val="2"/>
        <charset val="238"/>
      </rPr>
      <t>2017.évi maradványából fedezett kiadás</t>
    </r>
  </si>
  <si>
    <t>Szhelyi Haladás Labdarúgó és Sportszolg.Kft előző évek támogatásának elszámolása</t>
  </si>
  <si>
    <t>Kosárlabda válogatott mérkőzés támogatása</t>
  </si>
  <si>
    <t>Belterületi utak, járdák, hidak felújítása (központi támogatás)</t>
  </si>
  <si>
    <t>Szentkirályi temető felújítása</t>
  </si>
  <si>
    <t>Jedlik Ányos Terv - "A" típusú elektromos autótöltő állomások telepítése pályázati (támogatás+önrész)</t>
  </si>
  <si>
    <t>TOP-6.3.2-15 A szombathelyi Sportliget fejlesztése - hozzájárulás (közcélú villamoshálózatra való csatlakozás)</t>
  </si>
  <si>
    <t>-ELTE SEK - rekrutációs médiakampány támogatása</t>
  </si>
  <si>
    <t>-ELTE - Bolyai J. Ált.Isk. és  Gimn. támogatása</t>
  </si>
  <si>
    <t>Modern Városol Program - Fedett uszoda további fejlesztése és bővítése</t>
  </si>
  <si>
    <t>Szépítő Egyesület városvédők országos találkozója</t>
  </si>
  <si>
    <t>Nemzetiségi nap</t>
  </si>
  <si>
    <t>Roma Nemzetiségi Önkormányzat támogatása és Alkotótábor Szombathely-Herény rendezvény támogatása</t>
  </si>
  <si>
    <t xml:space="preserve">STYL Kft. Üzletrész </t>
  </si>
  <si>
    <t>Városi térfigyelő kamera rendszer fejlesztése</t>
  </si>
  <si>
    <t>I. Helyi önkormányzatok működésének általános támogatása</t>
  </si>
  <si>
    <t>II. Települési önkormányzatok egyes köznevelési feladatainak támogatása</t>
  </si>
  <si>
    <t xml:space="preserve">III. Települési önkormányzatok szociális, gyermekjóléti és gyermekétkeztetési  feladatainak támogatása </t>
  </si>
  <si>
    <t>ÖSSZESEN (I.+II.+III.)</t>
  </si>
  <si>
    <t>Engedély nélküli reklámhordozók fém hulladékként történő értékesítésének bevétele</t>
  </si>
  <si>
    <t>Szociális Szolgáltatók közhasznú Egyesületének támogatása</t>
  </si>
  <si>
    <t>Citylight berendezések beszerzése és letelepítése</t>
  </si>
  <si>
    <t>Szombathelyi Zsidó Kultúra Háza felújításához nyújtott támogatás</t>
  </si>
  <si>
    <t>Út és járdafelújítás, csapadékvíz elvezetés (központi támogatásból) - fordított áfa kiadás</t>
  </si>
  <si>
    <t>Szombathelyi Kőszegi u. 44.sz. alatti épület felújítása pályázat (önrész+támogatás) - fordított áfa kiadás</t>
  </si>
  <si>
    <t>Mindösszesen</t>
  </si>
  <si>
    <t>TOP-6.3.1-15 Szombathely Szent László Király utcai felhagyott iparterület fejlesztése  - BMSK Asztalitenisz  terem 2016. évi</t>
  </si>
  <si>
    <t>TOP-6.3.1-15 Szombathely Szent László Király utcai felhagyott iparterület fejlesztése  - BMSK Vívóterem 2016. évi</t>
  </si>
  <si>
    <t>TOP-6.3.1-15 Szombathely Szent László Király utcai felhagyott iparterület fejlesztése  - BMSK Asztalitenisz  terem 2017. évi</t>
  </si>
  <si>
    <t>TOP-6.3.1-15 Szombathely Szent László Király utcai felhagyott iparterület fejlesztése  - BMSK Vívóterem 2017. évi</t>
  </si>
  <si>
    <t>Szent Márton szellemiségével összefüggő nemzetközi projekt támogatás és önrész</t>
  </si>
  <si>
    <t>Király u. 1-11.közötti tömbbelsőben parkoló építése - fordított áfa kiadás</t>
  </si>
  <si>
    <t>Ebből: Nemzetiségi pótlék</t>
  </si>
  <si>
    <t>Óvodai és iskolai szociális segítő tevékenység</t>
  </si>
  <si>
    <t>Szociális ágazati összevont pótlék</t>
  </si>
  <si>
    <t>SZMJV Diákönkormányzat - rendezvények, programok, támogatások, egyéb</t>
  </si>
  <si>
    <t>EU kulturális főváros előkészületek, egyéb kulturális kiadások</t>
  </si>
  <si>
    <t>Szombathelyi identitást erősítő program I.ütem</t>
  </si>
  <si>
    <t>Szombathelyi imázsfilm készítés</t>
  </si>
  <si>
    <t>TOP-6.3.1-15 Szombathely Szent László Király utcai felhagyott iparterület fejlesztése  - BMSK Asztalitenisz  terem 2016. évi - fordított áfa kiadás</t>
  </si>
  <si>
    <t>TOP-6.3.1-15 Szombathely Szent László Király utcai felhagyott iparterület fejlesztése  - BMSK Vívóterem 2016. évi - fordított áfa kiadás</t>
  </si>
  <si>
    <t>TOP-6.3.1-15 Szombathely Szent László Király utcai felhagyott iparterület fejlesztése  - BMSK Asztalitenisz  terem 2017. évi - fordított áfa kiadás</t>
  </si>
  <si>
    <t>TOP-6.3.1-15 Szombathely Szent László Király utcai felhagyott iparterület fejlesztése  - BMSK Vívóterem 2017. évi - fordított áfa kiadás</t>
  </si>
  <si>
    <t xml:space="preserve">TOP-6.3.1-15 Szombathely Szent László Király utcai felhagyott iparterület fejlesztése  - hozzájárulás </t>
  </si>
  <si>
    <t>TOP-6.3.1-15 Szombathely Szent László Király utcai felhagyott iparterület fejlesztése  - hozzájárulás - fordított áfa kiadás</t>
  </si>
  <si>
    <t>Jó adatszolgáltató önkormányzatok támogatása</t>
  </si>
  <si>
    <t>TOP-6.1.1-15-00002 Szombathely, Sárdi-ér úti terület alapinfrastruktúrájának kiépítése - hozzájárulás</t>
  </si>
  <si>
    <t>Adósságcsökkentési támogatás visszafizetése</t>
  </si>
  <si>
    <t xml:space="preserve">Sportkomplexum használat HVSE </t>
  </si>
  <si>
    <t xml:space="preserve">Sportkomplexum használat HVSE Sport Kft.  </t>
  </si>
  <si>
    <t>-</t>
  </si>
  <si>
    <t>Óvadék lehívása (Zanati kerékpárút)</t>
  </si>
  <si>
    <t>Vásárokkal kapcsolatos áfa visszaigénylés</t>
  </si>
  <si>
    <t>Óvodapedagógusok képzése, óvodai foglalkozások folytatása, IKAT konferencia</t>
  </si>
  <si>
    <t>HVSE Sport Kft. - Kézilabda szakosztály támogatása</t>
  </si>
  <si>
    <t>Mozgássérültek Vas Megyei Egyesülete - székház felújításhoz nyújtott támogatás</t>
  </si>
  <si>
    <t>Aranypatak revitalizációja</t>
  </si>
  <si>
    <t>Modern Városok Program - A szombathelyi Késmárk utcai Teniszcentrum fejlesztése- ford.áfa</t>
  </si>
  <si>
    <t>Modern Városok Program - Fedett uszoda további fejl. és bővítése-ford.áfa</t>
  </si>
  <si>
    <t>Tartalék - Óvadék lehíváshoz kapcsolódóan képzett</t>
  </si>
  <si>
    <t>Nemzeti Ovi-Foci Sportprogram (Ovi-Foci Közhasznú Alapítvány)</t>
  </si>
  <si>
    <t>2019. évi költségvetési támogatási előleg</t>
  </si>
  <si>
    <t>TOP-6.2.1-00002 Óvoda fejlesztések Szombathelyen - hozzájárulás - fordított áfa kiadás</t>
  </si>
  <si>
    <t>Téli rezsicsökkentésben korábban nem részesült, vezetékes gáz vagy távfűtéstől eltérő fűtőanyagot felhasználó háztartások egyszeri támogatása</t>
  </si>
  <si>
    <t>Önkormányzati tulajdonú gazdasági társaságok GDPR költsége</t>
  </si>
  <si>
    <t>Modern Városok Program - A szombathelyi Késmárk utcai Teniszcentrum fejlesztése- hozzájárulás</t>
  </si>
  <si>
    <t xml:space="preserve">2019. évi költségvetési támogatási előleg </t>
  </si>
  <si>
    <t>Tartalék - 2019. évi költségvetéshez</t>
  </si>
  <si>
    <t>Szombathely Megyei Jogú Város Önkormányzata</t>
  </si>
  <si>
    <t>BEVÉTELEK</t>
  </si>
  <si>
    <t xml:space="preserve">Költségvetési </t>
  </si>
  <si>
    <t>Önkormányzat</t>
  </si>
  <si>
    <t>KIADÁSOK</t>
  </si>
  <si>
    <t>szervek bevételei</t>
  </si>
  <si>
    <t>bevételek</t>
  </si>
  <si>
    <t>szervek kiadásai</t>
  </si>
  <si>
    <t>kiadások</t>
  </si>
  <si>
    <t>bevételei</t>
  </si>
  <si>
    <t>kiadásai</t>
  </si>
  <si>
    <t xml:space="preserve">KÖLTSÉGVETÉSI BEVÉTELEK </t>
  </si>
  <si>
    <t>KÖLTSÉGVETÉSI KIADÁSOK</t>
  </si>
  <si>
    <t>B1</t>
  </si>
  <si>
    <t>Működési célú támogatások államháztartáson belülről</t>
  </si>
  <si>
    <t>K1</t>
  </si>
  <si>
    <t>Személyi juttatások</t>
  </si>
  <si>
    <t>B3</t>
  </si>
  <si>
    <t>K2</t>
  </si>
  <si>
    <t>Munkaadókat terhelő járulékok és szociális hozzájárulási adó</t>
  </si>
  <si>
    <t>B4</t>
  </si>
  <si>
    <t>Működési bevétel</t>
  </si>
  <si>
    <t>K3</t>
  </si>
  <si>
    <t>Dologi kiadások</t>
  </si>
  <si>
    <t>B6</t>
  </si>
  <si>
    <t>K4</t>
  </si>
  <si>
    <t>Ellátottak pénzbeli juttatásai</t>
  </si>
  <si>
    <t>K5</t>
  </si>
  <si>
    <t>Egyéb működési célú kiadások</t>
  </si>
  <si>
    <t>Működési bevételek összesen</t>
  </si>
  <si>
    <t>Működési kiadások összesen</t>
  </si>
  <si>
    <t>*</t>
  </si>
  <si>
    <t>B2</t>
  </si>
  <si>
    <t>K6</t>
  </si>
  <si>
    <t>B5</t>
  </si>
  <si>
    <t>K7</t>
  </si>
  <si>
    <t>Felújítások</t>
  </si>
  <si>
    <t>B7</t>
  </si>
  <si>
    <t>Felhalmozási célú átvett pénzeszközök</t>
  </si>
  <si>
    <t>K8</t>
  </si>
  <si>
    <t>Egyéb felhalmozási célú kiadások</t>
  </si>
  <si>
    <t>Felhalmozási bevételek összesen</t>
  </si>
  <si>
    <t>Felhalmozási kiadások összesen</t>
  </si>
  <si>
    <t>KÖLTSÉGVETÉSI BEVÉTELEK ÖSSZESEN</t>
  </si>
  <si>
    <t>KÖLTSÉGVETÉSI KIADÁSOK ÖSSZESEN</t>
  </si>
  <si>
    <t>B8</t>
  </si>
  <si>
    <t>Finanszírozási bevételek</t>
  </si>
  <si>
    <t>K9</t>
  </si>
  <si>
    <t>Finanszírozási kiadások</t>
  </si>
  <si>
    <t>MINDÖSSZESEN BEVÉTELEK</t>
  </si>
  <si>
    <t>MINDÖSSZESEN KIADÁSOK</t>
  </si>
  <si>
    <r>
      <rPr>
        <sz val="18"/>
        <color theme="1"/>
        <rFont val="Arial CE"/>
        <charset val="238"/>
      </rPr>
      <t>*</t>
    </r>
    <r>
      <rPr>
        <sz val="12"/>
        <color theme="1"/>
        <rFont val="Arial CE"/>
        <family val="2"/>
        <charset val="238"/>
      </rPr>
      <t xml:space="preserve"> Az Európai Uniós fejlesztési projektek bevételi és kiadási számviteli elszámolása a módosított számviteli előírások szerint a könyvekben működési és felhalmozási főkönyvi bontásban szerepel mind kiadási mind bevételi oldalon az 1. melléklet szerint. Annak érdekében, hogy a projektek teljes körű költségvetése áttekinthető, átlátható legyen, a rendelet többi mellékleteiben a működési és felhalmozási tételek nem kerültek szétbontásra. Ez magyarázza az eltérést a 2. melléklethez képest.</t>
    </r>
  </si>
  <si>
    <t xml:space="preserve">2018. évi bevételei  kiemelt előirányzatonként </t>
  </si>
  <si>
    <t>Pénzeszközök változásának bemutatása</t>
  </si>
  <si>
    <t>Nyitó pénzkészlet</t>
  </si>
  <si>
    <t>+ Bevételek 1.sz.melléklet szerinti összege</t>
  </si>
  <si>
    <t>+-Sajátos elszámolások</t>
  </si>
  <si>
    <t>- Kiadások 1.sz.melléklet szerinti összege</t>
  </si>
  <si>
    <t>Záró pénzkészlet</t>
  </si>
  <si>
    <t>Ebből</t>
  </si>
  <si>
    <t xml:space="preserve">   - intézmények</t>
  </si>
  <si>
    <t xml:space="preserve">   - önkormányzat</t>
  </si>
  <si>
    <t>TÁJÉKOZTATÓ</t>
  </si>
  <si>
    <t>Sorszám</t>
  </si>
  <si>
    <t>ellátottak térítési díjának, illetve kártérítésének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</si>
  <si>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</si>
  <si>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 mentesség
összege adónemenként</t>
  </si>
  <si>
    <t xml:space="preserve">  - építményadó elengedés méltányosságból</t>
  </si>
  <si>
    <t xml:space="preserve">  - gépjárműadó elengedés méltányosságból</t>
  </si>
  <si>
    <t xml:space="preserve">  - talajterhelési díj elengedés méltányosságból</t>
  </si>
  <si>
    <t xml:space="preserve">  - helyi iparűzési adómentesség</t>
  </si>
  <si>
    <t xml:space="preserve">  - helyi iparűzési adó elengedés méltányosságból</t>
  </si>
  <si>
    <t>helyiségek eszközök hasznosításából származó bevételből nyújott
kedvezmény, mentesség összeg</t>
  </si>
  <si>
    <t>egyéb nyújtott kedvezmény vagy kölcsön elengedésének összege:</t>
  </si>
  <si>
    <t>Mindösszen</t>
  </si>
  <si>
    <t>SZÖVEGES INDOKLÁS</t>
  </si>
  <si>
    <t>1. Az ÁHT-ra való hivatkozással, a személyes gondoskodást nyújtó szociális és gyermekjóléti ellátások térítési díjáról szóló   11/1993. (VI.I.) sz. önkormányzati rendelet alapján a térítési díj méltányossági alapon történő csökkentése, illetve elengedése.</t>
  </si>
  <si>
    <t>3. SZMJV Önkormányzatának helyi adókról szóló rendelete alapján adott mentességek és kedvezmények.</t>
  </si>
  <si>
    <t>4. SZMJV Önkormányzatának vagyonrendelet alapján nyújtott kedvezmények, mentességek összege.</t>
  </si>
  <si>
    <t>5. Közterülethasználati díj mentesség az Önkormányzat rendelete alapján.</t>
  </si>
  <si>
    <t>Kimutatás az Európai Unios támogatással megvalósuló projektek</t>
  </si>
  <si>
    <t>Működés</t>
  </si>
  <si>
    <t>URBACT III program Disarned citis projekt támogatás II. ütem</t>
  </si>
  <si>
    <t>Fejlesztés</t>
  </si>
  <si>
    <t>BEVÉTELEK ÖSSZESEN</t>
  </si>
  <si>
    <t>Egyéb más ágazathoz nem sorolható intézmények és feladatok kiadásai</t>
  </si>
  <si>
    <t>KIADÁSOK ÖSSZESEN</t>
  </si>
  <si>
    <t>következő évekre áthúzódó hatásairól</t>
  </si>
  <si>
    <t>2017.</t>
  </si>
  <si>
    <t>2018.</t>
  </si>
  <si>
    <t>2019.</t>
  </si>
  <si>
    <t>2020.</t>
  </si>
  <si>
    <t>Lakásalap összesen</t>
  </si>
  <si>
    <t>Vagyongazdálkodási kiadások (ingatlan kisajátítás, vásárlás)</t>
  </si>
  <si>
    <t xml:space="preserve">út, járda, híd, kerékpárút, parkoló, közvilágítási építési és felújítási program </t>
  </si>
  <si>
    <t>Beruházások Összesen:</t>
  </si>
  <si>
    <t>Szöveges indoklás:</t>
  </si>
  <si>
    <t xml:space="preserve">A többéves kihatással járó költségvetési tételek egyrészt Szombathely Megyei Jogú Város közgyűlésének </t>
  </si>
  <si>
    <t>közgyűlési döntések alapján kerültek beépítésre.</t>
  </si>
  <si>
    <t>ESZKÖZÖK</t>
  </si>
  <si>
    <t xml:space="preserve">2017. </t>
  </si>
  <si>
    <t>zárómérleg</t>
  </si>
  <si>
    <t>2017.12.31</t>
  </si>
  <si>
    <t>Vagyoni értékű jogok</t>
  </si>
  <si>
    <t>intézmények</t>
  </si>
  <si>
    <t>önkormányzat</t>
  </si>
  <si>
    <t>A/I/1.</t>
  </si>
  <si>
    <t>együtt</t>
  </si>
  <si>
    <t>Szellemi termékek</t>
  </si>
  <si>
    <t>A/I/2.</t>
  </si>
  <si>
    <t>Immateriális javak össz.</t>
  </si>
  <si>
    <t>A/I.</t>
  </si>
  <si>
    <t>Immateriális javak összesen</t>
  </si>
  <si>
    <t>Ingatlanok és kapcsolódó vagyoni értékű jogok</t>
  </si>
  <si>
    <t>A/II/1.</t>
  </si>
  <si>
    <t>Ingatlanok</t>
  </si>
  <si>
    <t>Gépek, berendezések, felszerelések, járművek</t>
  </si>
  <si>
    <t>A/II/2</t>
  </si>
  <si>
    <t>Tenyészállatok</t>
  </si>
  <si>
    <t>A/II/3.</t>
  </si>
  <si>
    <t>Beruházások, felújítások</t>
  </si>
  <si>
    <t>A/II/4</t>
  </si>
  <si>
    <t>Tárgyi eszközök össz.</t>
  </si>
  <si>
    <t>A/II.</t>
  </si>
  <si>
    <t>Tartós részesedések</t>
  </si>
  <si>
    <t>A/III/1</t>
  </si>
  <si>
    <t xml:space="preserve">Tartós részesedések </t>
  </si>
  <si>
    <t>Tartós hitelviszonyt megtestesítő értékpapírok</t>
  </si>
  <si>
    <t>A/III/2.</t>
  </si>
  <si>
    <t>Befektetett pénzügyi eszk.összesen</t>
  </si>
  <si>
    <t>A/III.</t>
  </si>
  <si>
    <t>Koncesszióban, Vagyonkezelésbe adott eszközök</t>
  </si>
  <si>
    <t xml:space="preserve">A/IV. </t>
  </si>
  <si>
    <t>Koncesszióba, vagyonkezelésbe adott eszközök összesen</t>
  </si>
  <si>
    <t>Nemzeti Vagyonba tartozó Befektetett Eszközök összesen</t>
  </si>
  <si>
    <t>A.</t>
  </si>
  <si>
    <t>Készletek</t>
  </si>
  <si>
    <t>B/I.</t>
  </si>
  <si>
    <t>Értékpapírok</t>
  </si>
  <si>
    <t>B/II.</t>
  </si>
  <si>
    <t xml:space="preserve">Értékpapírok </t>
  </si>
  <si>
    <t>Nemzeti Vagyonba tartozó Forgóeszközök</t>
  </si>
  <si>
    <t>B</t>
  </si>
  <si>
    <t>Nemzeti Vagyonba Tartozó Forgóeszközök összesen</t>
  </si>
  <si>
    <t>Lekötött bankbetétek</t>
  </si>
  <si>
    <t>C/I.</t>
  </si>
  <si>
    <t>Pénztárak, csekkek, betétkönyvek</t>
  </si>
  <si>
    <t>C/II.</t>
  </si>
  <si>
    <t>Forintszámlák</t>
  </si>
  <si>
    <t>C/III.</t>
  </si>
  <si>
    <t>Devizaszámlák</t>
  </si>
  <si>
    <t>C/IV.</t>
  </si>
  <si>
    <t>Pénzeszközök összesen</t>
  </si>
  <si>
    <t>C</t>
  </si>
  <si>
    <t>Költségvetési évben esedékes követelések</t>
  </si>
  <si>
    <t>D/I.</t>
  </si>
  <si>
    <t>Költségvetési évet követően esedékes követelések</t>
  </si>
  <si>
    <t>D/II.</t>
  </si>
  <si>
    <t>Követelés jellegű sajátos elszámolások</t>
  </si>
  <si>
    <t>D/III.</t>
  </si>
  <si>
    <t>Követelések összesen</t>
  </si>
  <si>
    <t>D</t>
  </si>
  <si>
    <t>Egyéb sajátos elszámolások</t>
  </si>
  <si>
    <t>E</t>
  </si>
  <si>
    <t>Eredményszemléletű bevételek aktív időbeli</t>
  </si>
  <si>
    <t>elhatárolása</t>
  </si>
  <si>
    <t>F/1.</t>
  </si>
  <si>
    <t>Eredményszemléletű bevételek aktív időbeli elhatárolása</t>
  </si>
  <si>
    <t>Költségek, ráfordítások aktív időbeli elhatárolása</t>
  </si>
  <si>
    <t>F/2.</t>
  </si>
  <si>
    <t>Halasztott ráfordítások</t>
  </si>
  <si>
    <t>F/3.</t>
  </si>
  <si>
    <t>Aktív időbeli elhatárolások összesen</t>
  </si>
  <si>
    <t>F</t>
  </si>
  <si>
    <t>ESZKÖZÖK ÖSSZESEN</t>
  </si>
  <si>
    <t>FORRÁSOK</t>
  </si>
  <si>
    <t>Nemzeti vagyon induláskori értéke</t>
  </si>
  <si>
    <t>G/I.</t>
  </si>
  <si>
    <t>Nemzeti vagyon változásai</t>
  </si>
  <si>
    <t>G/II.</t>
  </si>
  <si>
    <t>Egyéb eszközök induláskori értéke és változásai</t>
  </si>
  <si>
    <t>G/III.</t>
  </si>
  <si>
    <t>Felhalmozott eredmény</t>
  </si>
  <si>
    <t>G/IV.</t>
  </si>
  <si>
    <t>Eszközök értékhelyesbítésének forrása</t>
  </si>
  <si>
    <t>G/V.</t>
  </si>
  <si>
    <t>Mérleg szerinti eredmény</t>
  </si>
  <si>
    <t>G/VI.</t>
  </si>
  <si>
    <t>Saját tőke összesen</t>
  </si>
  <si>
    <t>G</t>
  </si>
  <si>
    <t>Saját Tőke összesen</t>
  </si>
  <si>
    <t>Költségvetési évben esedékes kötelezettségek</t>
  </si>
  <si>
    <t>H/I.</t>
  </si>
  <si>
    <t>Költségvetési évet követően esedékes kötelezettségek</t>
  </si>
  <si>
    <t>H/II.</t>
  </si>
  <si>
    <t>Kötelezettség jellegű sajátos elszámolások</t>
  </si>
  <si>
    <t>H/III.</t>
  </si>
  <si>
    <t>Kötelezettségek összesen</t>
  </si>
  <si>
    <t>H</t>
  </si>
  <si>
    <t>Kincstári számlavezetéssel kapcsolatos elszámolások</t>
  </si>
  <si>
    <t>I</t>
  </si>
  <si>
    <t>Eredményszemléletű bevételek passzív időbeli elhatárilása</t>
  </si>
  <si>
    <t>J/1.</t>
  </si>
  <si>
    <t>Eredményszemléletű bevételek passzív időbeli elhatárolása</t>
  </si>
  <si>
    <t>J/2.</t>
  </si>
  <si>
    <t>Költségek, ráfordítások passzív időbeli elhatárolása</t>
  </si>
  <si>
    <t>Halasztott eredményszemléletű bevételek</t>
  </si>
  <si>
    <t>J/3.</t>
  </si>
  <si>
    <t>Passzívv időbeli elhatárolások összesen</t>
  </si>
  <si>
    <t>J</t>
  </si>
  <si>
    <t>Passzív időbeli elhatárolások összesen</t>
  </si>
  <si>
    <t>FORRÁSOK ÖSSZESEN</t>
  </si>
  <si>
    <t xml:space="preserve">                 Az 1993. évi LXXVIII. tv. 62. §. 1 bek. szerint az önkormányzat az állam tulajdonából </t>
  </si>
  <si>
    <t xml:space="preserve">                 az önkormányzat tulajdonába került lakóépületeinek elidegenítéséből származó 1994.</t>
  </si>
  <si>
    <t xml:space="preserve">                 március 31. napját követően befolyó - kiadásokkal csökkentett - bevételeit elkülönített</t>
  </si>
  <si>
    <t xml:space="preserve">                 számlán köteles kezelni.</t>
  </si>
  <si>
    <t>Bevételek</t>
  </si>
  <si>
    <t>e Ft-ban</t>
  </si>
  <si>
    <t xml:space="preserve">Kiadások </t>
  </si>
  <si>
    <t>eFt-ban</t>
  </si>
  <si>
    <t>Egyenleg eFt-ban</t>
  </si>
  <si>
    <t>1994.</t>
  </si>
  <si>
    <t xml:space="preserve">  bérlakás értékesítés</t>
  </si>
  <si>
    <t xml:space="preserve"> lakásmobilitás, érték. stb.</t>
  </si>
  <si>
    <t>Tetőtér beépítés</t>
  </si>
  <si>
    <t xml:space="preserve">Bérlakás építés </t>
  </si>
  <si>
    <t>Zanat lakások közmű</t>
  </si>
  <si>
    <t>Kámon lakások közmű</t>
  </si>
  <si>
    <t>Huszár u. lakások közmű</t>
  </si>
  <si>
    <t>1995.</t>
  </si>
  <si>
    <t xml:space="preserve"> bérlakás értékesítés</t>
  </si>
  <si>
    <t>Lakáselidegenités</t>
  </si>
  <si>
    <t>Privatizációs költségek</t>
  </si>
  <si>
    <t>Oladi  lakások (L7 II.ütem)  közmű</t>
  </si>
  <si>
    <t>Kámon lakások (IV. ütem)  közmű</t>
  </si>
  <si>
    <t>Ingatlanbecslés, szakértői díj</t>
  </si>
  <si>
    <t>Lakóház kisajátitás</t>
  </si>
  <si>
    <t>Szalézi tér, Malom u. lakástervezés</t>
  </si>
  <si>
    <t>Lakóterületi vizhólózat bővités</t>
  </si>
  <si>
    <t xml:space="preserve">                     energia ellátás</t>
  </si>
  <si>
    <t>Szolgálati lakások kiváltása</t>
  </si>
  <si>
    <t>Lakásvásárlás önk. lakásnak</t>
  </si>
  <si>
    <t>Bérleti jog visszavásárlása.</t>
  </si>
  <si>
    <t>Bérlőkijelölési jogról lemondás</t>
  </si>
  <si>
    <t>Lakásvásárlással kapcs. bonyolitási dijak</t>
  </si>
  <si>
    <t>Lakóház felújitás, középmagas házak tűzvéd.</t>
  </si>
  <si>
    <t>1996.</t>
  </si>
  <si>
    <t xml:space="preserve">  bérlakás értékesítés összesen</t>
  </si>
  <si>
    <t>Lakás helyiség elidegenités</t>
  </si>
  <si>
    <t xml:space="preserve">   ebből kárpótlási jeggyel vás.</t>
  </si>
  <si>
    <t>Ingatlanbecslés</t>
  </si>
  <si>
    <t>Lakóházfelújitási alapképzés</t>
  </si>
  <si>
    <t>Lakóházfelújités (Petőfi S. u.)</t>
  </si>
  <si>
    <t>Szalézi téri kisajátitás, épités</t>
  </si>
  <si>
    <t>Lakásép. közmű</t>
  </si>
  <si>
    <t>Bérleti jog visszaváltása</t>
  </si>
  <si>
    <t>Emelt szintű nyugdijas ház</t>
  </si>
  <si>
    <t>Alacsony  fok. szoc. lakások</t>
  </si>
  <si>
    <t>1997.</t>
  </si>
  <si>
    <t>Szalézi téri lakásépítés</t>
  </si>
  <si>
    <t>Petőfi S. u. 31. felújítás tervezés.</t>
  </si>
  <si>
    <t xml:space="preserve">Bérleti jog visszavásárlás, önkorm. lakásvás. </t>
  </si>
  <si>
    <t>Emelt szintű nyugdíjas otthon</t>
  </si>
  <si>
    <t>Kényszerbérlet</t>
  </si>
  <si>
    <t>Bogát lakástervezés</t>
  </si>
  <si>
    <t>lakásprivatizáció</t>
  </si>
  <si>
    <t>Lakás- közműellátás</t>
  </si>
  <si>
    <t>Alacsony komfort. szoc.lakás építés</t>
  </si>
  <si>
    <t>1998.</t>
  </si>
  <si>
    <t>Szalézi tér lapkásépítés</t>
  </si>
  <si>
    <t>Huszár úti lakások felújítása</t>
  </si>
  <si>
    <t>Fejleszthető komfortfokozatő lakások</t>
  </si>
  <si>
    <t>Lakásprivatizáció költségei</t>
  </si>
  <si>
    <t>Körmenti u. lakásépítés</t>
  </si>
  <si>
    <t>Lakáshozjutás támogatása</t>
  </si>
  <si>
    <t>1999.</t>
  </si>
  <si>
    <t>Bérlakás értékesítés bevétele</t>
  </si>
  <si>
    <t>Lakáskölcsön törlesztés</t>
  </si>
  <si>
    <t>Szolgálati lakások kedvezménye</t>
  </si>
  <si>
    <t>Lakásfelújítás, lakásprivatizáció</t>
  </si>
  <si>
    <t>2000.</t>
  </si>
  <si>
    <t>Lakáskölcsön törlesztések kezelési költségei</t>
  </si>
  <si>
    <t>2001.</t>
  </si>
  <si>
    <t>Bérleti jog visszavásárlás</t>
  </si>
  <si>
    <t>Bérlakásépítés, vásárlás</t>
  </si>
  <si>
    <t>Lakásprivatizáció</t>
  </si>
  <si>
    <t>2002.</t>
  </si>
  <si>
    <t>Bérlakásépítés, vásárlás(állami támogatás nélkül)</t>
  </si>
  <si>
    <t>2003.</t>
  </si>
  <si>
    <t>2004.</t>
  </si>
  <si>
    <t>Bérlakás vásárlás (állami támogatás nélkül)</t>
  </si>
  <si>
    <t>Szociális bérlakás vásárlás önk-i forrásból</t>
  </si>
  <si>
    <t>Ip.techn.épült lakások és therm.kémények fú.</t>
  </si>
  <si>
    <t>2005.</t>
  </si>
  <si>
    <t>Szt.Márton u.bérlakás ép. (állami támogatás nélkül)</t>
  </si>
  <si>
    <t>Szolgálati lakások kedvezménye,egyéb</t>
  </si>
  <si>
    <t>2006.</t>
  </si>
  <si>
    <t>2007.</t>
  </si>
  <si>
    <t>2008.</t>
  </si>
  <si>
    <t>lakásvásárlás és bérleti jog lemondás</t>
  </si>
  <si>
    <t>nem önkormányzati tul-ban lévő lakásban lakók 
lakbértámogatás</t>
  </si>
  <si>
    <t>2009.</t>
  </si>
  <si>
    <t>2010.</t>
  </si>
  <si>
    <t>2011.</t>
  </si>
  <si>
    <t>Önkormányzati bérlakás felújítások</t>
  </si>
  <si>
    <t>Lakásbérleti díj támogatás</t>
  </si>
  <si>
    <t>2012.</t>
  </si>
  <si>
    <t>Panel program - 2009. évi</t>
  </si>
  <si>
    <t>2013.</t>
  </si>
  <si>
    <t>2014.</t>
  </si>
  <si>
    <t>Önkormányzati bérlakások felújítása</t>
  </si>
  <si>
    <t>Társasház felújításának támogatása</t>
  </si>
  <si>
    <t>2015.</t>
  </si>
  <si>
    <t>2016.</t>
  </si>
  <si>
    <t>Tájékoztató</t>
  </si>
  <si>
    <t xml:space="preserve"> Éves kiadás</t>
  </si>
  <si>
    <t>Megoszlás%-a</t>
  </si>
  <si>
    <t>Egyéb pénzbeli és természetbeni gyermekvédelmi támogatások</t>
  </si>
  <si>
    <t>Családi támogatások összesen:</t>
  </si>
  <si>
    <t>Adósságcsökkentési támogatás [Szoctv. 55/A. § 1. bek. b) pont]</t>
  </si>
  <si>
    <t>Lakhatással kapcsolatos ellátások összesen:</t>
  </si>
  <si>
    <t>Köztemetés (Szoctv. 48.§)</t>
  </si>
  <si>
    <t>Települési támogatás (Szoctv. 45.§)</t>
  </si>
  <si>
    <t xml:space="preserve"> Önkormányzat által saját hatáskörben (nem szociális és gyermekvédelmi előírások alapján) adott más ellátás</t>
  </si>
  <si>
    <t>8.</t>
  </si>
  <si>
    <t>Egyéb nem intézményi ellátások</t>
  </si>
  <si>
    <t>K4 Ellátottak</t>
  </si>
  <si>
    <t xml:space="preserve"> 14500eFt</t>
  </si>
  <si>
    <t>Szombathely visszavár ösztöndíjrendszer</t>
  </si>
  <si>
    <t>9.</t>
  </si>
  <si>
    <t>Köztemetés</t>
  </si>
  <si>
    <t>10.</t>
  </si>
  <si>
    <t>Kamatmentes kölcsön  kifizetés</t>
  </si>
  <si>
    <t>11.</t>
  </si>
  <si>
    <t>Ápolási díj</t>
  </si>
  <si>
    <t>12.</t>
  </si>
  <si>
    <t>Kifizetés mindösszesen:</t>
  </si>
  <si>
    <t>kgy. Szoc táblából</t>
  </si>
  <si>
    <t>Ingatlan-</t>
  </si>
  <si>
    <t>mennyiség</t>
  </si>
  <si>
    <t>érték</t>
  </si>
  <si>
    <t>ingatlanszám</t>
  </si>
  <si>
    <t>földrészlet</t>
  </si>
  <si>
    <t>könyv szerinti</t>
  </si>
  <si>
    <t>becslés szerinti</t>
  </si>
  <si>
    <t>bruttó</t>
  </si>
  <si>
    <t>darab</t>
  </si>
  <si>
    <t>ha</t>
  </si>
  <si>
    <t>m2</t>
  </si>
  <si>
    <t>db</t>
  </si>
  <si>
    <t>e Ft</t>
  </si>
  <si>
    <t>a</t>
  </si>
  <si>
    <t>b</t>
  </si>
  <si>
    <t>c</t>
  </si>
  <si>
    <t>d</t>
  </si>
  <si>
    <t xml:space="preserve">e </t>
  </si>
  <si>
    <t>f</t>
  </si>
  <si>
    <t>g</t>
  </si>
  <si>
    <t>01</t>
  </si>
  <si>
    <t>Rendezett összes ingatlan</t>
  </si>
  <si>
    <t>02</t>
  </si>
  <si>
    <t>Rendezetlen, tulajdonba került ingatlanok</t>
  </si>
  <si>
    <t>03</t>
  </si>
  <si>
    <t>Rendezelten tulajdonból kikerült ingatlanok</t>
  </si>
  <si>
    <t>04</t>
  </si>
  <si>
    <t>Helyrajzi számmal nem rendelkező ingatlanok</t>
  </si>
  <si>
    <t>05</t>
  </si>
  <si>
    <t>Állomány összesen (01+02+04)sorok</t>
  </si>
  <si>
    <t>06</t>
  </si>
  <si>
    <t>16. számlacsoportban nyilvántartott ingatlanok</t>
  </si>
  <si>
    <t>07</t>
  </si>
  <si>
    <t>05. sorból külföldi ingatlan</t>
  </si>
  <si>
    <t>08</t>
  </si>
  <si>
    <t>05.</t>
  </si>
  <si>
    <t>belterület</t>
  </si>
  <si>
    <t>09</t>
  </si>
  <si>
    <t>sorból</t>
  </si>
  <si>
    <t>külterület</t>
  </si>
  <si>
    <t>10</t>
  </si>
  <si>
    <t>forgalomképtelen</t>
  </si>
  <si>
    <t>11</t>
  </si>
  <si>
    <t>korlátozottan forgalomképes</t>
  </si>
  <si>
    <t>12</t>
  </si>
  <si>
    <t>forgalomképes</t>
  </si>
  <si>
    <t>13</t>
  </si>
  <si>
    <t>Beépítetlen terület összesen</t>
  </si>
  <si>
    <t>14</t>
  </si>
  <si>
    <t>100 %-os saját tulajdon</t>
  </si>
  <si>
    <t>15</t>
  </si>
  <si>
    <t>13.</t>
  </si>
  <si>
    <t>más önkormányzattal közös tulajdon</t>
  </si>
  <si>
    <t>16</t>
  </si>
  <si>
    <t>egyéb közös tulajdon</t>
  </si>
  <si>
    <t>17</t>
  </si>
  <si>
    <t>Beépített terület összesen</t>
  </si>
  <si>
    <t>18</t>
  </si>
  <si>
    <t>19</t>
  </si>
  <si>
    <t>17.</t>
  </si>
  <si>
    <t>20</t>
  </si>
  <si>
    <t>21</t>
  </si>
  <si>
    <t>más tulajdonos által beépített</t>
  </si>
  <si>
    <t>22</t>
  </si>
  <si>
    <t>Egyéb önálló ingatlan összesen</t>
  </si>
  <si>
    <t>23</t>
  </si>
  <si>
    <t>24</t>
  </si>
  <si>
    <t>22.</t>
  </si>
  <si>
    <t>25</t>
  </si>
  <si>
    <t>26</t>
  </si>
  <si>
    <t>önkormányzat településén kívül fekvő ingatlan</t>
  </si>
  <si>
    <t>27</t>
  </si>
  <si>
    <t xml:space="preserve">05. </t>
  </si>
  <si>
    <t>védett természeti terület</t>
  </si>
  <si>
    <t>műemléki védettségű</t>
  </si>
  <si>
    <t>BRUTTÓ</t>
  </si>
  <si>
    <t>ÉRTÉKCSÖK.</t>
  </si>
  <si>
    <t>NETTÓ</t>
  </si>
  <si>
    <t xml:space="preserve">A </t>
  </si>
  <si>
    <t>NEMZETI VAGYONBA TARTOZÓ BEFEKTETETT ESZKÖZÖK</t>
  </si>
  <si>
    <t>Immateriális javak</t>
  </si>
  <si>
    <t>A/II/1</t>
  </si>
  <si>
    <t>Korlátozottan forgalomképes</t>
  </si>
  <si>
    <t>Üzleti vagyon</t>
  </si>
  <si>
    <t>Tárgyi eszközök</t>
  </si>
  <si>
    <t xml:space="preserve"> Forgalomképtelen</t>
  </si>
  <si>
    <t>Helyi Közutak és műtárgyaik</t>
  </si>
  <si>
    <t>Terek, parkok</t>
  </si>
  <si>
    <t>Vizek és közcélú (vizi közműnek nem minősülő) vízi létesítmények</t>
  </si>
  <si>
    <t>Üzemeltetésre átadott ingatlanok és kapcsolódó vagyoni értékű jogok</t>
  </si>
  <si>
    <t>Egyéb az önkormányzat által forgalomképtelennek minősített ingatlanok és kapcsolódó vagyoni értékű jogok</t>
  </si>
  <si>
    <t xml:space="preserve">Korlátozottan forgalomképes </t>
  </si>
  <si>
    <t>Közművek (Víz, gáz, csatorna, távfűtés,világítás)</t>
  </si>
  <si>
    <t>Védett természeti területek</t>
  </si>
  <si>
    <t>A képviselőtestület (közgyűlés) és szervei, valamint hivatala ingatlanai</t>
  </si>
  <si>
    <t>A helyi önkormányzat felügyelete alá tartozó költségvetési szervek ingatlanai</t>
  </si>
  <si>
    <t>Műemlék ingatlanok</t>
  </si>
  <si>
    <t>Egyéb az önkormányzat által korlátozottan forgalomképesnek minősített ingatlanok és  kapcsolódó vagyoni értékű jogok (lakások,telkek,sportcélú ingatlanok, létesítmények)</t>
  </si>
  <si>
    <t>Telkek, földterületek</t>
  </si>
  <si>
    <t>Egyéb az önkormányzat által forgalomképesnek minősített ingatlanok és kapcsolódó vagyoni értékű jogok</t>
  </si>
  <si>
    <t>A/II/2.</t>
  </si>
  <si>
    <t>Gépek, berendezések felszerelések, járművek</t>
  </si>
  <si>
    <t>Forgalomképtelen gépek, berendezések, felszerelések, járművek</t>
  </si>
  <si>
    <t>Korlátozottan forgalomképes gépek,berendezések, felszerelések, járművek</t>
  </si>
  <si>
    <t>Üzleti vagyon: gépek, berendezések, felszerelések, járművek</t>
  </si>
  <si>
    <t xml:space="preserve">Tenyészállatok </t>
  </si>
  <si>
    <t>A/II/4.</t>
  </si>
  <si>
    <t>Forgalomképtelen eszköz létesítésére irányuló beruházás, felújítás</t>
  </si>
  <si>
    <t>Korlátozottan forgalomképes eszköz létesítésére irányuló beruházás, felújítás</t>
  </si>
  <si>
    <t>A/II/5.</t>
  </si>
  <si>
    <t>Tárgyi eszközök értékhelyesbítése</t>
  </si>
  <si>
    <t xml:space="preserve">Befektetett pénzügyi eszközök </t>
  </si>
  <si>
    <t>A/III/1.</t>
  </si>
  <si>
    <t>Tartós részesedések - korlátozottan forgalomképes</t>
  </si>
  <si>
    <t>Tartós hitelviszonyt megtestesítő értékpapírok (forgalomképes)</t>
  </si>
  <si>
    <t>A/III/3.</t>
  </si>
  <si>
    <t>Befektetett pénzügyi eszközök értékhelyesbítése (forgalomképes)</t>
  </si>
  <si>
    <t>A/IV.</t>
  </si>
  <si>
    <t>Koncesszióba, vagyonkezelésbe adott eszközök</t>
  </si>
  <si>
    <t>A/IV/1</t>
  </si>
  <si>
    <t>Vagyonkezelésbe adott eszközök - forgalomképtelen</t>
  </si>
  <si>
    <t xml:space="preserve">B </t>
  </si>
  <si>
    <t>NEMZETI VAGYONBA TARTOZÓ FORGÓESZKÖZÖK</t>
  </si>
  <si>
    <t>Készletek (forgalomképes)</t>
  </si>
  <si>
    <t>PÉNZESZKÖZÖK - forgalomképes</t>
  </si>
  <si>
    <t>C/IV</t>
  </si>
  <si>
    <t>KÖVETELÉSEK - forgalomképes</t>
  </si>
  <si>
    <t>EGYÉB SAJÁTOS ELSZÁMOLÁSOK - forgalomképes</t>
  </si>
  <si>
    <t>F.</t>
  </si>
  <si>
    <t>AKTÍV IDŐBELI ELHATÁROLÁSOK - forgalomképes</t>
  </si>
  <si>
    <t>G.</t>
  </si>
  <si>
    <t>SAJÁT TŐKE</t>
  </si>
  <si>
    <t>H.</t>
  </si>
  <si>
    <t>KÖTELEZETTSÉGEK</t>
  </si>
  <si>
    <t>Költségvetési évben esedékes kötelezettségek - forgalomképes</t>
  </si>
  <si>
    <t>Költségvetési évet követően esedékes kötelezettségek - forgalomképes</t>
  </si>
  <si>
    <t>I.</t>
  </si>
  <si>
    <t>KINCSTÁRI SZÁMLAVEZETÉSSEL KAPCSOLATOS ELSZÁMOLÁSOK</t>
  </si>
  <si>
    <t>J.</t>
  </si>
  <si>
    <t>PASSZÍV IDŐBELI ELHATÁROLÁSOK - forgalomképes</t>
  </si>
  <si>
    <t>KÖNYVVITELI MÉRLEGEN KÍVÜLI TÉTELEK</t>
  </si>
  <si>
    <t xml:space="preserve">"0"-ra leírt, de használatban lévő eszközök állománya </t>
  </si>
  <si>
    <t>Ingatlanok és kapcsolódó vagyonértékű jogok</t>
  </si>
  <si>
    <t>Gépek,berendezések,felszerelések, járművek</t>
  </si>
  <si>
    <t>Használatban lévő kisértékű  immateriális javak, tárgyi eszközök, készletek</t>
  </si>
  <si>
    <t>Kisértékű Immateriális javak</t>
  </si>
  <si>
    <t>Kisértékű Ingatlanok és kapcsolódó vagyoniértékű jogok</t>
  </si>
  <si>
    <t>Kisértékű Gépek, berendezések, felszerelések, járművek</t>
  </si>
  <si>
    <t>01. számlaosztály Vagyonkezelésben lévő önkormányzati tulajdonú eszközök</t>
  </si>
  <si>
    <t>SZMJV Német önkormányzatának vagyonkezelésében lévő önkormányzati tulajdonú eszközök</t>
  </si>
  <si>
    <t>Szombathelyi Tankerület vagyonkezelésében lévő önkormányzati tulajdonú eszközök</t>
  </si>
  <si>
    <t>Szombathelyi Műszaki Szakképzési Centrum vagyonkezelésében lévő önkormányzati tulajdonú eszközök</t>
  </si>
  <si>
    <r>
      <t>Szombathelyi Szolgáltatási</t>
    </r>
    <r>
      <rPr>
        <b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Szakképzési Centrum vagyonkezelésében lévő önkormányzati tulajdonú eszközök</t>
    </r>
  </si>
  <si>
    <t>Szombathelyi Élelmiszeripari és Földmérési Szakképző Iskola és Kollégium vagyonkezelésében lévő önkormányzati tulajdonú eszközök</t>
  </si>
  <si>
    <t>Herman Ottó Környezetvédelmi és Mezőgazdasági Szakképző Iskola és Kollégium vagyonkezelésében lévő önkormányzati tulajdonú eszközök</t>
  </si>
  <si>
    <t>04. Függő kötelezettségek</t>
  </si>
  <si>
    <t>Önkormányzati többségi tulajdonú vállalkozásokhoz kapcsolódó kezességvállalások állománya</t>
  </si>
  <si>
    <t>Támogatás célú előleggel kapcsolatos elszámolási köztelezettség</t>
  </si>
  <si>
    <t>Tulajdoni hányad</t>
  </si>
  <si>
    <t>Elszámolt</t>
  </si>
  <si>
    <t>Mérleg</t>
  </si>
  <si>
    <t>%-ban</t>
  </si>
  <si>
    <t>Jegyzett tőke</t>
  </si>
  <si>
    <t>értéke e Ft</t>
  </si>
  <si>
    <t>értékvesztés</t>
  </si>
  <si>
    <t>Szombathelyi Vagyonhasznosító és Városgazd. Zrt.</t>
  </si>
  <si>
    <t>Szhelyi Távhőszolg.KFT</t>
  </si>
  <si>
    <t>FALCO KC</t>
  </si>
  <si>
    <t>Vasivíz RT</t>
  </si>
  <si>
    <t>Szhelyi Haladás Labdarúgó és Sportszolg.KFT</t>
  </si>
  <si>
    <t>Prenor KFT</t>
  </si>
  <si>
    <t>Szombathelyi Parkfenntartási és Temetkezési Kft</t>
  </si>
  <si>
    <t>Vas Megyei Temetkezési Kft.</t>
  </si>
  <si>
    <t>Saját alapítású gazdasági társaságok összesen</t>
  </si>
  <si>
    <t>Fogyatékkal Élőket és Hajléktalanokat Ellátó Közhasznú Nonprofit Kft.</t>
  </si>
  <si>
    <t>Szombathelyi Médiaközpont Nonprofit Kft.</t>
  </si>
  <si>
    <t>Szombathelyi Sportközpont és Sportiskola Nonprofit Kft.</t>
  </si>
  <si>
    <t>Weöres Sándor Színház Nonprofit Kft.</t>
  </si>
  <si>
    <t>Szombathelyi Képző Központ Közhasznú Nonprofit Kft.</t>
  </si>
  <si>
    <t>Savaria Városfejlesztési Nonprofit Kft.</t>
  </si>
  <si>
    <t>Savaria Turizmus Nonprofit Kft</t>
  </si>
  <si>
    <t>Nyugat-Pannon Járműipari és Mechatronikai Kp.Szolg. Nonprofit Kft.</t>
  </si>
  <si>
    <t>SZOMHULL  Szombathelyi Hulladékgazdálkodási Közszolgáltató Nonprofit Kft.</t>
  </si>
  <si>
    <t>Haladás Sportkomplexum Fejlesztő Nonprofit Kft.</t>
  </si>
  <si>
    <t>Saját alapítású Nonprofit  gazdasági társaságok összesen</t>
  </si>
  <si>
    <t>Hétforrás  zrt</t>
  </si>
  <si>
    <t>Rába Nyrt.</t>
  </si>
  <si>
    <t>Forrás Vagyonkezelési és Befektetési NyRt.</t>
  </si>
  <si>
    <t>Egyéb részesedések:</t>
  </si>
  <si>
    <t>Részesedések, üzletrészek állománya 2018.december 31-én</t>
  </si>
  <si>
    <t xml:space="preserve">2018. </t>
  </si>
  <si>
    <t>2018.12.31</t>
  </si>
  <si>
    <t>Szombathely Megyei Jogú Város Önkormányzatának mérlegadatai 2018.évben</t>
  </si>
  <si>
    <t>2018. évi segély kifizetésekről</t>
  </si>
  <si>
    <t>Szombathely Megyei Jogú Város Önkormányzata ingatlanvagyon-kataszter összesítője 2018. év</t>
  </si>
  <si>
    <t>Szombathely Megyei Jogú Város vagyonkimutatása 2018.év</t>
  </si>
  <si>
    <t xml:space="preserve">2018. évi  kiadásai kiemelt előirányzatonként </t>
  </si>
  <si>
    <t>Téli rezsicsökkentésben korábban nem részesült, vezetékes gáz vagy távfűtéstől eltérőfűtőanyagot felhasználó háztartások egyszeri támogatása</t>
  </si>
  <si>
    <t>Európai Mobilitási Hét (NFM)</t>
  </si>
  <si>
    <t xml:space="preserve">Támogatások elszámolása </t>
  </si>
  <si>
    <t>Hiszek Benned Sport Program- EMMI támogatás</t>
  </si>
  <si>
    <t>Átmeneti segély megtérülése más önkormányzattól</t>
  </si>
  <si>
    <t>MŰKÖDÉSI CÉLÚ TÁMOGATÁSOK ÁLLAMHÁZTARTÁSON BELÜLRŐL ÖSSZESEN (a.)+b.)+c.))</t>
  </si>
  <si>
    <t>Árfolyam nyereség (Szent Márton szellemiségével összefüggő projekthez kapcsolódóan)</t>
  </si>
  <si>
    <t xml:space="preserve">Vasutas Települések Szövetsége-Virágos vasútállomások </t>
  </si>
  <si>
    <t>Köznevelési feladatellátásra átadott vagyon ellenőrzése</t>
  </si>
  <si>
    <t xml:space="preserve">Fogyatékos emberek Világnapja, Föld Napi Gála, egyéb </t>
  </si>
  <si>
    <t xml:space="preserve">WHO Egészséges városok tagdij, elnökséget adó városi cím és projektváros cím </t>
  </si>
  <si>
    <t>SZMJV Bűnmegelőzési és Közbiztonsági Cselekvési programjának a fedezete, melynek része a pályázati önrész</t>
  </si>
  <si>
    <t>Önkormányzati sport kitüntetések</t>
  </si>
  <si>
    <t>SZAK támogatása</t>
  </si>
  <si>
    <t>Hiszek Benned Sportprogram - EMMI támogatásból</t>
  </si>
  <si>
    <t>Évbúcsúztató Teremlabdarúgó Torna</t>
  </si>
  <si>
    <t>Viktória FC támogatása (felnőtt - Haladás Labdarúgó Kft.)</t>
  </si>
  <si>
    <t>Csapadékvízelv. és fürdőüzemeltetés</t>
  </si>
  <si>
    <t>Csaba úti felüljáró fenntartása, karbantartása</t>
  </si>
  <si>
    <t>Kátyúzás</t>
  </si>
  <si>
    <t>Kerékpárút fenntartás</t>
  </si>
  <si>
    <t>Nyilt árok tisztítás, árokrendezés (árvízvédelmi művek, berendezések karbantartása)</t>
  </si>
  <si>
    <t xml:space="preserve">Út-híd fenntartási kiadások mindösszesen:          </t>
  </si>
  <si>
    <t>TOP-6.3.3-15 Szombathely bel- és csapadékvíz védelmi rendsz. fejl.</t>
  </si>
  <si>
    <t>TOP-6.1.5-15 SZMJV közúthálózati elemeinek gazd.fejl. célú megújítása</t>
  </si>
  <si>
    <t>Szombathely Szent László Király utcai felhagyott iparterület fejlesztése (BMSK támogatás)</t>
  </si>
  <si>
    <t>TOP-6.2.1-15-00002 Óvodák fejlesztése Szombathelyen</t>
  </si>
  <si>
    <t>AVUS központi támogatás elszámolása</t>
  </si>
  <si>
    <t>FELHALMOZÁSI CÉLÚ BEVÉTELEK MINDÖSSZESEN</t>
  </si>
  <si>
    <t>?</t>
  </si>
  <si>
    <t>2018. évi közvetett támogatásairól</t>
  </si>
  <si>
    <t>Szent márton kártya biztosítása állampolgárok részére</t>
  </si>
  <si>
    <t>6. Szent Márton kártyáról szóló 15/2014. (IV.24.) önkormányzati rendelet alapján.</t>
  </si>
  <si>
    <t>-2017.évi pénzmaradvány (pénzforgalom nélküli bevétel)</t>
  </si>
  <si>
    <t>2021.</t>
  </si>
  <si>
    <t xml:space="preserve"> 2019.évi költségvetési rendelettervezetében meghatározott feladatok, illetve korábbi</t>
  </si>
  <si>
    <t>Szombathely Megyei Jogú Város Önkormányzata 2018.évi fejlesztési kiadásainak</t>
  </si>
  <si>
    <t>2018.évi bevételeiről és kiadásairól</t>
  </si>
  <si>
    <t>Szombathely Megyei Jogú Város Önkormányzatának</t>
  </si>
  <si>
    <t>2018. évi  engedélyezett záró létszámelőirányzata</t>
  </si>
  <si>
    <t>2018. év</t>
  </si>
  <si>
    <t>2018. évi  záró engedélyezett  létszám  előirányzat összesen</t>
  </si>
  <si>
    <t>Intézmény</t>
  </si>
  <si>
    <t>SZAKMAI LÉTSZÁM</t>
  </si>
  <si>
    <t>INTÉZMÉNY ÜZEMELTETÉSI LÉTSZÁM</t>
  </si>
  <si>
    <t>2018. évi záró létszám</t>
  </si>
  <si>
    <t>átszámítás nélküli</t>
  </si>
  <si>
    <t xml:space="preserve">   kerekített</t>
  </si>
  <si>
    <t>kerekített</t>
  </si>
  <si>
    <t xml:space="preserve">Ó v o d á k </t>
  </si>
  <si>
    <t>Aréna Óvoda</t>
  </si>
  <si>
    <t>Barátság  Óvoda</t>
  </si>
  <si>
    <t xml:space="preserve">Pipitér Óvoda </t>
  </si>
  <si>
    <t xml:space="preserve">Hétszínvirág Óvoda </t>
  </si>
  <si>
    <t xml:space="preserve">Szivárvány Óvoda </t>
  </si>
  <si>
    <t xml:space="preserve">Donászy Magda Óvoda </t>
  </si>
  <si>
    <t xml:space="preserve">Mesevár Óvoda </t>
  </si>
  <si>
    <t xml:space="preserve">Játéksziget  Óvoda </t>
  </si>
  <si>
    <t>Kőrösi Csoma Sándor Utcai Óvoda</t>
  </si>
  <si>
    <t xml:space="preserve">Gazdag Erzsi Óvoda  </t>
  </si>
  <si>
    <t>Maros  Óvoda</t>
  </si>
  <si>
    <t>Vadvirág Óvoda</t>
  </si>
  <si>
    <t xml:space="preserve">Margaréta Óvoda  </t>
  </si>
  <si>
    <t>Napsugár  Óvoda</t>
  </si>
  <si>
    <t>Szűrcsapó Óvoda</t>
  </si>
  <si>
    <t xml:space="preserve">Mocorgó Óvoda </t>
  </si>
  <si>
    <t>Benczur Gyula Utcai Óvoda</t>
  </si>
  <si>
    <t xml:space="preserve">Weöres Sándor  Óvoda </t>
  </si>
  <si>
    <t>Óvodák  összesen:</t>
  </si>
  <si>
    <t xml:space="preserve">Oktatási intézmények összesen                                       </t>
  </si>
  <si>
    <t>Nem oktatási intézmények</t>
  </si>
  <si>
    <t>Kulturális intézmény</t>
  </si>
  <si>
    <t>Agora Szombathelyi Kulturális Központ</t>
  </si>
  <si>
    <t>Savaria Szimfonikus Zenekar</t>
  </si>
  <si>
    <t>Berzsenyi Dániel Megyei Hatókörű Városi Könyvtár</t>
  </si>
  <si>
    <t>Savaria Megyei Hatókörű Városi Múzeum</t>
  </si>
  <si>
    <t xml:space="preserve">Összesen                                       </t>
  </si>
  <si>
    <t>Szociális intézmény</t>
  </si>
  <si>
    <t>Pálos Károly Szociális Szolgáltató Központ és Gyermekjóléti Szolgálat</t>
  </si>
  <si>
    <t>Egészségügyi intézmény</t>
  </si>
  <si>
    <t>Szombathelyi Egészségügyi és Kulturális GESZ</t>
  </si>
  <si>
    <t>Gyermekvédelmi intézmény</t>
  </si>
  <si>
    <t>Szombathelyi Egyesített Bölcsődei Intézmény</t>
  </si>
  <si>
    <t>Egyéb intézmények</t>
  </si>
  <si>
    <t>Szombathelyi Városi Vásárcsarnok</t>
  </si>
  <si>
    <t>Közterület-Felügyelet</t>
  </si>
  <si>
    <t>Nem oktatási intézmények összesen</t>
  </si>
  <si>
    <t>Intézmények mindösszesen</t>
  </si>
  <si>
    <t>Önkormányzatok általános működésének és ágazati feladatainak támogatása</t>
  </si>
  <si>
    <t>MEGNEVEZÉS</t>
  </si>
  <si>
    <t>eltérés</t>
  </si>
  <si>
    <t>eredeti</t>
  </si>
  <si>
    <t xml:space="preserve">módosított </t>
  </si>
  <si>
    <t>előirányzat</t>
  </si>
  <si>
    <t>Nem közművel összegyűjtött háztartási szennyvíz ártalmatlanítása</t>
  </si>
  <si>
    <t>I. Összesen</t>
  </si>
  <si>
    <t>II. A települési önkormányzatok egyes köznevelési  feladatainak támogatása</t>
  </si>
  <si>
    <t>1. Óvodapedagógusok, és az óvodapedagógusok nevelő munkáját közvetlenül segítők bértámogatása</t>
  </si>
  <si>
    <t>Óvodapedagógusok átlagbérének és közterheinek elismert összege</t>
  </si>
  <si>
    <t>Óvodapedagógusok átlagbérének és közterheinek elismert pótlólagos összege</t>
  </si>
  <si>
    <t>Pedagógus szakképzettséggel rendelkező óvodapedagógusok nevelő munkáját   közvetlenül segítők pótlólagos támogatása</t>
  </si>
  <si>
    <t>Óvodapedagógusok nevelőmunkáját közvetlenül segítők átlagbérének és közterheinek elismert összege</t>
  </si>
  <si>
    <t>2. Óvodaműködtetési támogatás</t>
  </si>
  <si>
    <t>4. Kiegészítő  támogatás az óvodapedagógusok és a szakképzettséggel rendelkező segítők minősítéséből adódó többletkiadásokhoz</t>
  </si>
  <si>
    <t>Nemzetiségi pótlék</t>
  </si>
  <si>
    <t>II. Összesen</t>
  </si>
  <si>
    <t>III. A települési önkormányzatok szociális,  gyermekjóléti és gyermekétkeztetési feladatainak támogatása</t>
  </si>
  <si>
    <t>1. Szociális ágazati összevont pótlék</t>
  </si>
  <si>
    <t>3. Egyes szociális és gyermekjóléti feladatok támogatása</t>
  </si>
  <si>
    <t>a./ Család-és gyermekjóléti szolgálat</t>
  </si>
  <si>
    <t>b./ Család- és gyermekjóléti központ</t>
  </si>
  <si>
    <t>c./ Szociális étkeztetés</t>
  </si>
  <si>
    <t>d./ Házi segítségnyújtás</t>
  </si>
  <si>
    <t xml:space="preserve">      Házi segítségnyújtás-szociális segítés</t>
  </si>
  <si>
    <t xml:space="preserve">      Házi segítségnyújtás-személyi gondozás</t>
  </si>
  <si>
    <t>f./ Időskorúak nappali intézményi ellátása</t>
  </si>
  <si>
    <t>g./ Demens személyek nappali intézményi ellátása</t>
  </si>
  <si>
    <t>j./ Gyermekek napközbeni ellátása - nem fogyatékos, nem hátrányos helyzetű gyermek</t>
  </si>
  <si>
    <t xml:space="preserve">    Gyermekek napközbeni ellátása - fogyatékos gyermek</t>
  </si>
  <si>
    <t xml:space="preserve">    Gyermekek napközbeni ellátása - nem  fogyatékos, hátrányos helyzetű gyermek</t>
  </si>
  <si>
    <t xml:space="preserve">    Gyermekek napközbeni ellátása - nem  fogyatékos, halmozottan hátrányos helyzetű gyermek</t>
  </si>
  <si>
    <t xml:space="preserve">    Gyermekek napközbeni ellátása - Családi napközi ellátás és- gyermekfelügyelet</t>
  </si>
  <si>
    <t>n./ Óvodai és iskolai szociális segítő tevékenység támogatása</t>
  </si>
  <si>
    <t>4. A települési önkormányzatok által biztosított egyes szociális szakosított ellátások, valamint a gyermekek átmeneti gondozásával kapcsolatos feladatok támogatása</t>
  </si>
  <si>
    <t>a./ Időskorúak gondozóháza, családok átmeneti otthona - finanszírozás szempontjából elismert szakmai dolgozók bértámogatása</t>
  </si>
  <si>
    <t>b./ Időskorúak gondozóháza, családok átmeneti otthona -intézmény-üzemeltetési támogatás</t>
  </si>
  <si>
    <t>5. Gyermekétkeztetés támogatása</t>
  </si>
  <si>
    <t>a./Az intézményi gyermekétkeztetés kapcsán az étkeztetési feladatot ellátók után járó bértámogatás</t>
  </si>
  <si>
    <t>b./ Az intézményi gyermekétkeztetés üzemeltetési támogatása</t>
  </si>
  <si>
    <t>6. A rászoruló gyermekek intézményen kívüli szünidei étkeztetésének támogatása</t>
  </si>
  <si>
    <t>III. Összesen</t>
  </si>
  <si>
    <t>IV. Települési önkormányzatok kulturális feladatainak támogatása összesen</t>
  </si>
  <si>
    <t>1. Mindösszesen</t>
  </si>
  <si>
    <t>II. és III. összesen - technikai előirányzat</t>
  </si>
  <si>
    <t>2. Mindösszesen</t>
  </si>
  <si>
    <t>4. Összesen</t>
  </si>
  <si>
    <t xml:space="preserve"> 3. Összesen</t>
  </si>
  <si>
    <t>- ebből: A települési önkormányzatok könyvtári célú érdekeltségnövelő támogatása</t>
  </si>
  <si>
    <t>5.-6. Összesen</t>
  </si>
  <si>
    <t>7.  Kiegészítő támogatás a bölcsődében, mini bölcsődében foglalkoztatott, felsőfokú végzettségű kisgyermeknevelők és szakemberek béréhez</t>
  </si>
  <si>
    <t>7.  Bölcsőde, mini bölcsőde támogatása</t>
  </si>
  <si>
    <t>felsőfokú végzettségű kisgyermeknevelők, szaktanácsadók</t>
  </si>
  <si>
    <t>Bölcsődei kiegészítő támogatás</t>
  </si>
  <si>
    <r>
      <t xml:space="preserve">7.a (1) </t>
    </r>
    <r>
      <rPr>
        <sz val="15"/>
        <rFont val="Arial CE"/>
        <family val="2"/>
        <charset val="238"/>
      </rPr>
      <t>a finanszírozás szempontjából elismert szakmai dolgozók bértámogatása :</t>
    </r>
  </si>
  <si>
    <r>
      <t xml:space="preserve">7.a (2) </t>
    </r>
    <r>
      <rPr>
        <sz val="15"/>
        <rFont val="Arial CE"/>
        <family val="2"/>
        <charset val="238"/>
      </rPr>
      <t>a finanszírozás szempontjából elismert szakmai dolgozók bértámogatása :</t>
    </r>
  </si>
  <si>
    <r>
      <rPr>
        <sz val="15"/>
        <rFont val="Arial CE"/>
        <family val="2"/>
        <charset val="238"/>
      </rPr>
      <t>bölcsődei dajkák</t>
    </r>
    <r>
      <rPr>
        <b/>
        <sz val="15"/>
        <rFont val="Arial CE"/>
        <family val="2"/>
        <charset val="238"/>
      </rPr>
      <t xml:space="preserve">, </t>
    </r>
    <r>
      <rPr>
        <sz val="15"/>
        <rFont val="Arial CE"/>
        <family val="2"/>
        <charset val="238"/>
      </rPr>
      <t>középfokú végzettségű kisgyermeknevelők, szaktanácsadók</t>
    </r>
  </si>
  <si>
    <t>Költségvetési szervek 2018. évi bevételei</t>
  </si>
  <si>
    <t xml:space="preserve"> Működési bevételek</t>
  </si>
  <si>
    <t>Működési célú átvett  pénzeszközök</t>
  </si>
  <si>
    <t>Előző év költségvetési maradványának igénybevétele</t>
  </si>
  <si>
    <t xml:space="preserve"> Központi irányítószervtől kapott támogatás</t>
  </si>
  <si>
    <t>Központi irányítószervtől kapott támogatás összesen</t>
  </si>
  <si>
    <t>Költségvetési bevételek összesen</t>
  </si>
  <si>
    <t>I N T É Z M É N Y</t>
  </si>
  <si>
    <t>Működési</t>
  </si>
  <si>
    <t>Felhalmozási</t>
  </si>
  <si>
    <t>Eredeti előirányzat</t>
  </si>
  <si>
    <t>Módosított előirányzat         RM V.</t>
  </si>
  <si>
    <t>Teljesítés  
%-a</t>
  </si>
  <si>
    <t>Módosított    előirányzat                 RM V.</t>
  </si>
  <si>
    <t>Módosított     előirányzat                RM V.</t>
  </si>
  <si>
    <t>Módosított előirányzat              RM V.</t>
  </si>
  <si>
    <t>Módosított      előirányzat                  RM V.</t>
  </si>
  <si>
    <t>Módosított       előirányzat                  RM V.</t>
  </si>
  <si>
    <t>Módosított            előirányzat                 RM V.</t>
  </si>
  <si>
    <t>telj.</t>
  </si>
  <si>
    <t>Ó v o d á k</t>
  </si>
  <si>
    <t>Mocorgó Óvoda</t>
  </si>
  <si>
    <t>Óvodák  összesen</t>
  </si>
  <si>
    <t>Kulturális intézmények</t>
  </si>
  <si>
    <t xml:space="preserve">Összesen                             </t>
  </si>
  <si>
    <t xml:space="preserve">Szombathelyi Egyesitett Bölcsődei Intézmény </t>
  </si>
  <si>
    <t xml:space="preserve">Összesen                                 </t>
  </si>
  <si>
    <t>Költségvetési szervek 2018. évi kiadásai</t>
  </si>
  <si>
    <t xml:space="preserve">Dologi kiadások </t>
  </si>
  <si>
    <t>Költségvetési kiadások összesen</t>
  </si>
  <si>
    <t>Módosított előirányzat 
RM V.</t>
  </si>
  <si>
    <t>Teljesítés          
%-a</t>
  </si>
  <si>
    <t>Eredeti ei</t>
  </si>
  <si>
    <t>Módosított ei</t>
  </si>
  <si>
    <t xml:space="preserve">Vagyonkezelésbe vett </t>
  </si>
  <si>
    <t>Szombathely és Balogunyom hiányzó kerékpárútjának tervezési költsége</t>
  </si>
  <si>
    <t>2018.évi beruházási kiadások beruházásonként</t>
  </si>
  <si>
    <t>Feladat</t>
  </si>
  <si>
    <t>Összeg</t>
  </si>
  <si>
    <t>Kisértékű egyéb gép, berendezés - ágvágó, permetező, telefon, kávéfőző, játékok</t>
  </si>
  <si>
    <t>Barátság Óvoda</t>
  </si>
  <si>
    <t>Gyermek kerékpártároló</t>
  </si>
  <si>
    <t>Kisértékű egyéb gép, berendezés - bútorok, játékok</t>
  </si>
  <si>
    <t>Pipitér Óvoda</t>
  </si>
  <si>
    <t>Kisértékű egyéb gép, berendezés - bútorok, szerszámok, játékok</t>
  </si>
  <si>
    <t>Hétszínvirág Óvoda</t>
  </si>
  <si>
    <t>Térburkolat</t>
  </si>
  <si>
    <t>Tárolóépület fogadószint betonozása</t>
  </si>
  <si>
    <t>Irodabútor</t>
  </si>
  <si>
    <t>Szivárvány Óvoda</t>
  </si>
  <si>
    <t>Hinták alatti ütéscsillapító gumiburkolat</t>
  </si>
  <si>
    <t>Udvari játéktároló kisház</t>
  </si>
  <si>
    <t>Tolóajtós tornatermi szekrény</t>
  </si>
  <si>
    <t>Kisértékű egyéb gép, berendezés - bútorok, játékok, fűkasza, kerékpár</t>
  </si>
  <si>
    <t>Donászy Magda Óvoda</t>
  </si>
  <si>
    <t>Kisértékű egyéb gép, berendezés - műszaki cikkek, textíliák, játékok</t>
  </si>
  <si>
    <t>Mesevár Óvoda</t>
  </si>
  <si>
    <t>Kisértékű egyéb gép, berendezés - bútorok, játékok, szőnyegek</t>
  </si>
  <si>
    <t>Játéksziget Óvoda</t>
  </si>
  <si>
    <t>Redőnyök csoportszobák ablakaira</t>
  </si>
  <si>
    <t>Térburkolat játszótér és terasz előtti részen</t>
  </si>
  <si>
    <t>Nagy csőcsúszda</t>
  </si>
  <si>
    <t>Árnyékoló homokozó fölé</t>
  </si>
  <si>
    <t>Kisértékű egyéb gép, berendezés - bútorok, játékok, lombszívó, cd lejátszó</t>
  </si>
  <si>
    <t>Magaságyás</t>
  </si>
  <si>
    <t>Kisértékű informatikai eszközök - USB stick, merevlemez</t>
  </si>
  <si>
    <t>Kisértékű egyéb gép, berendezés - székek, tornaeszközök, játékok, kávéfőző, vasaló, cd lejátszó</t>
  </si>
  <si>
    <t>Gazdag Erzsi Óvoda</t>
  </si>
  <si>
    <t>Kisértékű informatikai eszközök - monitor, notebook, háttértároló</t>
  </si>
  <si>
    <t>Kisértékű egyéb gép, berendezés - Differ fejlesztő csomagok, szék, iratmegsemmisítő, játékok</t>
  </si>
  <si>
    <t>Maros Óvoda</t>
  </si>
  <si>
    <t>Dombcsúszda rámpával</t>
  </si>
  <si>
    <t>Kisértékű informatikai eszközök - TP-Link wireless</t>
  </si>
  <si>
    <t>Kisértékű egyéb gép, berendezés - trambulin, játékok, tornaeszközök</t>
  </si>
  <si>
    <t>Redőnyök, szalagfüggöny</t>
  </si>
  <si>
    <t>Kisértékű informatikai eszköz - nyomtató</t>
  </si>
  <si>
    <t>Kisértékű egyéb gép, berendezés - bútorok, játékok, porszívó, szárítógép, függönyök</t>
  </si>
  <si>
    <t>Margaréta Óvoda</t>
  </si>
  <si>
    <t>Kisértékű informatikai eszközök - nyomtató</t>
  </si>
  <si>
    <t>Kisértékű egyéb gép, berendezés - bútorok, játékok, vízforraló, hangszóró</t>
  </si>
  <si>
    <t>Napsugár Óvoda</t>
  </si>
  <si>
    <t>Fémszerkezetes előtető, radiátor burkolatok</t>
  </si>
  <si>
    <t>Kerítés csere iskola felőli oldalon</t>
  </si>
  <si>
    <t>Kisértékű egyéb gép, berendezés - játékok</t>
  </si>
  <si>
    <t>Kisvonat</t>
  </si>
  <si>
    <t>Kisértékű egyéb gép, berendezés - bútorok, játékok, függönyök</t>
  </si>
  <si>
    <t>Kisértékű egyéb gép, berendezés - szárítógép, varrógép, játékok, diavetítő, szőnyeg</t>
  </si>
  <si>
    <t>Benczúr Gyula Utcai Óvoda</t>
  </si>
  <si>
    <t>Kisértékű egyéb gép, berendezés - bútorok,  műszaki cikkek, játékok</t>
  </si>
  <si>
    <t>Weöres Sándor Óvoda</t>
  </si>
  <si>
    <t>Kneipp-kert</t>
  </si>
  <si>
    <t>Hátsó gazdasági kapu</t>
  </si>
  <si>
    <t>Kisértékű egyéb gép, berendezés - bútorok, játékok, szőnyeg, függöny, szerszámok</t>
  </si>
  <si>
    <t xml:space="preserve">Beltéri acéltokos hanggátló ajtó </t>
  </si>
  <si>
    <t>Kültéri terasz fedése fa tartószerkezettel - Maros Óvoda</t>
  </si>
  <si>
    <t>Térburkolat és térburkolatos járda - Hétszínvirág Óvoda</t>
  </si>
  <si>
    <t>Babaház - Barátság, Pipitér Óvoda</t>
  </si>
  <si>
    <t>Napvitorla - Aréna, Barátság, Donászy Óvoda</t>
  </si>
  <si>
    <t>Mászóka, mászófal - Hétszínvirág, Margaréta, Vadvirág Óvoda</t>
  </si>
  <si>
    <t>Nyújtó pókháló - Napsugár Óvoda</t>
  </si>
  <si>
    <t>Kombinált egyensúlyozó pálya - Szivárvány, Vadvirág Óvoda</t>
  </si>
  <si>
    <t>Dani vár, hinta, mozgáskorlátozott homokozó - Weöres Sándor Óvoda</t>
  </si>
  <si>
    <t>Csőalagút, köteles lengőgerenda - Pipitér Óvoda</t>
  </si>
  <si>
    <t>Faház - Hétszínvirág, Napsugár Óvoda</t>
  </si>
  <si>
    <t>Táblás kerítés - Maros Óvoda</t>
  </si>
  <si>
    <t>Kültéri zuhanyzó - Margaréta Óvoda</t>
  </si>
  <si>
    <t>Dell powerEdge R230 szerver</t>
  </si>
  <si>
    <t>Dell Opltiplex 3060 SSF asztali gép + win10Pro - 16 db</t>
  </si>
  <si>
    <t>APC Smart - UPS szünetmentes</t>
  </si>
  <si>
    <t xml:space="preserve">Beléptető rendszer </t>
  </si>
  <si>
    <t>Utánfutó</t>
  </si>
  <si>
    <t>Midea Mono mennyezeti klíma</t>
  </si>
  <si>
    <t>Tolóajtós szekrény - Fő tér pénztár</t>
  </si>
  <si>
    <t xml:space="preserve">MS Office 2016 </t>
  </si>
  <si>
    <t>Notebook HP + win10 + táska + egér (óvodánként 2-2 db)</t>
  </si>
  <si>
    <t>Projektor Benq MX532 - Aréna, Donászy, Hétszínvirág, Margaréta, Mocorgó Óvoda</t>
  </si>
  <si>
    <t xml:space="preserve">Notebook HP + win10 Home - SNI gyógypedagógusoknak </t>
  </si>
  <si>
    <t>Dell Vostro 3578 notebook - 7 db</t>
  </si>
  <si>
    <t>Nyomtató</t>
  </si>
  <si>
    <t>Maxtor HDD 4TB külső winchester - 7 db</t>
  </si>
  <si>
    <t>Egyéb kis értékű informatikai eszközök - külső HDD, router, switch, powerbank</t>
  </si>
  <si>
    <t xml:space="preserve">Óvodák - Kültéri abakusz játék - 17 db </t>
  </si>
  <si>
    <t>Napvitorla - Hétszínvirág, Vadvirág Óvoda</t>
  </si>
  <si>
    <t>Udvari játékok: rugósjáték, láncos híd, polyball, mókuskerék - Hétszínvirág, Mocorgó, Pipitér, Weöres Óvoda</t>
  </si>
  <si>
    <t>Ivókút, udvari szemetes, kerékpártároló - Benczúr, Játéksziget, Napsugár, Margaréta, Maros, Pipitér, Vadvirág, Weöres Óvoda</t>
  </si>
  <si>
    <t>Óvodák - pad asztallal - 17 db</t>
  </si>
  <si>
    <t>Iskolai sporteszközök - 18 iskola</t>
  </si>
  <si>
    <t>SNI gyógypedagógusoknak fejlesztő eszközök, egyéb eszközök</t>
  </si>
  <si>
    <t>Napközis tábor eszközbeszerzés</t>
  </si>
  <si>
    <t>Hűtő és mikrohullámú sütő beszerzés - 17 óvoda</t>
  </si>
  <si>
    <t>Vetítővászon beszerzés óvodáknak - 10 db</t>
  </si>
  <si>
    <t>Egyéb kis értékű szerszámok, gépek, berendezések - sarokcsiszoló, fúrógép, gérvágó, postaláda, gyógyszerszekrény</t>
  </si>
  <si>
    <t xml:space="preserve">Összesen                                      </t>
  </si>
  <si>
    <t>Nem oktatási intézmények:</t>
  </si>
  <si>
    <t>Projektor, laptop beszerzése</t>
  </si>
  <si>
    <t>Savaria Filmszínház kamerarendszer kiépítése (NKA pályázat)</t>
  </si>
  <si>
    <t xml:space="preserve">Összecsukható bankett asztal vásárlása </t>
  </si>
  <si>
    <t>Mobiltelefonok beszerzése</t>
  </si>
  <si>
    <t>Fő téri játszótér eszközeinek beszerzése - Little Tikes játszóház, Seek &amp; Explore, üvegáz, gyermekvár, kültéri sakk, kosárlabda készlet, fa homokozó</t>
  </si>
  <si>
    <t>USB berendezés, szünetmentes tápegység</t>
  </si>
  <si>
    <t>Marielyst ülőgarnitúra</t>
  </si>
  <si>
    <t>Kisértékű egyéb gép, berendezés - porszívó, irattároló polc, molnárkocsi</t>
  </si>
  <si>
    <t>Kameravezérlő egység</t>
  </si>
  <si>
    <t>Monitor LG 24M47VQ-P</t>
  </si>
  <si>
    <t>SONY vezeték nélküli hangszóró</t>
  </si>
  <si>
    <t>Konvektor + kandalló</t>
  </si>
  <si>
    <t>Office 2016 Business csomag</t>
  </si>
  <si>
    <t>Win10Pro, win7Pro licenc</t>
  </si>
  <si>
    <t>Szervergép, szünetmentes tápegység</t>
  </si>
  <si>
    <t>Brácsatok 5 db</t>
  </si>
  <si>
    <t>Hegedűtok 17 db</t>
  </si>
  <si>
    <t xml:space="preserve">Trombitatok </t>
  </si>
  <si>
    <t>Csellótok 5 db</t>
  </si>
  <si>
    <t>Nagybőgő 1 db</t>
  </si>
  <si>
    <t>Tenorharsona</t>
  </si>
  <si>
    <t>Fuvola</t>
  </si>
  <si>
    <t>Oboa</t>
  </si>
  <si>
    <t>Nádfaragógép oboához</t>
  </si>
  <si>
    <t>Öthúros bőgő</t>
  </si>
  <si>
    <t xml:space="preserve">Csörgő karika </t>
  </si>
  <si>
    <t>Iktatóprogram - DMSOne Compact licenc</t>
  </si>
  <si>
    <t>Adobe Indesign licenc</t>
  </si>
  <si>
    <t>Dell notebook + win10, office 2016, egér, táska - 35 db</t>
  </si>
  <si>
    <t>Fujitsu számítógép 2 db + win10</t>
  </si>
  <si>
    <t xml:space="preserve">Számítógép 4 db </t>
  </si>
  <si>
    <t xml:space="preserve">Monitor 5 db </t>
  </si>
  <si>
    <t>Meseasztal - Rum</t>
  </si>
  <si>
    <t>Dohányzóasztral 2 db - Jáki u. fiókkönyvtár</t>
  </si>
  <si>
    <t>Automata kévégép - BDK ebédlő</t>
  </si>
  <si>
    <t>Szék 7 db - Torony</t>
  </si>
  <si>
    <t>Kisértékű egyéb gép, berendezés - laminálógép, mikrofonállvány, szállítókocsi</t>
  </si>
  <si>
    <t xml:space="preserve">"Árnyék" című alkotás </t>
  </si>
  <si>
    <t xml:space="preserve">"Vitéz kalóz" című alkotás </t>
  </si>
  <si>
    <t xml:space="preserve">"Merülünk" című alkotás </t>
  </si>
  <si>
    <t xml:space="preserve">"A kő" című alkotás </t>
  </si>
  <si>
    <t>SW MS OEM Office 2016 Home and Business szoftver</t>
  </si>
  <si>
    <t>Lenovo notebook V310-15IKB + win10Pro, Office - 3 db</t>
  </si>
  <si>
    <t xml:space="preserve">Monitor, router </t>
  </si>
  <si>
    <t>NAS Synology DS918 hálózati tároló</t>
  </si>
  <si>
    <t>HDD SATA WD merevlemez - 5 db</t>
  </si>
  <si>
    <t>"Lebegés 2005" című alkotás</t>
  </si>
  <si>
    <t>"Aranyfal" című alkotás</t>
  </si>
  <si>
    <t>Motorkerékpár emelő</t>
  </si>
  <si>
    <t>Levegőtisztító készülék - 3 db</t>
  </si>
  <si>
    <t>Epson Expression 12000x1 Pro film- és grafikaszkenner</t>
  </si>
  <si>
    <t>Epson Perfection V550 Photo film- és fotószkenner</t>
  </si>
  <si>
    <t xml:space="preserve">Projektor </t>
  </si>
  <si>
    <t>Tárgyasztal Manfrotto</t>
  </si>
  <si>
    <t>Artec EVA3D szkenner</t>
  </si>
  <si>
    <t>Nissan Navara tehergépkocsi - 2 db</t>
  </si>
  <si>
    <t>Pénztárgép - 3 db</t>
  </si>
  <si>
    <t>Raklapemelő Bernardo PHW 2,5 P</t>
  </si>
  <si>
    <t>Optikai szintezőműszer csomag LEICA NA532</t>
  </si>
  <si>
    <t>Digitális páratartalom- és hőmérő adatgyűjtő - 2 db</t>
  </si>
  <si>
    <t>Mobiltelefonok beszerzése - 6 db</t>
  </si>
  <si>
    <t>Turmixgép</t>
  </si>
  <si>
    <t>Szerszámkocsi</t>
  </si>
  <si>
    <t>Hőlégfúvó, akkus fúró-csavarozó, sarokcsiszoló, körfűrész</t>
  </si>
  <si>
    <t>Bosch PLL 360 EEU távolságmérő-szintező, tűzőgép Bostich SB-2in1</t>
  </si>
  <si>
    <t>Optikai tanulópad, kézi spektroszkóp, Kopernikusz planetárium</t>
  </si>
  <si>
    <t>Emelő kézi láncos 0,5 to 3 m Delta Green, futómacska - 2-2 db</t>
  </si>
  <si>
    <t>Íróasztal, vitrines szekrény</t>
  </si>
  <si>
    <t>RCA-XLR átalakító és sztereó RCA-Jack</t>
  </si>
  <si>
    <t>Hótolótalp, hólánc, sószóró tartozék Snapper fűnyíró traktorhoz</t>
  </si>
  <si>
    <t>Kisértékű egyéb gép, berendezés - üveglencsék, tükrök, blendék, létra, papírvágógép, ipari porszívó, fűnyíró</t>
  </si>
  <si>
    <t>Kulturális intézmények összesen</t>
  </si>
  <si>
    <t>Szociális ellátottak központi nyilvántartása - új szoftver vásárlása, bővítés</t>
  </si>
  <si>
    <t>Fénymásoló vásárlása - 3 db</t>
  </si>
  <si>
    <t xml:space="preserve">Nyomtató vásárlása - 2 db </t>
  </si>
  <si>
    <t xml:space="preserve">Laptop vásárlása óvodai-iskolai szociális segítő munkatársak részére - 19 db </t>
  </si>
  <si>
    <t xml:space="preserve">Szünetmentes tápegység vásárlása </t>
  </si>
  <si>
    <t xml:space="preserve">MS-Office 2016 program vásárlása - 2 db </t>
  </si>
  <si>
    <t xml:space="preserve">Mobiltelefonok, hordozható telefonok vásárlása - 14 db </t>
  </si>
  <si>
    <t>Beépített szekrények Kodály Z. utcai szakmai egység részére</t>
  </si>
  <si>
    <t>Klímaberendezés központ részére</t>
  </si>
  <si>
    <t xml:space="preserve">Ford C-Max típusú személygépkocsi vásárlása óvodai-iskolai szociális segítő munkatársak részére </t>
  </si>
  <si>
    <t>Tolatóradar vásárlása Renault Trafic személygépkocsihoz</t>
  </si>
  <si>
    <t>Iratmegsemmisítő - 9 db</t>
  </si>
  <si>
    <t xml:space="preserve">Segélyhívó készülékek - 160 db </t>
  </si>
  <si>
    <t>Asztal - 44 db</t>
  </si>
  <si>
    <t>Szekrény, fiókos konténer - 46 db</t>
  </si>
  <si>
    <t>Szekrény acél - 10 db</t>
  </si>
  <si>
    <t>Szőnyeg - 19 db</t>
  </si>
  <si>
    <t>Szék - 35 db</t>
  </si>
  <si>
    <t>Függöny - 15 db</t>
  </si>
  <si>
    <t>Mosogatógép</t>
  </si>
  <si>
    <t>Mosogép</t>
  </si>
  <si>
    <t>Tűzhely kerámia</t>
  </si>
  <si>
    <t xml:space="preserve">Kisértékű egyéb gép, berendezés - ventilátor, porszívó, kávéfőző, mikrohullámú sütő, napernyő, falifogas, </t>
  </si>
  <si>
    <t>Szombathelyi Egészségügyi és Kulturális Intézmények</t>
  </si>
  <si>
    <t>GESZ elhasználódott informatikai eszközeinek pótlása</t>
  </si>
  <si>
    <t>Gazdasági Ellátó Szervezete</t>
  </si>
  <si>
    <t>Védőnői szolgálat szakmai minimum feltételeinek biztosítása</t>
  </si>
  <si>
    <t>Védőnői szolgálat számítástechnikai eszközök cseréje</t>
  </si>
  <si>
    <t>Humán Civil Ház elhasználódott eszközeinek pótlása</t>
  </si>
  <si>
    <t>GESZ gépjármű pótlása</t>
  </si>
  <si>
    <t>Egészségfejlesztési Iroda kialakítása, működtetési eszközei</t>
  </si>
  <si>
    <t>Betegirányító szolgálat telefonközpont kialakítása</t>
  </si>
  <si>
    <t>Drogprevenciós programhoz szükséges eszközök biztosítása</t>
  </si>
  <si>
    <t>Gazdasági Hivatal</t>
  </si>
  <si>
    <t>Horganyzott polcos állvány</t>
  </si>
  <si>
    <t>Mobiltelefon vásárlása</t>
  </si>
  <si>
    <t>Irodai szék beszerzése</t>
  </si>
  <si>
    <t>Konyha, mosoda</t>
  </si>
  <si>
    <t>Konyhai eszközök beszerzése - ételszállító badella 12 db</t>
  </si>
  <si>
    <t>Bosch aprító, Philips turmixgép</t>
  </si>
  <si>
    <t>Zanussi hűtőszekrény 2 db</t>
  </si>
  <si>
    <t>Irattartó polc beszerzése</t>
  </si>
  <si>
    <t>FORD Tranzit tehergépkocsi vásárlása ételszállításra</t>
  </si>
  <si>
    <t>Karbantartási Csoport</t>
  </si>
  <si>
    <t>Makita fúró- és csavarbehajtó, Metabo gérvágó</t>
  </si>
  <si>
    <t>Napraforgó Bölcsőde</t>
  </si>
  <si>
    <t>Alumíniumredőny beszerzése</t>
  </si>
  <si>
    <t>Hernyómászóka beszerzése</t>
  </si>
  <si>
    <t>Nilfisk padlótisztító automata beszerzése</t>
  </si>
  <si>
    <t>Telefon, mobiltelefon beszerzése</t>
  </si>
  <si>
    <t>Bútor készítése</t>
  </si>
  <si>
    <t>Panasonic HIFI torony beszerzése</t>
  </si>
  <si>
    <t>Lépcsős pelenkázó beszerzése - 2 db</t>
  </si>
  <si>
    <t>Polc beszerzése - 2 db</t>
  </si>
  <si>
    <t>Bokréta Bölcsőde</t>
  </si>
  <si>
    <t>Tolókapu építése</t>
  </si>
  <si>
    <t>Wifi rendszer beszerzése, kiépítése</t>
  </si>
  <si>
    <t>Homokozó beszerzése</t>
  </si>
  <si>
    <t>Konyhabútor készítése</t>
  </si>
  <si>
    <t>Panasonic telefon beszerzése</t>
  </si>
  <si>
    <t>Fotel, dohányzó asztal beszerzése</t>
  </si>
  <si>
    <t>Meseház Bölcsőde</t>
  </si>
  <si>
    <t>Vezeték nélküli telefon beszerzése</t>
  </si>
  <si>
    <t>Komód beszerzése - 6 db</t>
  </si>
  <si>
    <t>Százszorszép Bölcsőde</t>
  </si>
  <si>
    <t>Brother DCP-L2712DW lézernyomtató vásárlása</t>
  </si>
  <si>
    <t>Rowenta porszívó beszerzése</t>
  </si>
  <si>
    <t>Polcrendszer beszerzése</t>
  </si>
  <si>
    <t>Makita fűnyíró beszerzése</t>
  </si>
  <si>
    <t>Kerékpártároló beszerzése</t>
  </si>
  <si>
    <t>Komód beszerzése - 4 db</t>
  </si>
  <si>
    <t>Varrógép beszerzése</t>
  </si>
  <si>
    <t>Kisgőzös és béka alagút beszerzése</t>
  </si>
  <si>
    <t>Kuckó Bölcsőde</t>
  </si>
  <si>
    <t>Panasonic vezeték nélküli telefon beszerzése</t>
  </si>
  <si>
    <t>Gondozónői asztal beszerzése</t>
  </si>
  <si>
    <t>CD lejátszó beszerzése - 2 db</t>
  </si>
  <si>
    <t>Csicsergő Bölcsőde</t>
  </si>
  <si>
    <t>770 literes műanyag hulladékgyűjtő beszerzése</t>
  </si>
  <si>
    <t>Csodaország Bölcsőde</t>
  </si>
  <si>
    <t xml:space="preserve">Egyéb intézmények </t>
  </si>
  <si>
    <t>Notebook Lenovo Idepad 520s</t>
  </si>
  <si>
    <t>HP nyomtató</t>
  </si>
  <si>
    <t>Billentyűzet, vezeték nélküli egér, monitor</t>
  </si>
  <si>
    <t>MS Office 2016 Home&amp;business beszerzés</t>
  </si>
  <si>
    <t>Vezetőüléses padlótisztító VIPER AS710 R</t>
  </si>
  <si>
    <t>Felmosókocsi, kézi seprőgép</t>
  </si>
  <si>
    <t>Szerszámkészlet,sarokcsiszoló, hegesztő berendezés, védőpajzs</t>
  </si>
  <si>
    <t>Eminent kamera + memóriakártya - 2 db</t>
  </si>
  <si>
    <t>Porszívó</t>
  </si>
  <si>
    <t>Szombathely Megyei Jogú Város Polgármesteri Hivatala</t>
  </si>
  <si>
    <t>Hivatal működéséhez eszközbeszerzések</t>
  </si>
  <si>
    <t>Hivatali irodákba bútorbeszerzések</t>
  </si>
  <si>
    <t>Városháza fogadóudvar felújítása</t>
  </si>
  <si>
    <t>Multifunkciós eszközök beszerzése</t>
  </si>
  <si>
    <t>Informatikai eszközbeszerzések</t>
  </si>
  <si>
    <t>Zajmérő készülék beszerzése</t>
  </si>
  <si>
    <t>Plotter beszerzése</t>
  </si>
  <si>
    <t>Katasztrófavédelemnek sátor beszerzése</t>
  </si>
  <si>
    <t>Gazdasági bejárat ajtószerkezet</t>
  </si>
  <si>
    <t>Közterület Felügyelet</t>
  </si>
  <si>
    <t>Nyomtató - 3 db</t>
  </si>
  <si>
    <t>Számítógép, monitor - 2 db</t>
  </si>
  <si>
    <t>Félautomata defibrillátor</t>
  </si>
  <si>
    <t>Headset - 6 db</t>
  </si>
  <si>
    <t>Mobiltelefon - 6 db</t>
  </si>
  <si>
    <t xml:space="preserve">Nyári, téli gumiabroncs </t>
  </si>
  <si>
    <t>Thermo hűtőrekesz</t>
  </si>
  <si>
    <t>Vadkamera - 2 db</t>
  </si>
  <si>
    <t>Lézeres infravető - 2 db</t>
  </si>
  <si>
    <t>Létra</t>
  </si>
  <si>
    <t>GPS készülék - 2 db</t>
  </si>
  <si>
    <t>Íróasztal, öltözőszekrény</t>
  </si>
  <si>
    <t>Mágnestalpas LED lámpa</t>
  </si>
  <si>
    <t>Mezőőri szolgálat</t>
  </si>
  <si>
    <t>Hőkamera - 2 db</t>
  </si>
  <si>
    <t>Állategészségügyi- és Ebrendészeti Szolgálat</t>
  </si>
  <si>
    <t>Infrapanel és termosztát</t>
  </si>
  <si>
    <t>Elektromos nyakörv - 3 db</t>
  </si>
  <si>
    <t>Permetező, műanyag láda, szivattyú</t>
  </si>
  <si>
    <t>Villanypásztor és tartozékok</t>
  </si>
  <si>
    <t xml:space="preserve">Klímaberendezés </t>
  </si>
  <si>
    <t>Egyéb intézmények összesen</t>
  </si>
  <si>
    <t>2018.évi felújítási kiadások felújításonként</t>
  </si>
  <si>
    <t>Cél</t>
  </si>
  <si>
    <t>Emelet előtér burkolás, festés</t>
  </si>
  <si>
    <t>Földszinti és emeleti folyosók, lépcső burkolás</t>
  </si>
  <si>
    <t>Redőnyök</t>
  </si>
  <si>
    <t>Belső burkolat "régi épület"</t>
  </si>
  <si>
    <t>Földszint 1. iroda felújítás</t>
  </si>
  <si>
    <t>Hidegburkolat emeleti bejárat, folyosó, gyereköltöző</t>
  </si>
  <si>
    <t>Telekelválasztó kerítés</t>
  </si>
  <si>
    <t>Utcafronti kerítés</t>
  </si>
  <si>
    <t>Fűtési alapvezeték cseréje</t>
  </si>
  <si>
    <t>Parkettázás 2 csoport</t>
  </si>
  <si>
    <t>Kerékpártároló felújítás</t>
  </si>
  <si>
    <t>Gépészeti felújítás</t>
  </si>
  <si>
    <t>Bejárati lépcső burkolás, támfal felújítás</t>
  </si>
  <si>
    <t>Csoportszobák parkettázása</t>
  </si>
  <si>
    <t>Kerítés csere északi oldal</t>
  </si>
  <si>
    <t>Hétszínvirág Óvoda - udvari lépcső felújítás</t>
  </si>
  <si>
    <t>Kőrösi Óvoda - tetőszigetelés</t>
  </si>
  <si>
    <t>Vadvirág Óvoda - műszaki ellenőrzés</t>
  </si>
  <si>
    <t>Vadvirág Óvoda - bővítés, felújítás</t>
  </si>
  <si>
    <t>Vadvirág Óvoda - bejárati rész felújítás</t>
  </si>
  <si>
    <t>Paragvári utcai Általános Iskola - konyha tetőszigetelés</t>
  </si>
  <si>
    <t>Váci Mihály Általános Iskola - konyha tetőszigetelés</t>
  </si>
  <si>
    <t>Savaria SZKI - konyha tetőszigetelés</t>
  </si>
  <si>
    <t>Köznevelési GAMESZ - 4 db beltéri ajtó</t>
  </si>
  <si>
    <t>Weöres Sándor Óvoda - riasztórendszer</t>
  </si>
  <si>
    <t>Mesevár Óvoda - esővíz elvezető kiépítése</t>
  </si>
  <si>
    <t>Derkovits Gyula Általános Iskola - távolugró pálya</t>
  </si>
  <si>
    <t>Benczúr Óvoda - kerítés felújítás</t>
  </si>
  <si>
    <t>Oladi Általános Iskola - görhoki pálya palánk felújítás</t>
  </si>
  <si>
    <t>Klímaberendezés telepítése MSH</t>
  </si>
  <si>
    <t>Levegőelszívó berendezés kiépítése - Savaria Filmszínház</t>
  </si>
  <si>
    <t>Szerver felújítása - NKA pályázat</t>
  </si>
  <si>
    <t>Gondozóház - fürdő felújítás</t>
  </si>
  <si>
    <t>Gondozóház - ipari mosógép felújítás</t>
  </si>
  <si>
    <t>Gondozóház - mosogatóhelyiség leválasztása, belső átalakítás</t>
  </si>
  <si>
    <t>Kodály Z. utcai szakmai egység épületében végzett felújításhoz kapcsolódó pótmunkálatok</t>
  </si>
  <si>
    <t>Barátság u. Idősek klubjában végzett felújításhoz kapcsolódó pótmunkálatok</t>
  </si>
  <si>
    <t>Egézségügyi intézmény</t>
  </si>
  <si>
    <t>Szombathelyi Egészségügyi és Kulturális Intézmények Gazdasági Ellátó Szervezete</t>
  </si>
  <si>
    <t>Betegirányító helyiség kialakítása - Szent Márton u. felnőtt háziorvosi rendelő</t>
  </si>
  <si>
    <t>Csapadékvízelvezetés kiépítése, eresz alatti lambéria cseréje - Váci M. u. háziorvosi rendelő</t>
  </si>
  <si>
    <t>Váci u. rendelő tetőfelújítás</t>
  </si>
  <si>
    <t>Egészségfejlesztési Iroda felújítási munkái</t>
  </si>
  <si>
    <t>Esővédő előtető készítése - Bem J. u. 9/B főbejárat, személyzeti bejáró</t>
  </si>
  <si>
    <t>Jáki úti rendelő ingatlan felújítás</t>
  </si>
  <si>
    <t>Nádasdy F. u. 4. sz. épület akadálymentesítés megvalósítása</t>
  </si>
  <si>
    <t>Szalagfüggöny szerelés Nádasdy F. u. 4. sz.</t>
  </si>
  <si>
    <t>Háziorvosi szerverek felújítása</t>
  </si>
  <si>
    <t>Szombathelyi Egyesített Bölcsödei Intézmény</t>
  </si>
  <si>
    <t>Bokréta Bölcsőde - külső-, belső terasz felújítása; napellenzők elhelyezése; nyílászárók cseréje</t>
  </si>
  <si>
    <t>Százszorszép Bölcsőde - falburkolat készítése; előtető átalakítása; mozgássérült rámpa átalakítása</t>
  </si>
  <si>
    <t>Új energetikai projek projekttervének elkészítése: Szhelyi Szolgáltatási Szakképzési Centrum Oladi Szakgimn.és Szakközépisk. - TOP-6.5.1-16-SH1-2018-00002</t>
  </si>
  <si>
    <t>Új energetikai projekt projekttervének elkészítése: Pipitér Óvoda és Maros Óvoda - TOP-6.5.1-16-SH1-2018-00001</t>
  </si>
  <si>
    <t>Ell:</t>
  </si>
  <si>
    <t>Szombathely Megyei Jogú Város Önkormányzata Intézményei</t>
  </si>
  <si>
    <t xml:space="preserve">       A " Lakásalap" 1994-2018. közötti bevételeiről és kiadásairól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</si>
</sst>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213" x14ac:knownFonts="1">
    <font>
      <sz val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8"/>
      <name val="Times New Roman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color indexed="10"/>
      <name val="Arial CE"/>
      <family val="2"/>
      <charset val="238"/>
    </font>
    <font>
      <sz val="12"/>
      <name val="Arial"/>
      <family val="2"/>
    </font>
    <font>
      <sz val="12"/>
      <name val="Arial CE"/>
      <charset val="238"/>
    </font>
    <font>
      <b/>
      <sz val="10"/>
      <name val="Arial CE"/>
      <family val="2"/>
      <charset val="238"/>
    </font>
    <font>
      <b/>
      <sz val="12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4"/>
      <color indexed="10"/>
      <name val="Arial CE"/>
      <family val="2"/>
      <charset val="238"/>
    </font>
    <font>
      <sz val="12"/>
      <name val="Arial"/>
      <family val="2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b/>
      <i/>
      <sz val="12"/>
      <name val="Arial CE"/>
      <charset val="238"/>
    </font>
    <font>
      <sz val="14"/>
      <name val="Times New Roman CE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sz val="12"/>
      <color indexed="20"/>
      <name val="garamond"/>
      <family val="2"/>
      <charset val="238"/>
    </font>
    <font>
      <b/>
      <sz val="12"/>
      <color indexed="52"/>
      <name val="garamond"/>
      <family val="2"/>
      <charset val="238"/>
    </font>
    <font>
      <b/>
      <sz val="12"/>
      <color indexed="9"/>
      <name val="garamond"/>
      <family val="2"/>
      <charset val="238"/>
    </font>
    <font>
      <i/>
      <sz val="12"/>
      <color indexed="23"/>
      <name val="garamond"/>
      <family val="2"/>
      <charset val="238"/>
    </font>
    <font>
      <sz val="12"/>
      <color indexed="17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sz val="12"/>
      <color indexed="60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b/>
      <i/>
      <sz val="12"/>
      <name val="Arial"/>
      <family val="2"/>
      <charset val="238"/>
    </font>
    <font>
      <b/>
      <i/>
      <sz val="14"/>
      <name val="Arial CE"/>
      <charset val="238"/>
    </font>
    <font>
      <b/>
      <sz val="16"/>
      <name val="Arial CE"/>
      <family val="2"/>
      <charset val="238"/>
    </font>
    <font>
      <b/>
      <sz val="14"/>
      <color indexed="10"/>
      <name val="Arial CE"/>
      <family val="2"/>
      <charset val="238"/>
    </font>
    <font>
      <sz val="14"/>
      <name val="Arial CE"/>
      <charset val="238"/>
    </font>
    <font>
      <b/>
      <i/>
      <sz val="14"/>
      <name val="Arial CE"/>
      <family val="2"/>
      <charset val="238"/>
    </font>
    <font>
      <sz val="16"/>
      <name val="Arial CE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6"/>
      <color indexed="10"/>
      <name val="Arial CE"/>
      <family val="2"/>
      <charset val="238"/>
    </font>
    <font>
      <u/>
      <sz val="14"/>
      <name val="Arial CE"/>
      <family val="2"/>
      <charset val="238"/>
    </font>
    <font>
      <i/>
      <sz val="12"/>
      <name val="Arial CE"/>
      <family val="2"/>
      <charset val="238"/>
    </font>
    <font>
      <sz val="11"/>
      <color indexed="8"/>
      <name val="Calibri"/>
      <family val="2"/>
    </font>
    <font>
      <sz val="15"/>
      <name val="Arial CE"/>
      <family val="2"/>
      <charset val="238"/>
    </font>
    <font>
      <b/>
      <sz val="15"/>
      <name val="Arial CE"/>
      <family val="2"/>
      <charset val="238"/>
    </font>
    <font>
      <sz val="8"/>
      <name val="Times New Roman CE"/>
      <charset val="238"/>
    </font>
    <font>
      <i/>
      <sz val="12"/>
      <name val="Arial"/>
      <family val="2"/>
      <charset val="238"/>
    </font>
    <font>
      <b/>
      <i/>
      <sz val="16"/>
      <name val="Arial CE"/>
      <charset val="238"/>
    </font>
    <font>
      <sz val="16"/>
      <name val="Times New Roman CE"/>
      <charset val="238"/>
    </font>
    <font>
      <b/>
      <sz val="16"/>
      <name val="Arial CE"/>
      <charset val="238"/>
    </font>
    <font>
      <b/>
      <sz val="18"/>
      <name val="Arial CE"/>
      <family val="2"/>
      <charset val="238"/>
    </font>
    <font>
      <sz val="14"/>
      <name val="Arial"/>
      <family val="2"/>
    </font>
    <font>
      <b/>
      <sz val="20"/>
      <name val="Arial CE"/>
      <family val="2"/>
      <charset val="238"/>
    </font>
    <font>
      <i/>
      <sz val="16"/>
      <name val="Arial CE"/>
      <charset val="238"/>
    </font>
    <font>
      <sz val="16"/>
      <name val="Arial CE"/>
      <charset val="238"/>
    </font>
    <font>
      <b/>
      <i/>
      <sz val="16"/>
      <name val="Arial CE"/>
      <family val="2"/>
      <charset val="238"/>
    </font>
    <font>
      <b/>
      <sz val="17"/>
      <name val="Arial CE"/>
      <family val="2"/>
      <charset val="238"/>
    </font>
    <font>
      <sz val="17"/>
      <name val="Arial CE"/>
      <family val="2"/>
      <charset val="238"/>
    </font>
    <font>
      <i/>
      <u/>
      <sz val="17"/>
      <name val="Arial CE"/>
      <family val="2"/>
      <charset val="238"/>
    </font>
    <font>
      <b/>
      <i/>
      <sz val="17"/>
      <name val="Arial CE"/>
      <family val="2"/>
      <charset val="238"/>
    </font>
    <font>
      <b/>
      <sz val="16"/>
      <name val="Times New Roman CE"/>
      <charset val="238"/>
    </font>
    <font>
      <b/>
      <sz val="17"/>
      <name val="Arial CE"/>
      <charset val="238"/>
    </font>
    <font>
      <u/>
      <sz val="12"/>
      <name val="Arial CE"/>
      <family val="2"/>
      <charset val="238"/>
    </font>
    <font>
      <sz val="14"/>
      <color theme="3"/>
      <name val="Arial CE"/>
      <family val="2"/>
      <charset val="238"/>
    </font>
    <font>
      <sz val="14"/>
      <color rgb="FFFF0000"/>
      <name val="Arial CE"/>
      <charset val="238"/>
    </font>
    <font>
      <sz val="12"/>
      <color rgb="FFFF0000"/>
      <name val="Arial CE"/>
      <charset val="238"/>
    </font>
    <font>
      <sz val="14"/>
      <color rgb="FFFF0000"/>
      <name val="Arial CE"/>
      <family val="2"/>
      <charset val="238"/>
    </font>
    <font>
      <sz val="14"/>
      <color theme="1"/>
      <name val="Arial CE"/>
      <family val="2"/>
      <charset val="238"/>
    </font>
    <font>
      <sz val="12"/>
      <color theme="1"/>
      <name val="Arial CE"/>
      <family val="2"/>
      <charset val="238"/>
    </font>
    <font>
      <sz val="14"/>
      <color theme="1"/>
      <name val="Arial CE"/>
      <charset val="238"/>
    </font>
    <font>
      <sz val="12"/>
      <color theme="1"/>
      <name val="Arial CE"/>
      <charset val="238"/>
    </font>
    <font>
      <b/>
      <sz val="13"/>
      <name val="Arial CE"/>
      <charset val="238"/>
    </font>
    <font>
      <b/>
      <i/>
      <u/>
      <sz val="14"/>
      <color rgb="FFFF0000"/>
      <name val="Arial CE"/>
      <charset val="238"/>
    </font>
    <font>
      <sz val="16"/>
      <color rgb="FFFF0000"/>
      <name val="Arial CE"/>
      <charset val="238"/>
    </font>
    <font>
      <u/>
      <sz val="14"/>
      <name val="Arial CE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8"/>
      <name val="Arial CE"/>
      <family val="2"/>
      <charset val="238"/>
    </font>
    <font>
      <b/>
      <sz val="12"/>
      <color indexed="10"/>
      <name val="Arial CE"/>
      <charset val="238"/>
    </font>
    <font>
      <sz val="18"/>
      <color theme="1"/>
      <name val="Arial CE"/>
      <charset val="238"/>
    </font>
    <font>
      <b/>
      <sz val="14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u/>
      <sz val="11"/>
      <name val="Arial CE"/>
      <family val="2"/>
      <charset val="238"/>
    </font>
    <font>
      <b/>
      <i/>
      <sz val="11"/>
      <name val="Arial CE"/>
      <charset val="238"/>
    </font>
    <font>
      <b/>
      <sz val="11"/>
      <color indexed="10"/>
      <name val="Arial CE"/>
      <family val="2"/>
      <charset val="238"/>
    </font>
    <font>
      <b/>
      <i/>
      <u/>
      <sz val="12"/>
      <name val="Arial CE"/>
      <family val="2"/>
      <charset val="238"/>
    </font>
    <font>
      <b/>
      <i/>
      <u/>
      <sz val="12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 CE"/>
      <charset val="238"/>
    </font>
    <font>
      <sz val="12"/>
      <color rgb="FFFF0000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Times New Roman CE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</font>
    <font>
      <b/>
      <i/>
      <sz val="11"/>
      <name val="Arial CE"/>
      <family val="2"/>
      <charset val="238"/>
    </font>
    <font>
      <sz val="12"/>
      <color indexed="10"/>
      <name val="Times New Roman CE"/>
      <charset val="238"/>
    </font>
    <font>
      <sz val="14"/>
      <color indexed="10"/>
      <name val="Arial"/>
      <family val="2"/>
    </font>
    <font>
      <b/>
      <sz val="16"/>
      <name val="Arial"/>
      <family val="2"/>
    </font>
    <font>
      <b/>
      <sz val="14"/>
      <color indexed="10"/>
      <name val="Arial"/>
      <family val="2"/>
    </font>
    <font>
      <sz val="12"/>
      <color indexed="10"/>
      <name val="Arial"/>
      <family val="2"/>
    </font>
    <font>
      <b/>
      <i/>
      <sz val="14"/>
      <name val="Arial"/>
      <family val="2"/>
    </font>
    <font>
      <i/>
      <sz val="12"/>
      <name val="Arial"/>
      <family val="2"/>
    </font>
    <font>
      <sz val="8"/>
      <color theme="1"/>
      <name val="Times New Roman CE"/>
      <charset val="238"/>
    </font>
    <font>
      <b/>
      <u/>
      <sz val="11"/>
      <name val="Arial CE"/>
      <family val="2"/>
      <charset val="238"/>
    </font>
    <font>
      <b/>
      <sz val="11"/>
      <name val="Arial CE"/>
      <charset val="238"/>
    </font>
    <font>
      <sz val="8"/>
      <name val="Arial CE"/>
      <family val="2"/>
      <charset val="238"/>
    </font>
    <font>
      <sz val="11"/>
      <color indexed="10"/>
      <name val="Arial CE"/>
      <family val="2"/>
      <charset val="238"/>
    </font>
    <font>
      <b/>
      <sz val="18"/>
      <color rgb="FFFF0000"/>
      <name val="Arial"/>
      <family val="2"/>
      <charset val="238"/>
    </font>
    <font>
      <b/>
      <i/>
      <sz val="16"/>
      <name val="Arial"/>
      <family val="2"/>
      <charset val="238"/>
    </font>
    <font>
      <sz val="14"/>
      <color theme="3"/>
      <name val="Arial"/>
      <family val="2"/>
      <charset val="238"/>
    </font>
    <font>
      <sz val="12"/>
      <color rgb="FFFF0000"/>
      <name val="Arial CE"/>
      <family val="2"/>
      <charset val="238"/>
    </font>
    <font>
      <b/>
      <sz val="26"/>
      <name val="Arial CE"/>
      <family val="2"/>
      <charset val="238"/>
    </font>
    <font>
      <sz val="26"/>
      <name val="Times New Roman CE"/>
      <charset val="238"/>
    </font>
    <font>
      <b/>
      <sz val="28"/>
      <name val="Arial CE"/>
      <family val="2"/>
      <charset val="238"/>
    </font>
    <font>
      <b/>
      <sz val="26"/>
      <name val="Times New Roman CE"/>
      <charset val="238"/>
    </font>
    <font>
      <b/>
      <sz val="26"/>
      <color indexed="10"/>
      <name val="Arial CE"/>
      <family val="2"/>
      <charset val="238"/>
    </font>
    <font>
      <b/>
      <sz val="16"/>
      <color indexed="10"/>
      <name val="Arial CE"/>
      <family val="2"/>
      <charset val="238"/>
    </font>
    <font>
      <b/>
      <sz val="20"/>
      <color indexed="10"/>
      <name val="Arial CE"/>
      <family val="2"/>
      <charset val="238"/>
    </font>
    <font>
      <sz val="16"/>
      <color indexed="10"/>
      <name val="Times New Roman CE"/>
      <charset val="238"/>
    </font>
    <font>
      <b/>
      <sz val="28"/>
      <color indexed="10"/>
      <name val="Arial CE"/>
      <family val="2"/>
      <charset val="238"/>
    </font>
    <font>
      <b/>
      <sz val="22"/>
      <color indexed="10"/>
      <name val="Arial CE"/>
      <family val="2"/>
      <charset val="238"/>
    </font>
    <font>
      <b/>
      <sz val="22"/>
      <name val="Arial CE"/>
      <family val="2"/>
      <charset val="238"/>
    </font>
    <font>
      <b/>
      <sz val="24"/>
      <name val="Arial CE"/>
      <family val="2"/>
      <charset val="238"/>
    </font>
    <font>
      <b/>
      <sz val="30"/>
      <name val="Arial CE"/>
      <family val="2"/>
      <charset val="238"/>
    </font>
    <font>
      <b/>
      <u/>
      <sz val="30"/>
      <name val="Arial CE"/>
      <family val="2"/>
      <charset val="238"/>
    </font>
    <font>
      <sz val="8"/>
      <name val="Arial CE"/>
    </font>
    <font>
      <i/>
      <sz val="12"/>
      <name val="Arial CE"/>
      <charset val="238"/>
    </font>
    <font>
      <i/>
      <sz val="15"/>
      <name val="Arial CE"/>
      <family val="2"/>
      <charset val="238"/>
    </font>
    <font>
      <b/>
      <sz val="36"/>
      <name val="Arial CE"/>
      <charset val="238"/>
    </font>
    <font>
      <b/>
      <sz val="30"/>
      <name val="Arial CE"/>
      <charset val="238"/>
    </font>
    <font>
      <b/>
      <sz val="44"/>
      <name val="Arial CE"/>
      <charset val="238"/>
    </font>
    <font>
      <b/>
      <sz val="34"/>
      <name val="Arial CE"/>
      <charset val="238"/>
    </font>
    <font>
      <b/>
      <sz val="34"/>
      <color rgb="FFFF0000"/>
      <name val="Arial CE"/>
      <charset val="238"/>
    </font>
    <font>
      <b/>
      <i/>
      <sz val="36"/>
      <name val="Arial CE"/>
      <charset val="238"/>
    </font>
    <font>
      <b/>
      <sz val="30"/>
      <color indexed="10"/>
      <name val="Arial CE"/>
      <charset val="238"/>
    </font>
    <font>
      <b/>
      <sz val="36"/>
      <color indexed="10"/>
      <name val="Arial CE"/>
      <charset val="238"/>
    </font>
    <font>
      <b/>
      <sz val="36"/>
      <name val="Arial CE"/>
      <family val="2"/>
      <charset val="238"/>
    </font>
    <font>
      <sz val="36"/>
      <name val="Arial CE"/>
      <family val="2"/>
      <charset val="238"/>
    </font>
    <font>
      <b/>
      <sz val="28"/>
      <name val="Arial CE"/>
      <charset val="238"/>
    </font>
    <font>
      <b/>
      <i/>
      <sz val="30"/>
      <name val="Arial CE"/>
      <charset val="238"/>
    </font>
    <font>
      <b/>
      <sz val="20"/>
      <color indexed="10"/>
      <name val="Arial CE"/>
      <charset val="238"/>
    </font>
    <font>
      <b/>
      <sz val="20"/>
      <name val="Arial CE"/>
      <charset val="238"/>
    </font>
    <font>
      <sz val="20"/>
      <name val="Arial CE"/>
      <charset val="238"/>
    </font>
    <font>
      <b/>
      <sz val="36"/>
      <color theme="1"/>
      <name val="Arial CE"/>
      <charset val="238"/>
    </font>
    <font>
      <b/>
      <i/>
      <sz val="36"/>
      <color theme="1"/>
      <name val="Arial CE"/>
      <charset val="238"/>
    </font>
    <font>
      <b/>
      <sz val="30"/>
      <color theme="1"/>
      <name val="Arial CE"/>
      <charset val="238"/>
    </font>
    <font>
      <b/>
      <i/>
      <sz val="30"/>
      <color theme="1"/>
      <name val="Arial CE"/>
      <charset val="238"/>
    </font>
    <font>
      <sz val="16"/>
      <color theme="1"/>
      <name val="Arial CE"/>
      <charset val="238"/>
    </font>
    <font>
      <b/>
      <sz val="24"/>
      <color theme="1"/>
      <name val="Arial CE"/>
      <charset val="238"/>
    </font>
    <font>
      <sz val="10"/>
      <name val="Arial CE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20"/>
      <name val="Arial"/>
      <family val="2"/>
      <charset val="238"/>
    </font>
    <font>
      <b/>
      <sz val="16"/>
      <name val="Arial CE"/>
    </font>
    <font>
      <b/>
      <sz val="20"/>
      <name val="Times New Roman CE"/>
      <family val="1"/>
      <charset val="238"/>
    </font>
    <font>
      <b/>
      <u/>
      <sz val="18"/>
      <name val="Arial CE"/>
      <family val="2"/>
      <charset val="238"/>
    </font>
    <font>
      <sz val="18"/>
      <name val="Arial"/>
      <family val="2"/>
      <charset val="238"/>
    </font>
    <font>
      <b/>
      <sz val="10"/>
      <name val="Arial CE"/>
    </font>
    <font>
      <sz val="22"/>
      <name val="Times New Roman CE"/>
      <family val="1"/>
      <charset val="238"/>
    </font>
    <font>
      <sz val="22"/>
      <name val="Arial"/>
      <family val="2"/>
      <charset val="238"/>
    </font>
    <font>
      <b/>
      <sz val="22"/>
      <name val="Times New Roman CE"/>
      <family val="1"/>
      <charset val="238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20"/>
      <name val="Arial CE"/>
      <family val="2"/>
      <charset val="238"/>
    </font>
    <font>
      <sz val="20"/>
      <name val="Arial"/>
      <family val="2"/>
      <charset val="238"/>
    </font>
    <font>
      <b/>
      <i/>
      <sz val="20"/>
      <name val="Arial"/>
      <family val="2"/>
      <charset val="238"/>
    </font>
    <font>
      <sz val="20"/>
      <name val="Times New Roman CE"/>
      <charset val="238"/>
    </font>
    <font>
      <b/>
      <u/>
      <sz val="20"/>
      <name val="Arial"/>
      <family val="2"/>
      <charset val="238"/>
    </font>
    <font>
      <sz val="22"/>
      <name val="Arial CE"/>
      <family val="2"/>
      <charset val="238"/>
    </font>
    <font>
      <b/>
      <i/>
      <sz val="22"/>
      <name val="Arial"/>
      <family val="2"/>
      <charset val="238"/>
    </font>
    <font>
      <b/>
      <sz val="22"/>
      <name val="Arial"/>
      <family val="2"/>
      <charset val="238"/>
    </font>
    <font>
      <sz val="22"/>
      <name val="Times New Roman CE"/>
      <charset val="238"/>
    </font>
    <font>
      <b/>
      <u/>
      <sz val="22"/>
      <name val="Arial"/>
      <family val="2"/>
      <charset val="238"/>
    </font>
    <font>
      <b/>
      <u/>
      <sz val="20"/>
      <name val="Arial CE"/>
      <family val="2"/>
      <charset val="238"/>
    </font>
    <font>
      <sz val="20"/>
      <name val="Times New Roman CE"/>
      <family val="1"/>
      <charset val="238"/>
    </font>
    <font>
      <b/>
      <sz val="20"/>
      <name val="Times New Roman CE"/>
      <charset val="238"/>
    </font>
    <font>
      <sz val="20"/>
      <color rgb="FF000000"/>
      <name val="Calibri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11">
    <xf numFmtId="0" fontId="0" fillId="0" borderId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8" borderId="0" applyNumberFormat="0" applyBorder="0" applyAlignment="0" applyProtection="0"/>
    <xf numFmtId="0" fontId="39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16" borderId="0" applyNumberFormat="0" applyBorder="0" applyAlignment="0" applyProtection="0"/>
    <xf numFmtId="0" fontId="39" fillId="12" borderId="0" applyNumberFormat="0" applyBorder="0" applyAlignment="0" applyProtection="0"/>
    <xf numFmtId="0" fontId="39" fillId="4" borderId="0" applyNumberFormat="0" applyBorder="0" applyAlignment="0" applyProtection="0"/>
    <xf numFmtId="0" fontId="39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5" borderId="0" applyNumberFormat="0" applyBorder="0" applyAlignment="0" applyProtection="0"/>
    <xf numFmtId="0" fontId="40" fillId="19" borderId="0" applyNumberFormat="0" applyBorder="0" applyAlignment="0" applyProtection="0"/>
    <xf numFmtId="0" fontId="40" fillId="5" borderId="0" applyNumberFormat="0" applyBorder="0" applyAlignment="0" applyProtection="0"/>
    <xf numFmtId="0" fontId="40" fillId="16" borderId="0" applyNumberFormat="0" applyBorder="0" applyAlignment="0" applyProtection="0"/>
    <xf numFmtId="0" fontId="40" fillId="20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18" borderId="0" applyNumberFormat="0" applyBorder="0" applyAlignment="0" applyProtection="0"/>
    <xf numFmtId="0" fontId="40" fillId="23" borderId="0" applyNumberFormat="0" applyBorder="0" applyAlignment="0" applyProtection="0"/>
    <xf numFmtId="0" fontId="40" fillId="20" borderId="0" applyNumberFormat="0" applyBorder="0" applyAlignment="0" applyProtection="0"/>
    <xf numFmtId="0" fontId="40" fillId="17" borderId="0" applyNumberFormat="0" applyBorder="0" applyAlignment="0" applyProtection="0"/>
    <xf numFmtId="0" fontId="40" fillId="3" borderId="0" applyNumberFormat="0" applyBorder="0" applyAlignment="0" applyProtection="0"/>
    <xf numFmtId="0" fontId="41" fillId="10" borderId="0" applyNumberFormat="0" applyBorder="0" applyAlignment="0" applyProtection="0"/>
    <xf numFmtId="0" fontId="19" fillId="15" borderId="1" applyNumberFormat="0" applyAlignment="0" applyProtection="0"/>
    <xf numFmtId="0" fontId="42" fillId="24" borderId="1" applyNumberFormat="0" applyAlignment="0" applyProtection="0"/>
    <xf numFmtId="0" fontId="43" fillId="25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25" borderId="2" applyNumberFormat="0" applyAlignment="0" applyProtection="0"/>
    <xf numFmtId="0" fontId="4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5" fillId="11" borderId="0" applyNumberFormat="0" applyBorder="0" applyAlignment="0" applyProtection="0"/>
    <xf numFmtId="0" fontId="46" fillId="0" borderId="6" applyNumberFormat="0" applyFill="0" applyAlignment="0" applyProtection="0"/>
    <xf numFmtId="0" fontId="47" fillId="0" borderId="7" applyNumberFormat="0" applyFill="0" applyAlignment="0" applyProtection="0"/>
    <xf numFmtId="0" fontId="48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49" fillId="7" borderId="1" applyNumberFormat="0" applyAlignment="0" applyProtection="0"/>
    <xf numFmtId="0" fontId="2" fillId="6" borderId="10" applyNumberFormat="0" applyFont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6" fillId="8" borderId="0" applyNumberFormat="0" applyBorder="0" applyAlignment="0" applyProtection="0"/>
    <xf numFmtId="0" fontId="27" fillId="26" borderId="11" applyNumberFormat="0" applyAlignment="0" applyProtection="0"/>
    <xf numFmtId="0" fontId="50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51" fillId="15" borderId="0" applyNumberFormat="0" applyBorder="0" applyAlignment="0" applyProtection="0"/>
    <xf numFmtId="0" fontId="68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9" fillId="6" borderId="10" applyNumberFormat="0" applyFont="0" applyAlignment="0" applyProtection="0"/>
    <xf numFmtId="0" fontId="52" fillId="24" borderId="11" applyNumberFormat="0" applyAlignment="0" applyProtection="0"/>
    <xf numFmtId="0" fontId="29" fillId="0" borderId="13" applyNumberFormat="0" applyFill="0" applyAlignment="0" applyProtection="0"/>
    <xf numFmtId="0" fontId="30" fillId="12" borderId="0" applyNumberFormat="0" applyBorder="0" applyAlignment="0" applyProtection="0"/>
    <xf numFmtId="0" fontId="31" fillId="15" borderId="0" applyNumberFormat="0" applyBorder="0" applyAlignment="0" applyProtection="0"/>
    <xf numFmtId="0" fontId="32" fillId="26" borderId="1" applyNumberFormat="0" applyAlignment="0" applyProtection="0"/>
    <xf numFmtId="0" fontId="53" fillId="0" borderId="0" applyNumberFormat="0" applyFill="0" applyBorder="0" applyAlignment="0" applyProtection="0"/>
    <xf numFmtId="0" fontId="54" fillId="0" borderId="14" applyNumberFormat="0" applyFill="0" applyAlignment="0" applyProtection="0"/>
    <xf numFmtId="0" fontId="55" fillId="0" borderId="0" applyNumberFormat="0" applyFill="0" applyBorder="0" applyAlignment="0" applyProtection="0"/>
    <xf numFmtId="0" fontId="2" fillId="0" borderId="0"/>
    <xf numFmtId="0" fontId="101" fillId="0" borderId="0"/>
    <xf numFmtId="0" fontId="9" fillId="0" borderId="0"/>
    <xf numFmtId="0" fontId="3" fillId="0" borderId="0"/>
    <xf numFmtId="0" fontId="3" fillId="0" borderId="0"/>
    <xf numFmtId="0" fontId="119" fillId="0" borderId="0"/>
    <xf numFmtId="0" fontId="119" fillId="0" borderId="0"/>
    <xf numFmtId="0" fontId="3" fillId="0" borderId="0"/>
    <xf numFmtId="0" fontId="3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3" fillId="0" borderId="0"/>
    <xf numFmtId="0" fontId="119" fillId="0" borderId="0"/>
    <xf numFmtId="0" fontId="119" fillId="0" borderId="0"/>
    <xf numFmtId="0" fontId="101" fillId="0" borderId="0"/>
    <xf numFmtId="0" fontId="158" fillId="0" borderId="0"/>
    <xf numFmtId="0" fontId="182" fillId="0" borderId="0"/>
    <xf numFmtId="0" fontId="182" fillId="0" borderId="0"/>
    <xf numFmtId="0" fontId="182" fillId="0" borderId="0"/>
    <xf numFmtId="0" fontId="3" fillId="0" borderId="0"/>
    <xf numFmtId="0" fontId="1" fillId="0" borderId="0"/>
  </cellStyleXfs>
  <cellXfs count="2851">
    <xf numFmtId="0" fontId="0" fillId="0" borderId="0" xfId="0"/>
    <xf numFmtId="0" fontId="5" fillId="0" borderId="0" xfId="0" applyFont="1" applyBorder="1"/>
    <xf numFmtId="3" fontId="5" fillId="0" borderId="15" xfId="0" applyNumberFormat="1" applyFont="1" applyBorder="1"/>
    <xf numFmtId="3" fontId="4" fillId="0" borderId="0" xfId="0" applyNumberFormat="1" applyFont="1" applyBorder="1"/>
    <xf numFmtId="3" fontId="5" fillId="0" borderId="0" xfId="0" applyNumberFormat="1" applyFont="1" applyBorder="1"/>
    <xf numFmtId="3" fontId="5" fillId="0" borderId="0" xfId="0" applyNumberFormat="1" applyFont="1"/>
    <xf numFmtId="3" fontId="5" fillId="0" borderId="0" xfId="0" applyNumberFormat="1" applyFont="1" applyFill="1"/>
    <xf numFmtId="0" fontId="5" fillId="0" borderId="0" xfId="0" applyFont="1"/>
    <xf numFmtId="3" fontId="4" fillId="0" borderId="0" xfId="0" applyNumberFormat="1" applyFont="1"/>
    <xf numFmtId="0" fontId="4" fillId="0" borderId="0" xfId="0" applyFont="1"/>
    <xf numFmtId="3" fontId="5" fillId="0" borderId="0" xfId="0" applyNumberFormat="1" applyFont="1" applyBorder="1" applyProtection="1">
      <protection locked="0"/>
    </xf>
    <xf numFmtId="0" fontId="5" fillId="0" borderId="0" xfId="0" applyFont="1" applyFill="1"/>
    <xf numFmtId="0" fontId="4" fillId="0" borderId="0" xfId="0" applyFont="1" applyAlignment="1">
      <alignment horizontal="center"/>
    </xf>
    <xf numFmtId="0" fontId="4" fillId="0" borderId="16" xfId="0" applyFont="1" applyBorder="1" applyProtection="1"/>
    <xf numFmtId="0" fontId="5" fillId="0" borderId="0" xfId="0" applyFont="1" applyAlignment="1">
      <alignment horizontal="right"/>
    </xf>
    <xf numFmtId="0" fontId="4" fillId="0" borderId="17" xfId="0" applyFont="1" applyBorder="1"/>
    <xf numFmtId="0" fontId="5" fillId="0" borderId="18" xfId="0" applyFont="1" applyFill="1" applyBorder="1"/>
    <xf numFmtId="3" fontId="7" fillId="0" borderId="0" xfId="0" applyNumberFormat="1" applyFont="1" applyFill="1"/>
    <xf numFmtId="0" fontId="5" fillId="0" borderId="0" xfId="0" applyFont="1" applyAlignment="1">
      <alignment horizontal="left"/>
    </xf>
    <xf numFmtId="0" fontId="4" fillId="0" borderId="0" xfId="0" applyFont="1" applyBorder="1"/>
    <xf numFmtId="0" fontId="4" fillId="0" borderId="17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4" fillId="0" borderId="17" xfId="0" applyFont="1" applyFill="1" applyBorder="1"/>
    <xf numFmtId="0" fontId="4" fillId="0" borderId="20" xfId="0" applyFont="1" applyFill="1" applyBorder="1"/>
    <xf numFmtId="3" fontId="4" fillId="0" borderId="21" xfId="0" applyNumberFormat="1" applyFont="1" applyFill="1" applyBorder="1"/>
    <xf numFmtId="0" fontId="4" fillId="0" borderId="0" xfId="0" applyFont="1" applyFill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4" fillId="0" borderId="17" xfId="0" applyFont="1" applyFill="1" applyBorder="1" applyAlignment="1">
      <alignment wrapText="1"/>
    </xf>
    <xf numFmtId="0" fontId="4" fillId="0" borderId="19" xfId="0" applyFont="1" applyFill="1" applyBorder="1"/>
    <xf numFmtId="3" fontId="5" fillId="0" borderId="0" xfId="0" applyNumberFormat="1" applyFont="1" applyAlignment="1">
      <alignment horizontal="right"/>
    </xf>
    <xf numFmtId="0" fontId="5" fillId="0" borderId="16" xfId="0" applyFont="1" applyFill="1" applyBorder="1" applyProtection="1"/>
    <xf numFmtId="0" fontId="5" fillId="0" borderId="0" xfId="0" applyFont="1" applyFill="1" applyBorder="1" applyProtection="1"/>
    <xf numFmtId="0" fontId="5" fillId="0" borderId="18" xfId="0" applyFont="1" applyFill="1" applyBorder="1" applyAlignment="1" applyProtection="1">
      <alignment horizontal="right"/>
    </xf>
    <xf numFmtId="0" fontId="4" fillId="0" borderId="22" xfId="0" applyFont="1" applyFill="1" applyBorder="1" applyAlignment="1" applyProtection="1">
      <alignment horizontal="centerContinuous"/>
    </xf>
    <xf numFmtId="0" fontId="4" fillId="0" borderId="0" xfId="0" applyFont="1" applyAlignment="1" applyProtection="1">
      <alignment horizontal="center"/>
    </xf>
    <xf numFmtId="0" fontId="6" fillId="0" borderId="20" xfId="0" applyFont="1" applyBorder="1" applyAlignment="1" applyProtection="1">
      <alignment horizontal="left"/>
    </xf>
    <xf numFmtId="3" fontId="4" fillId="0" borderId="23" xfId="0" applyNumberFormat="1" applyFont="1" applyFill="1" applyBorder="1" applyAlignment="1" applyProtection="1">
      <alignment horizontal="centerContinuous"/>
    </xf>
    <xf numFmtId="0" fontId="5" fillId="0" borderId="0" xfId="77" applyFont="1"/>
    <xf numFmtId="0" fontId="5" fillId="0" borderId="0" xfId="77" applyFont="1" applyFill="1"/>
    <xf numFmtId="0" fontId="4" fillId="0" borderId="25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3" fontId="5" fillId="0" borderId="29" xfId="0" applyNumberFormat="1" applyFont="1" applyFill="1" applyBorder="1"/>
    <xf numFmtId="3" fontId="5" fillId="0" borderId="29" xfId="0" applyNumberFormat="1" applyFont="1" applyBorder="1"/>
    <xf numFmtId="0" fontId="4" fillId="0" borderId="1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18" xfId="0" applyNumberFormat="1" applyFont="1" applyFill="1" applyBorder="1" applyAlignment="1" applyProtection="1">
      <alignment horizontal="centerContinuous"/>
    </xf>
    <xf numFmtId="3" fontId="4" fillId="0" borderId="33" xfId="0" applyNumberFormat="1" applyFont="1" applyFill="1" applyBorder="1"/>
    <xf numFmtId="3" fontId="5" fillId="0" borderId="34" xfId="0" applyNumberFormat="1" applyFont="1" applyFill="1" applyBorder="1"/>
    <xf numFmtId="3" fontId="5" fillId="0" borderId="35" xfId="0" applyNumberFormat="1" applyFont="1" applyFill="1" applyBorder="1"/>
    <xf numFmtId="3" fontId="5" fillId="0" borderId="36" xfId="0" applyNumberFormat="1" applyFont="1" applyBorder="1"/>
    <xf numFmtId="0" fontId="5" fillId="0" borderId="40" xfId="0" applyFont="1" applyFill="1" applyBorder="1"/>
    <xf numFmtId="0" fontId="5" fillId="0" borderId="42" xfId="0" applyFont="1" applyFill="1" applyBorder="1"/>
    <xf numFmtId="0" fontId="4" fillId="0" borderId="43" xfId="0" applyFont="1" applyBorder="1" applyAlignment="1">
      <alignment horizontal="center"/>
    </xf>
    <xf numFmtId="3" fontId="4" fillId="0" borderId="44" xfId="0" applyNumberFormat="1" applyFont="1" applyFill="1" applyBorder="1"/>
    <xf numFmtId="0" fontId="5" fillId="0" borderId="45" xfId="0" applyFont="1" applyFill="1" applyBorder="1"/>
    <xf numFmtId="3" fontId="4" fillId="0" borderId="44" xfId="0" applyNumberFormat="1" applyFont="1" applyBorder="1"/>
    <xf numFmtId="3" fontId="4" fillId="0" borderId="33" xfId="0" applyNumberFormat="1" applyFont="1" applyBorder="1"/>
    <xf numFmtId="0" fontId="5" fillId="0" borderId="23" xfId="0" applyFont="1" applyFill="1" applyBorder="1" applyProtection="1"/>
    <xf numFmtId="0" fontId="5" fillId="0" borderId="46" xfId="0" applyFont="1" applyFill="1" applyBorder="1" applyProtection="1"/>
    <xf numFmtId="2" fontId="5" fillId="0" borderId="47" xfId="0" applyNumberFormat="1" applyFont="1" applyFill="1" applyBorder="1"/>
    <xf numFmtId="3" fontId="5" fillId="0" borderId="34" xfId="0" applyNumberFormat="1" applyFont="1" applyFill="1" applyBorder="1" applyProtection="1">
      <protection locked="0"/>
    </xf>
    <xf numFmtId="3" fontId="4" fillId="0" borderId="48" xfId="0" applyNumberFormat="1" applyFont="1" applyBorder="1" applyProtection="1"/>
    <xf numFmtId="3" fontId="5" fillId="0" borderId="0" xfId="77" applyNumberFormat="1" applyFont="1" applyFill="1" applyBorder="1"/>
    <xf numFmtId="2" fontId="4" fillId="0" borderId="60" xfId="0" applyNumberFormat="1" applyFont="1" applyBorder="1"/>
    <xf numFmtId="0" fontId="4" fillId="27" borderId="45" xfId="0" applyFont="1" applyFill="1" applyBorder="1" applyAlignment="1">
      <alignment horizontal="center"/>
    </xf>
    <xf numFmtId="0" fontId="4" fillId="27" borderId="61" xfId="0" applyFont="1" applyFill="1" applyBorder="1" applyAlignment="1">
      <alignment horizontal="center"/>
    </xf>
    <xf numFmtId="3" fontId="5" fillId="0" borderId="45" xfId="0" applyNumberFormat="1" applyFont="1" applyBorder="1"/>
    <xf numFmtId="0" fontId="5" fillId="0" borderId="62" xfId="0" applyFont="1" applyFill="1" applyBorder="1"/>
    <xf numFmtId="3" fontId="5" fillId="0" borderId="51" xfId="0" applyNumberFormat="1" applyFont="1" applyBorder="1"/>
    <xf numFmtId="3" fontId="5" fillId="0" borderId="36" xfId="0" applyNumberFormat="1" applyFont="1" applyFill="1" applyBorder="1"/>
    <xf numFmtId="3" fontId="4" fillId="0" borderId="21" xfId="0" applyNumberFormat="1" applyFont="1" applyBorder="1"/>
    <xf numFmtId="3" fontId="5" fillId="0" borderId="51" xfId="0" applyNumberFormat="1" applyFont="1" applyFill="1" applyBorder="1"/>
    <xf numFmtId="3" fontId="5" fillId="0" borderId="52" xfId="0" applyNumberFormat="1" applyFont="1" applyFill="1" applyBorder="1"/>
    <xf numFmtId="3" fontId="5" fillId="0" borderId="52" xfId="0" applyNumberFormat="1" applyFont="1" applyBorder="1"/>
    <xf numFmtId="3" fontId="5" fillId="0" borderId="65" xfId="0" applyNumberFormat="1" applyFont="1" applyFill="1" applyBorder="1"/>
    <xf numFmtId="3" fontId="5" fillId="0" borderId="0" xfId="0" applyNumberFormat="1" applyFont="1" applyFill="1" applyAlignment="1">
      <alignment horizontal="right"/>
    </xf>
    <xf numFmtId="3" fontId="4" fillId="0" borderId="43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left"/>
    </xf>
    <xf numFmtId="3" fontId="5" fillId="0" borderId="0" xfId="77" applyNumberFormat="1" applyFont="1"/>
    <xf numFmtId="2" fontId="5" fillId="0" borderId="67" xfId="0" applyNumberFormat="1" applyFont="1" applyBorder="1"/>
    <xf numFmtId="2" fontId="4" fillId="0" borderId="54" xfId="0" applyNumberFormat="1" applyFont="1" applyFill="1" applyBorder="1"/>
    <xf numFmtId="2" fontId="5" fillId="0" borderId="68" xfId="0" applyNumberFormat="1" applyFont="1" applyFill="1" applyBorder="1"/>
    <xf numFmtId="0" fontId="5" fillId="0" borderId="27" xfId="0" applyFont="1" applyFill="1" applyBorder="1"/>
    <xf numFmtId="2" fontId="5" fillId="0" borderId="67" xfId="0" applyNumberFormat="1" applyFont="1" applyFill="1" applyBorder="1"/>
    <xf numFmtId="0" fontId="4" fillId="0" borderId="19" xfId="0" applyFont="1" applyFill="1" applyBorder="1" applyAlignment="1">
      <alignment horizontal="center"/>
    </xf>
    <xf numFmtId="3" fontId="13" fillId="0" borderId="0" xfId="0" applyNumberFormat="1" applyFont="1"/>
    <xf numFmtId="3" fontId="10" fillId="0" borderId="0" xfId="0" applyNumberFormat="1" applyFont="1"/>
    <xf numFmtId="3" fontId="13" fillId="0" borderId="0" xfId="0" applyNumberFormat="1" applyFont="1" applyFill="1"/>
    <xf numFmtId="2" fontId="4" fillId="0" borderId="0" xfId="0" applyNumberFormat="1" applyFont="1" applyBorder="1"/>
    <xf numFmtId="4" fontId="4" fillId="0" borderId="54" xfId="0" applyNumberFormat="1" applyFont="1" applyBorder="1"/>
    <xf numFmtId="4" fontId="4" fillId="0" borderId="60" xfId="0" applyNumberFormat="1" applyFont="1" applyBorder="1"/>
    <xf numFmtId="3" fontId="7" fillId="0" borderId="0" xfId="0" applyNumberFormat="1" applyFont="1"/>
    <xf numFmtId="0" fontId="5" fillId="0" borderId="0" xfId="0" applyFont="1" applyFill="1" applyBorder="1" applyAlignment="1" applyProtection="1">
      <alignment horizontal="left"/>
    </xf>
    <xf numFmtId="3" fontId="5" fillId="0" borderId="46" xfId="0" applyNumberFormat="1" applyFont="1" applyBorder="1"/>
    <xf numFmtId="0" fontId="16" fillId="0" borderId="0" xfId="0" applyFont="1" applyFill="1"/>
    <xf numFmtId="0" fontId="5" fillId="0" borderId="38" xfId="0" applyFont="1" applyFill="1" applyBorder="1"/>
    <xf numFmtId="0" fontId="5" fillId="0" borderId="18" xfId="77" applyFont="1" applyFill="1" applyBorder="1" applyAlignment="1">
      <alignment horizontal="right"/>
    </xf>
    <xf numFmtId="0" fontId="4" fillId="27" borderId="27" xfId="0" applyFont="1" applyFill="1" applyBorder="1" applyAlignment="1">
      <alignment horizontal="center"/>
    </xf>
    <xf numFmtId="0" fontId="4" fillId="27" borderId="70" xfId="0" applyFont="1" applyFill="1" applyBorder="1" applyAlignment="1">
      <alignment horizontal="center"/>
    </xf>
    <xf numFmtId="3" fontId="5" fillId="0" borderId="73" xfId="0" applyNumberFormat="1" applyFont="1" applyFill="1" applyBorder="1"/>
    <xf numFmtId="3" fontId="4" fillId="0" borderId="76" xfId="0" applyNumberFormat="1" applyFont="1" applyFill="1" applyBorder="1"/>
    <xf numFmtId="3" fontId="5" fillId="0" borderId="0" xfId="0" applyNumberFormat="1" applyFont="1" applyFill="1" applyBorder="1"/>
    <xf numFmtId="3" fontId="4" fillId="0" borderId="78" xfId="77" applyNumberFormat="1" applyFont="1" applyFill="1" applyBorder="1"/>
    <xf numFmtId="3" fontId="4" fillId="0" borderId="0" xfId="0" applyNumberFormat="1" applyFont="1" applyAlignment="1">
      <alignment horizontal="center"/>
    </xf>
    <xf numFmtId="0" fontId="5" fillId="0" borderId="37" xfId="77" applyFont="1" applyFill="1" applyBorder="1" applyAlignment="1">
      <alignment horizontal="justify"/>
    </xf>
    <xf numFmtId="3" fontId="4" fillId="0" borderId="61" xfId="0" applyNumberFormat="1" applyFont="1" applyBorder="1"/>
    <xf numFmtId="3" fontId="4" fillId="0" borderId="43" xfId="0" applyNumberFormat="1" applyFont="1" applyBorder="1"/>
    <xf numFmtId="0" fontId="5" fillId="0" borderId="18" xfId="0" applyFont="1" applyFill="1" applyBorder="1" applyAlignment="1">
      <alignment horizontal="justify"/>
    </xf>
    <xf numFmtId="3" fontId="4" fillId="0" borderId="25" xfId="0" applyNumberFormat="1" applyFont="1" applyBorder="1" applyAlignment="1">
      <alignment horizontal="center"/>
    </xf>
    <xf numFmtId="3" fontId="4" fillId="0" borderId="30" xfId="0" applyNumberFormat="1" applyFont="1" applyBorder="1" applyAlignment="1">
      <alignment horizontal="center"/>
    </xf>
    <xf numFmtId="3" fontId="5" fillId="0" borderId="45" xfId="0" applyNumberFormat="1" applyFont="1" applyFill="1" applyBorder="1"/>
    <xf numFmtId="0" fontId="4" fillId="0" borderId="55" xfId="0" applyFont="1" applyBorder="1" applyAlignment="1">
      <alignment horizontal="center"/>
    </xf>
    <xf numFmtId="3" fontId="4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4" fillId="0" borderId="17" xfId="0" applyNumberFormat="1" applyFont="1" applyBorder="1"/>
    <xf numFmtId="0" fontId="6" fillId="0" borderId="18" xfId="0" applyFont="1" applyFill="1" applyBorder="1"/>
    <xf numFmtId="0" fontId="6" fillId="0" borderId="20" xfId="0" applyFont="1" applyFill="1" applyBorder="1"/>
    <xf numFmtId="0" fontId="6" fillId="0" borderId="20" xfId="0" applyFont="1" applyFill="1" applyBorder="1" applyAlignment="1">
      <alignment horizontal="justify"/>
    </xf>
    <xf numFmtId="3" fontId="4" fillId="0" borderId="19" xfId="0" applyNumberFormat="1" applyFont="1" applyBorder="1"/>
    <xf numFmtId="3" fontId="5" fillId="0" borderId="75" xfId="0" applyNumberFormat="1" applyFont="1" applyFill="1" applyBorder="1"/>
    <xf numFmtId="3" fontId="5" fillId="0" borderId="18" xfId="77" applyNumberFormat="1" applyFont="1" applyFill="1" applyBorder="1"/>
    <xf numFmtId="3" fontId="5" fillId="0" borderId="86" xfId="0" applyNumberFormat="1" applyFont="1" applyFill="1" applyBorder="1"/>
    <xf numFmtId="0" fontId="5" fillId="0" borderId="40" xfId="0" applyFont="1" applyFill="1" applyBorder="1" applyAlignment="1">
      <alignment horizontal="justify"/>
    </xf>
    <xf numFmtId="3" fontId="5" fillId="0" borderId="73" xfId="77" applyNumberFormat="1" applyFont="1" applyFill="1" applyBorder="1"/>
    <xf numFmtId="0" fontId="4" fillId="27" borderId="0" xfId="0" applyFont="1" applyFill="1" applyBorder="1" applyAlignment="1">
      <alignment horizontal="center"/>
    </xf>
    <xf numFmtId="0" fontId="5" fillId="0" borderId="0" xfId="77" applyFont="1" applyFill="1" applyBorder="1"/>
    <xf numFmtId="3" fontId="5" fillId="0" borderId="69" xfId="0" applyNumberFormat="1" applyFont="1" applyFill="1" applyBorder="1"/>
    <xf numFmtId="3" fontId="35" fillId="0" borderId="0" xfId="0" applyNumberFormat="1" applyFont="1" applyFill="1" applyBorder="1" applyAlignment="1">
      <alignment horizontal="right"/>
    </xf>
    <xf numFmtId="3" fontId="16" fillId="0" borderId="43" xfId="0" applyNumberFormat="1" applyFont="1" applyFill="1" applyBorder="1"/>
    <xf numFmtId="0" fontId="5" fillId="0" borderId="37" xfId="0" applyFont="1" applyFill="1" applyBorder="1" applyAlignment="1">
      <alignment wrapText="1"/>
    </xf>
    <xf numFmtId="3" fontId="4" fillId="0" borderId="76" xfId="77" applyNumberFormat="1" applyFont="1" applyFill="1" applyBorder="1"/>
    <xf numFmtId="2" fontId="16" fillId="0" borderId="56" xfId="0" applyNumberFormat="1" applyFont="1" applyFill="1" applyBorder="1"/>
    <xf numFmtId="2" fontId="16" fillId="0" borderId="60" xfId="0" applyNumberFormat="1" applyFont="1" applyFill="1" applyBorder="1"/>
    <xf numFmtId="3" fontId="4" fillId="0" borderId="48" xfId="0" applyNumberFormat="1" applyFont="1" applyFill="1" applyBorder="1"/>
    <xf numFmtId="2" fontId="4" fillId="0" borderId="60" xfId="0" applyNumberFormat="1" applyFont="1" applyFill="1" applyBorder="1"/>
    <xf numFmtId="3" fontId="4" fillId="0" borderId="77" xfId="0" applyNumberFormat="1" applyFont="1" applyFill="1" applyBorder="1"/>
    <xf numFmtId="2" fontId="16" fillId="0" borderId="60" xfId="0" applyNumberFormat="1" applyFont="1" applyBorder="1"/>
    <xf numFmtId="3" fontId="5" fillId="0" borderId="88" xfId="0" applyNumberFormat="1" applyFont="1" applyFill="1" applyBorder="1"/>
    <xf numFmtId="0" fontId="36" fillId="0" borderId="69" xfId="0" applyFont="1" applyFill="1" applyBorder="1" applyAlignment="1">
      <alignment horizontal="center"/>
    </xf>
    <xf numFmtId="3" fontId="14" fillId="0" borderId="69" xfId="0" applyNumberFormat="1" applyFont="1" applyFill="1" applyBorder="1" applyAlignment="1">
      <alignment horizontal="center"/>
    </xf>
    <xf numFmtId="0" fontId="37" fillId="0" borderId="69" xfId="0" applyFont="1" applyFill="1" applyBorder="1" applyAlignment="1">
      <alignment horizontal="left"/>
    </xf>
    <xf numFmtId="0" fontId="4" fillId="0" borderId="69" xfId="0" applyFont="1" applyFill="1" applyBorder="1" applyAlignment="1">
      <alignment horizontal="center"/>
    </xf>
    <xf numFmtId="0" fontId="5" fillId="0" borderId="69" xfId="0" applyFont="1" applyFill="1" applyBorder="1"/>
    <xf numFmtId="0" fontId="16" fillId="0" borderId="77" xfId="0" applyFont="1" applyFill="1" applyBorder="1"/>
    <xf numFmtId="3" fontId="16" fillId="0" borderId="77" xfId="0" applyNumberFormat="1" applyFont="1" applyFill="1" applyBorder="1"/>
    <xf numFmtId="0" fontId="14" fillId="0" borderId="77" xfId="0" applyFont="1" applyBorder="1" applyAlignment="1">
      <alignment horizontal="justify"/>
    </xf>
    <xf numFmtId="0" fontId="5" fillId="0" borderId="75" xfId="0" applyFont="1" applyFill="1" applyBorder="1" applyAlignment="1">
      <alignment horizontal="justify"/>
    </xf>
    <xf numFmtId="3" fontId="16" fillId="0" borderId="70" xfId="0" applyNumberFormat="1" applyFont="1" applyFill="1" applyBorder="1"/>
    <xf numFmtId="0" fontId="6" fillId="0" borderId="69" xfId="0" applyFont="1" applyFill="1" applyBorder="1"/>
    <xf numFmtId="0" fontId="15" fillId="0" borderId="90" xfId="0" applyFont="1" applyFill="1" applyBorder="1" applyAlignment="1">
      <alignment horizontal="center"/>
    </xf>
    <xf numFmtId="3" fontId="4" fillId="0" borderId="90" xfId="0" applyNumberFormat="1" applyFont="1" applyFill="1" applyBorder="1"/>
    <xf numFmtId="3" fontId="4" fillId="0" borderId="69" xfId="0" applyNumberFormat="1" applyFont="1" applyFill="1" applyBorder="1"/>
    <xf numFmtId="0" fontId="37" fillId="0" borderId="90" xfId="0" applyFont="1" applyFill="1" applyBorder="1" applyAlignment="1">
      <alignment horizontal="left"/>
    </xf>
    <xf numFmtId="3" fontId="5" fillId="0" borderId="75" xfId="0" applyNumberFormat="1" applyFont="1" applyFill="1" applyBorder="1" applyAlignment="1">
      <alignment horizontal="justify"/>
    </xf>
    <xf numFmtId="0" fontId="16" fillId="0" borderId="90" xfId="0" applyFont="1" applyFill="1" applyBorder="1" applyAlignment="1">
      <alignment horizontal="center"/>
    </xf>
    <xf numFmtId="4" fontId="4" fillId="0" borderId="69" xfId="0" applyNumberFormat="1" applyFont="1" applyFill="1" applyBorder="1" applyAlignment="1">
      <alignment horizontal="center"/>
    </xf>
    <xf numFmtId="4" fontId="16" fillId="0" borderId="77" xfId="0" applyNumberFormat="1" applyFont="1" applyFill="1" applyBorder="1"/>
    <xf numFmtId="4" fontId="5" fillId="0" borderId="75" xfId="0" applyNumberFormat="1" applyFont="1" applyFill="1" applyBorder="1"/>
    <xf numFmtId="4" fontId="4" fillId="0" borderId="90" xfId="0" applyNumberFormat="1" applyFont="1" applyFill="1" applyBorder="1"/>
    <xf numFmtId="4" fontId="4" fillId="0" borderId="69" xfId="0" applyNumberFormat="1" applyFont="1" applyFill="1" applyBorder="1"/>
    <xf numFmtId="3" fontId="16" fillId="0" borderId="48" xfId="0" applyNumberFormat="1" applyFont="1" applyBorder="1"/>
    <xf numFmtId="2" fontId="4" fillId="0" borderId="28" xfId="0" applyNumberFormat="1" applyFont="1" applyFill="1" applyBorder="1"/>
    <xf numFmtId="0" fontId="16" fillId="0" borderId="18" xfId="0" applyFont="1" applyFill="1" applyBorder="1"/>
    <xf numFmtId="3" fontId="16" fillId="0" borderId="0" xfId="0" applyNumberFormat="1" applyFont="1" applyFill="1"/>
    <xf numFmtId="0" fontId="15" fillId="0" borderId="69" xfId="0" applyFont="1" applyFill="1" applyBorder="1" applyAlignment="1">
      <alignment horizontal="center"/>
    </xf>
    <xf numFmtId="0" fontId="37" fillId="0" borderId="0" xfId="0" applyFont="1" applyFill="1" applyBorder="1"/>
    <xf numFmtId="0" fontId="5" fillId="0" borderId="50" xfId="0" applyFont="1" applyFill="1" applyBorder="1" applyAlignment="1" applyProtection="1">
      <alignment horizontal="left"/>
    </xf>
    <xf numFmtId="0" fontId="5" fillId="0" borderId="37" xfId="0" applyFont="1" applyFill="1" applyBorder="1" applyAlignment="1" applyProtection="1">
      <alignment horizontal="left"/>
    </xf>
    <xf numFmtId="0" fontId="37" fillId="0" borderId="0" xfId="0" applyFont="1" applyFill="1"/>
    <xf numFmtId="0" fontId="5" fillId="0" borderId="37" xfId="77" applyFont="1" applyFill="1" applyBorder="1" applyAlignment="1">
      <alignment horizontal="left"/>
    </xf>
    <xf numFmtId="0" fontId="11" fillId="0" borderId="0" xfId="77" applyFont="1" applyFill="1"/>
    <xf numFmtId="3" fontId="5" fillId="0" borderId="0" xfId="77" applyNumberFormat="1" applyFont="1" applyFill="1" applyAlignment="1">
      <alignment horizontal="right"/>
    </xf>
    <xf numFmtId="0" fontId="5" fillId="0" borderId="23" xfId="77" applyFont="1" applyFill="1" applyBorder="1"/>
    <xf numFmtId="0" fontId="4" fillId="0" borderId="46" xfId="77" applyFont="1" applyFill="1" applyBorder="1" applyAlignment="1">
      <alignment horizontal="center"/>
    </xf>
    <xf numFmtId="0" fontId="5" fillId="0" borderId="19" xfId="77" applyFont="1" applyFill="1" applyBorder="1"/>
    <xf numFmtId="0" fontId="5" fillId="0" borderId="16" xfId="77" applyFont="1" applyFill="1" applyBorder="1" applyAlignment="1">
      <alignment horizontal="center"/>
    </xf>
    <xf numFmtId="0" fontId="16" fillId="0" borderId="18" xfId="77" applyFont="1" applyFill="1" applyBorder="1"/>
    <xf numFmtId="0" fontId="5" fillId="0" borderId="0" xfId="77" applyFont="1" applyFill="1" applyBorder="1" applyAlignment="1">
      <alignment horizontal="center"/>
    </xf>
    <xf numFmtId="0" fontId="14" fillId="0" borderId="69" xfId="0" applyFont="1" applyFill="1" applyBorder="1" applyAlignment="1">
      <alignment horizontal="center"/>
    </xf>
    <xf numFmtId="3" fontId="9" fillId="0" borderId="73" xfId="77" applyNumberFormat="1" applyFont="1" applyFill="1" applyBorder="1"/>
    <xf numFmtId="0" fontId="16" fillId="0" borderId="20" xfId="77" applyFont="1" applyFill="1" applyBorder="1"/>
    <xf numFmtId="0" fontId="5" fillId="0" borderId="94" xfId="77" applyFont="1" applyFill="1" applyBorder="1" applyAlignment="1">
      <alignment horizontal="center"/>
    </xf>
    <xf numFmtId="3" fontId="14" fillId="0" borderId="77" xfId="0" applyNumberFormat="1" applyFont="1" applyFill="1" applyBorder="1" applyAlignment="1">
      <alignment horizontal="right"/>
    </xf>
    <xf numFmtId="3" fontId="34" fillId="0" borderId="73" xfId="0" applyNumberFormat="1" applyFont="1" applyFill="1" applyBorder="1" applyAlignment="1">
      <alignment horizontal="right"/>
    </xf>
    <xf numFmtId="3" fontId="5" fillId="0" borderId="0" xfId="77" applyNumberFormat="1" applyFont="1" applyFill="1"/>
    <xf numFmtId="3" fontId="5" fillId="0" borderId="73" xfId="77" applyNumberFormat="1" applyFont="1" applyFill="1" applyBorder="1" applyAlignment="1">
      <alignment horizontal="right"/>
    </xf>
    <xf numFmtId="3" fontId="5" fillId="0" borderId="69" xfId="77" applyNumberFormat="1" applyFont="1" applyFill="1" applyBorder="1" applyAlignment="1">
      <alignment horizontal="right"/>
    </xf>
    <xf numFmtId="0" fontId="4" fillId="0" borderId="18" xfId="77" applyFont="1" applyFill="1" applyBorder="1" applyAlignment="1">
      <alignment horizontal="left"/>
    </xf>
    <xf numFmtId="0" fontId="4" fillId="0" borderId="0" xfId="77" applyFont="1" applyFill="1" applyBorder="1" applyAlignment="1">
      <alignment horizontal="center"/>
    </xf>
    <xf numFmtId="3" fontId="4" fillId="0" borderId="69" xfId="77" applyNumberFormat="1" applyFont="1" applyFill="1" applyBorder="1"/>
    <xf numFmtId="0" fontId="9" fillId="0" borderId="37" xfId="77" applyFont="1" applyFill="1" applyBorder="1" applyAlignment="1">
      <alignment horizontal="left"/>
    </xf>
    <xf numFmtId="0" fontId="57" fillId="0" borderId="0" xfId="0" applyFont="1" applyFill="1" applyBorder="1"/>
    <xf numFmtId="0" fontId="4" fillId="0" borderId="0" xfId="0" applyFont="1" applyFill="1" applyBorder="1"/>
    <xf numFmtId="3" fontId="4" fillId="0" borderId="0" xfId="0" applyNumberFormat="1" applyFont="1" applyFill="1" applyBorder="1"/>
    <xf numFmtId="0" fontId="15" fillId="0" borderId="20" xfId="0" applyFont="1" applyFill="1" applyBorder="1"/>
    <xf numFmtId="3" fontId="15" fillId="0" borderId="60" xfId="0" applyNumberFormat="1" applyFont="1" applyFill="1" applyBorder="1"/>
    <xf numFmtId="3" fontId="5" fillId="28" borderId="73" xfId="0" applyNumberFormat="1" applyFont="1" applyFill="1" applyBorder="1"/>
    <xf numFmtId="0" fontId="14" fillId="0" borderId="83" xfId="0" applyFont="1" applyBorder="1" applyAlignment="1">
      <alignment horizontal="justify"/>
    </xf>
    <xf numFmtId="3" fontId="16" fillId="0" borderId="83" xfId="0" applyNumberFormat="1" applyFont="1" applyFill="1" applyBorder="1"/>
    <xf numFmtId="3" fontId="5" fillId="28" borderId="69" xfId="0" applyNumberFormat="1" applyFont="1" applyFill="1" applyBorder="1"/>
    <xf numFmtId="0" fontId="4" fillId="0" borderId="77" xfId="0" applyFont="1" applyFill="1" applyBorder="1" applyAlignment="1">
      <alignment horizontal="left"/>
    </xf>
    <xf numFmtId="0" fontId="4" fillId="0" borderId="76" xfId="0" applyFont="1" applyFill="1" applyBorder="1"/>
    <xf numFmtId="3" fontId="8" fillId="0" borderId="75" xfId="78" applyNumberFormat="1" applyFont="1" applyFill="1" applyBorder="1" applyAlignment="1">
      <alignment horizontal="right" vertical="top" wrapText="1"/>
    </xf>
    <xf numFmtId="4" fontId="8" fillId="0" borderId="75" xfId="78" applyNumberFormat="1" applyFont="1" applyFill="1" applyBorder="1" applyAlignment="1">
      <alignment horizontal="right" vertical="top" wrapText="1"/>
    </xf>
    <xf numFmtId="3" fontId="34" fillId="0" borderId="69" xfId="78" applyNumberFormat="1" applyFont="1" applyFill="1" applyBorder="1" applyAlignment="1">
      <alignment horizontal="justify" vertical="top" wrapText="1"/>
    </xf>
    <xf numFmtId="0" fontId="4" fillId="0" borderId="77" xfId="0" applyFont="1" applyFill="1" applyBorder="1"/>
    <xf numFmtId="3" fontId="8" fillId="0" borderId="75" xfId="78" applyNumberFormat="1" applyFont="1" applyFill="1" applyBorder="1" applyAlignment="1">
      <alignment wrapText="1"/>
    </xf>
    <xf numFmtId="3" fontId="8" fillId="0" borderId="75" xfId="78" applyNumberFormat="1" applyFont="1" applyFill="1" applyBorder="1" applyAlignment="1">
      <alignment horizontal="right" wrapText="1"/>
    </xf>
    <xf numFmtId="3" fontId="4" fillId="0" borderId="76" xfId="0" applyNumberFormat="1" applyFont="1" applyFill="1" applyBorder="1" applyAlignment="1">
      <alignment horizontal="right"/>
    </xf>
    <xf numFmtId="4" fontId="16" fillId="0" borderId="76" xfId="0" applyNumberFormat="1" applyFont="1" applyFill="1" applyBorder="1"/>
    <xf numFmtId="0" fontId="4" fillId="0" borderId="18" xfId="0" applyFont="1" applyFill="1" applyBorder="1"/>
    <xf numFmtId="0" fontId="4" fillId="0" borderId="95" xfId="0" applyFont="1" applyFill="1" applyBorder="1" applyAlignment="1">
      <alignment horizontal="center"/>
    </xf>
    <xf numFmtId="0" fontId="4" fillId="27" borderId="83" xfId="0" applyFont="1" applyFill="1" applyBorder="1" applyAlignment="1">
      <alignment horizontal="center"/>
    </xf>
    <xf numFmtId="3" fontId="5" fillId="28" borderId="36" xfId="0" applyNumberFormat="1" applyFont="1" applyFill="1" applyBorder="1"/>
    <xf numFmtId="3" fontId="5" fillId="28" borderId="15" xfId="0" applyNumberFormat="1" applyFont="1" applyFill="1" applyBorder="1"/>
    <xf numFmtId="3" fontId="5" fillId="28" borderId="18" xfId="0" applyNumberFormat="1" applyFont="1" applyFill="1" applyBorder="1" applyAlignment="1">
      <alignment wrapText="1"/>
    </xf>
    <xf numFmtId="3" fontId="4" fillId="0" borderId="95" xfId="0" applyNumberFormat="1" applyFont="1" applyBorder="1" applyAlignment="1">
      <alignment horizontal="center"/>
    </xf>
    <xf numFmtId="3" fontId="37" fillId="0" borderId="16" xfId="0" applyNumberFormat="1" applyFont="1" applyBorder="1" applyAlignment="1">
      <alignment horizontal="left"/>
    </xf>
    <xf numFmtId="0" fontId="4" fillId="0" borderId="94" xfId="0" applyFont="1" applyFill="1" applyBorder="1"/>
    <xf numFmtId="3" fontId="4" fillId="0" borderId="48" xfId="0" applyNumberFormat="1" applyFont="1" applyBorder="1"/>
    <xf numFmtId="3" fontId="5" fillId="28" borderId="40" xfId="0" applyNumberFormat="1" applyFont="1" applyFill="1" applyBorder="1" applyAlignment="1">
      <alignment wrapText="1"/>
    </xf>
    <xf numFmtId="3" fontId="15" fillId="0" borderId="77" xfId="0" applyNumberFormat="1" applyFont="1" applyFill="1" applyBorder="1"/>
    <xf numFmtId="3" fontId="5" fillId="28" borderId="34" xfId="0" applyNumberFormat="1" applyFont="1" applyFill="1" applyBorder="1"/>
    <xf numFmtId="2" fontId="5" fillId="28" borderId="68" xfId="0" applyNumberFormat="1" applyFont="1" applyFill="1" applyBorder="1"/>
    <xf numFmtId="2" fontId="5" fillId="28" borderId="67" xfId="0" applyNumberFormat="1" applyFont="1" applyFill="1" applyBorder="1"/>
    <xf numFmtId="3" fontId="5" fillId="28" borderId="65" xfId="0" applyNumberFormat="1" applyFont="1" applyFill="1" applyBorder="1" applyProtection="1">
      <protection locked="0"/>
    </xf>
    <xf numFmtId="3" fontId="5" fillId="28" borderId="52" xfId="0" applyNumberFormat="1" applyFont="1" applyFill="1" applyBorder="1"/>
    <xf numFmtId="0" fontId="5" fillId="28" borderId="40" xfId="0" applyFont="1" applyFill="1" applyBorder="1"/>
    <xf numFmtId="3" fontId="5" fillId="28" borderId="34" xfId="0" applyNumberFormat="1" applyFont="1" applyFill="1" applyBorder="1" applyProtection="1">
      <protection locked="0"/>
    </xf>
    <xf numFmtId="0" fontId="5" fillId="28" borderId="97" xfId="0" applyFont="1" applyFill="1" applyBorder="1" applyAlignment="1" applyProtection="1">
      <alignment horizontal="left"/>
    </xf>
    <xf numFmtId="0" fontId="5" fillId="28" borderId="42" xfId="0" applyFont="1" applyFill="1" applyBorder="1" applyAlignment="1" applyProtection="1">
      <alignment horizontal="left"/>
    </xf>
    <xf numFmtId="0" fontId="5" fillId="28" borderId="42" xfId="0" applyFont="1" applyFill="1" applyBorder="1" applyAlignment="1" applyProtection="1">
      <alignment horizontal="left" wrapText="1"/>
    </xf>
    <xf numFmtId="0" fontId="5" fillId="28" borderId="98" xfId="0" applyFont="1" applyFill="1" applyBorder="1" applyAlignment="1"/>
    <xf numFmtId="3" fontId="4" fillId="0" borderId="43" xfId="0" applyNumberFormat="1" applyFont="1" applyFill="1" applyBorder="1"/>
    <xf numFmtId="0" fontId="4" fillId="0" borderId="76" xfId="0" applyFont="1" applyBorder="1" applyAlignment="1">
      <alignment horizontal="center"/>
    </xf>
    <xf numFmtId="0" fontId="4" fillId="27" borderId="16" xfId="0" applyFont="1" applyFill="1" applyBorder="1" applyAlignment="1">
      <alignment horizontal="center"/>
    </xf>
    <xf numFmtId="2" fontId="5" fillId="0" borderId="73" xfId="77" applyNumberFormat="1" applyFont="1" applyFill="1" applyBorder="1"/>
    <xf numFmtId="4" fontId="14" fillId="0" borderId="77" xfId="0" applyNumberFormat="1" applyFont="1" applyFill="1" applyBorder="1" applyAlignment="1">
      <alignment horizontal="right"/>
    </xf>
    <xf numFmtId="4" fontId="14" fillId="0" borderId="70" xfId="0" applyNumberFormat="1" applyFont="1" applyFill="1" applyBorder="1" applyAlignment="1">
      <alignment horizontal="right"/>
    </xf>
    <xf numFmtId="4" fontId="14" fillId="0" borderId="78" xfId="0" applyNumberFormat="1" applyFont="1" applyFill="1" applyBorder="1" applyAlignment="1">
      <alignment horizontal="right"/>
    </xf>
    <xf numFmtId="3" fontId="35" fillId="0" borderId="0" xfId="0" applyNumberFormat="1" applyFont="1" applyFill="1"/>
    <xf numFmtId="3" fontId="33" fillId="0" borderId="0" xfId="0" applyNumberFormat="1" applyFont="1" applyFill="1"/>
    <xf numFmtId="3" fontId="15" fillId="0" borderId="0" xfId="0" applyNumberFormat="1" applyFont="1" applyFill="1" applyBorder="1" applyAlignment="1">
      <alignment horizontal="center"/>
    </xf>
    <xf numFmtId="3" fontId="59" fillId="0" borderId="0" xfId="0" applyNumberFormat="1" applyFont="1" applyFill="1" applyBorder="1" applyAlignment="1">
      <alignment horizontal="center"/>
    </xf>
    <xf numFmtId="0" fontId="15" fillId="0" borderId="23" xfId="0" applyFont="1" applyFill="1" applyBorder="1" applyAlignment="1" applyProtection="1">
      <alignment horizontal="left"/>
    </xf>
    <xf numFmtId="0" fontId="15" fillId="0" borderId="18" xfId="0" applyFont="1" applyFill="1" applyBorder="1" applyAlignment="1" applyProtection="1">
      <alignment horizontal="left"/>
    </xf>
    <xf numFmtId="3" fontId="35" fillId="0" borderId="0" xfId="0" applyNumberFormat="1" applyFont="1" applyFill="1" applyBorder="1"/>
    <xf numFmtId="3" fontId="15" fillId="0" borderId="19" xfId="0" applyNumberFormat="1" applyFont="1" applyFill="1" applyBorder="1" applyAlignment="1">
      <alignment horizontal="centerContinuous"/>
    </xf>
    <xf numFmtId="3" fontId="61" fillId="0" borderId="0" xfId="0" applyNumberFormat="1" applyFont="1" applyFill="1" applyBorder="1"/>
    <xf numFmtId="0" fontId="35" fillId="0" borderId="18" xfId="0" applyFont="1" applyFill="1" applyBorder="1"/>
    <xf numFmtId="3" fontId="15" fillId="0" borderId="18" xfId="0" applyNumberFormat="1" applyFont="1" applyFill="1" applyBorder="1"/>
    <xf numFmtId="3" fontId="35" fillId="0" borderId="18" xfId="0" applyNumberFormat="1" applyFont="1" applyFill="1" applyBorder="1"/>
    <xf numFmtId="0" fontId="15" fillId="0" borderId="18" xfId="0" applyFont="1" applyFill="1" applyBorder="1"/>
    <xf numFmtId="3" fontId="15" fillId="0" borderId="99" xfId="0" applyNumberFormat="1" applyFont="1" applyFill="1" applyBorder="1"/>
    <xf numFmtId="3" fontId="15" fillId="0" borderId="17" xfId="0" applyNumberFormat="1" applyFont="1" applyFill="1" applyBorder="1" applyAlignment="1">
      <alignment horizontal="left"/>
    </xf>
    <xf numFmtId="3" fontId="15" fillId="0" borderId="16" xfId="0" applyNumberFormat="1" applyFont="1" applyFill="1" applyBorder="1" applyAlignment="1">
      <alignment horizontal="center"/>
    </xf>
    <xf numFmtId="3" fontId="60" fillId="0" borderId="18" xfId="0" applyNumberFormat="1" applyFont="1" applyFill="1" applyBorder="1" applyAlignment="1">
      <alignment horizontal="centerContinuous"/>
    </xf>
    <xf numFmtId="3" fontId="15" fillId="0" borderId="18" xfId="0" applyNumberFormat="1" applyFont="1" applyFill="1" applyBorder="1" applyAlignment="1">
      <alignment horizontal="centerContinuous"/>
    </xf>
    <xf numFmtId="3" fontId="15" fillId="0" borderId="18" xfId="0" applyNumberFormat="1" applyFont="1" applyFill="1" applyBorder="1" applyAlignment="1">
      <alignment horizontal="left"/>
    </xf>
    <xf numFmtId="3" fontId="15" fillId="0" borderId="20" xfId="0" applyNumberFormat="1" applyFont="1" applyFill="1" applyBorder="1" applyAlignment="1"/>
    <xf numFmtId="3" fontId="15" fillId="0" borderId="0" xfId="0" applyNumberFormat="1" applyFont="1" applyFill="1" applyBorder="1" applyAlignment="1"/>
    <xf numFmtId="3" fontId="15" fillId="0" borderId="18" xfId="0" applyNumberFormat="1" applyFont="1" applyFill="1" applyBorder="1" applyAlignment="1"/>
    <xf numFmtId="0" fontId="61" fillId="0" borderId="20" xfId="0" applyFont="1" applyFill="1" applyBorder="1" applyProtection="1"/>
    <xf numFmtId="3" fontId="15" fillId="0" borderId="19" xfId="0" applyNumberFormat="1" applyFont="1" applyFill="1" applyBorder="1"/>
    <xf numFmtId="0" fontId="61" fillId="0" borderId="19" xfId="0" applyFont="1" applyFill="1" applyBorder="1" applyProtection="1"/>
    <xf numFmtId="0" fontId="14" fillId="0" borderId="0" xfId="0" applyFont="1" applyFill="1" applyBorder="1" applyAlignment="1">
      <alignment horizontal="center"/>
    </xf>
    <xf numFmtId="3" fontId="58" fillId="0" borderId="0" xfId="0" applyNumberFormat="1" applyFont="1" applyFill="1" applyBorder="1"/>
    <xf numFmtId="0" fontId="15" fillId="0" borderId="19" xfId="0" applyFont="1" applyFill="1" applyBorder="1" applyAlignment="1" applyProtection="1">
      <alignment horizontal="left"/>
    </xf>
    <xf numFmtId="3" fontId="62" fillId="0" borderId="15" xfId="0" applyNumberFormat="1" applyFont="1" applyFill="1" applyBorder="1"/>
    <xf numFmtId="3" fontId="62" fillId="0" borderId="36" xfId="0" applyNumberFormat="1" applyFont="1" applyFill="1" applyBorder="1"/>
    <xf numFmtId="3" fontId="62" fillId="0" borderId="36" xfId="0" applyNumberFormat="1" applyFont="1" applyFill="1" applyBorder="1" applyProtection="1"/>
    <xf numFmtId="3" fontId="58" fillId="0" borderId="43" xfId="0" applyNumberFormat="1" applyFont="1" applyFill="1" applyBorder="1"/>
    <xf numFmtId="3" fontId="58" fillId="0" borderId="86" xfId="0" applyNumberFormat="1" applyFont="1" applyFill="1" applyBorder="1"/>
    <xf numFmtId="3" fontId="62" fillId="0" borderId="84" xfId="0" applyNumberFormat="1" applyFont="1" applyFill="1" applyBorder="1"/>
    <xf numFmtId="3" fontId="62" fillId="0" borderId="15" xfId="0" applyNumberFormat="1" applyFont="1" applyFill="1" applyBorder="1" applyProtection="1"/>
    <xf numFmtId="0" fontId="63" fillId="0" borderId="15" xfId="0" applyFont="1" applyFill="1" applyBorder="1" applyAlignment="1">
      <alignment horizontal="center"/>
    </xf>
    <xf numFmtId="3" fontId="58" fillId="0" borderId="21" xfId="0" applyNumberFormat="1" applyFont="1" applyFill="1" applyBorder="1"/>
    <xf numFmtId="3" fontId="58" fillId="0" borderId="15" xfId="0" applyNumberFormat="1" applyFont="1" applyFill="1" applyBorder="1"/>
    <xf numFmtId="3" fontId="62" fillId="0" borderId="61" xfId="0" applyNumberFormat="1" applyFont="1" applyFill="1" applyBorder="1"/>
    <xf numFmtId="3" fontId="58" fillId="0" borderId="61" xfId="0" applyNumberFormat="1" applyFont="1" applyFill="1" applyBorder="1"/>
    <xf numFmtId="3" fontId="64" fillId="0" borderId="36" xfId="0" applyNumberFormat="1" applyFont="1" applyFill="1" applyBorder="1" applyAlignment="1">
      <alignment horizontal="right"/>
    </xf>
    <xf numFmtId="3" fontId="63" fillId="0" borderId="21" xfId="0" applyNumberFormat="1" applyFont="1" applyFill="1" applyBorder="1" applyAlignment="1">
      <alignment horizontal="right"/>
    </xf>
    <xf numFmtId="3" fontId="63" fillId="0" borderId="32" xfId="0" applyNumberFormat="1" applyFont="1" applyFill="1" applyBorder="1" applyAlignment="1">
      <alignment horizontal="right"/>
    </xf>
    <xf numFmtId="3" fontId="58" fillId="0" borderId="45" xfId="0" applyNumberFormat="1" applyFont="1" applyFill="1" applyBorder="1"/>
    <xf numFmtId="4" fontId="58" fillId="0" borderId="80" xfId="0" applyNumberFormat="1" applyFont="1" applyFill="1" applyBorder="1"/>
    <xf numFmtId="4" fontId="62" fillId="0" borderId="103" xfId="0" applyNumberFormat="1" applyFont="1" applyFill="1" applyBorder="1" applyProtection="1"/>
    <xf numFmtId="4" fontId="62" fillId="0" borderId="68" xfId="0" applyNumberFormat="1" applyFont="1" applyFill="1" applyBorder="1" applyProtection="1"/>
    <xf numFmtId="4" fontId="58" fillId="0" borderId="81" xfId="0" applyNumberFormat="1" applyFont="1" applyFill="1" applyBorder="1"/>
    <xf numFmtId="4" fontId="62" fillId="0" borderId="68" xfId="0" applyNumberFormat="1" applyFont="1" applyFill="1" applyBorder="1" applyAlignment="1">
      <alignment horizontal="right"/>
    </xf>
    <xf numFmtId="4" fontId="58" fillId="0" borderId="84" xfId="0" applyNumberFormat="1" applyFont="1" applyFill="1" applyBorder="1"/>
    <xf numFmtId="4" fontId="63" fillId="0" borderId="86" xfId="0" applyNumberFormat="1" applyFont="1" applyFill="1" applyBorder="1" applyAlignment="1">
      <alignment horizontal="center"/>
    </xf>
    <xf numFmtId="4" fontId="58" fillId="0" borderId="54" xfId="0" applyNumberFormat="1" applyFont="1" applyFill="1" applyBorder="1"/>
    <xf numFmtId="4" fontId="58" fillId="0" borderId="46" xfId="0" applyNumberFormat="1" applyFont="1" applyFill="1" applyBorder="1"/>
    <xf numFmtId="4" fontId="62" fillId="0" borderId="84" xfId="0" applyNumberFormat="1" applyFont="1" applyFill="1" applyBorder="1"/>
    <xf numFmtId="0" fontId="61" fillId="0" borderId="0" xfId="0" applyFont="1" applyFill="1" applyBorder="1" applyProtection="1"/>
    <xf numFmtId="4" fontId="58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/>
    <xf numFmtId="0" fontId="9" fillId="0" borderId="37" xfId="0" applyFont="1" applyFill="1" applyBorder="1" applyAlignment="1" applyProtection="1"/>
    <xf numFmtId="3" fontId="5" fillId="28" borderId="29" xfId="0" applyNumberFormat="1" applyFont="1" applyFill="1" applyBorder="1"/>
    <xf numFmtId="4" fontId="5" fillId="0" borderId="68" xfId="0" applyNumberFormat="1" applyFont="1" applyFill="1" applyBorder="1"/>
    <xf numFmtId="4" fontId="4" fillId="0" borderId="80" xfId="0" applyNumberFormat="1" applyFont="1" applyFill="1" applyBorder="1"/>
    <xf numFmtId="4" fontId="4" fillId="0" borderId="0" xfId="0" applyNumberFormat="1" applyFont="1" applyFill="1"/>
    <xf numFmtId="4" fontId="15" fillId="0" borderId="60" xfId="0" applyNumberFormat="1" applyFont="1" applyFill="1" applyBorder="1"/>
    <xf numFmtId="3" fontId="4" fillId="0" borderId="60" xfId="0" applyNumberFormat="1" applyFont="1" applyFill="1" applyBorder="1"/>
    <xf numFmtId="3" fontId="15" fillId="0" borderId="81" xfId="0" applyNumberFormat="1" applyFont="1" applyFill="1" applyBorder="1"/>
    <xf numFmtId="4" fontId="5" fillId="28" borderId="68" xfId="0" applyNumberFormat="1" applyFont="1" applyFill="1" applyBorder="1"/>
    <xf numFmtId="2" fontId="16" fillId="0" borderId="54" xfId="0" applyNumberFormat="1" applyFont="1" applyBorder="1"/>
    <xf numFmtId="4" fontId="5" fillId="0" borderId="73" xfId="77" applyNumberFormat="1" applyFont="1" applyFill="1" applyBorder="1" applyAlignment="1">
      <alignment horizontal="right"/>
    </xf>
    <xf numFmtId="4" fontId="65" fillId="0" borderId="0" xfId="0" applyNumberFormat="1" applyFont="1" applyFill="1" applyBorder="1"/>
    <xf numFmtId="0" fontId="4" fillId="0" borderId="86" xfId="77" applyFont="1" applyFill="1" applyBorder="1" applyAlignment="1">
      <alignment horizontal="left"/>
    </xf>
    <xf numFmtId="3" fontId="9" fillId="0" borderId="75" xfId="77" applyNumberFormat="1" applyFont="1" applyFill="1" applyBorder="1"/>
    <xf numFmtId="2" fontId="5" fillId="0" borderId="75" xfId="77" applyNumberFormat="1" applyFont="1" applyFill="1" applyBorder="1"/>
    <xf numFmtId="4" fontId="58" fillId="0" borderId="53" xfId="0" applyNumberFormat="1" applyFont="1" applyFill="1" applyBorder="1"/>
    <xf numFmtId="0" fontId="67" fillId="0" borderId="0" xfId="77" applyFont="1" applyFill="1"/>
    <xf numFmtId="0" fontId="37" fillId="0" borderId="18" xfId="77" applyFont="1" applyFill="1" applyBorder="1"/>
    <xf numFmtId="3" fontId="6" fillId="0" borderId="0" xfId="77" applyNumberFormat="1" applyFont="1" applyFill="1" applyBorder="1"/>
    <xf numFmtId="3" fontId="6" fillId="0" borderId="18" xfId="77" applyNumberFormat="1" applyFont="1" applyFill="1" applyBorder="1"/>
    <xf numFmtId="3" fontId="9" fillId="0" borderId="69" xfId="77" applyNumberFormat="1" applyFont="1" applyFill="1" applyBorder="1"/>
    <xf numFmtId="3" fontId="37" fillId="0" borderId="0" xfId="0" applyNumberFormat="1" applyFont="1" applyFill="1"/>
    <xf numFmtId="0" fontId="4" fillId="0" borderId="70" xfId="0" applyFont="1" applyFill="1" applyBorder="1"/>
    <xf numFmtId="3" fontId="5" fillId="28" borderId="51" xfId="0" applyNumberFormat="1" applyFont="1" applyFill="1" applyBorder="1"/>
    <xf numFmtId="0" fontId="5" fillId="28" borderId="40" xfId="0" applyFont="1" applyFill="1" applyBorder="1" applyAlignment="1" applyProtection="1">
      <alignment horizontal="left" wrapText="1"/>
    </xf>
    <xf numFmtId="0" fontId="5" fillId="0" borderId="42" xfId="0" applyFont="1" applyFill="1" applyBorder="1" applyAlignment="1">
      <alignment horizontal="left"/>
    </xf>
    <xf numFmtId="0" fontId="7" fillId="0" borderId="0" xfId="0" applyFont="1"/>
    <xf numFmtId="0" fontId="5" fillId="0" borderId="62" xfId="0" applyFont="1" applyFill="1" applyBorder="1" applyAlignment="1">
      <alignment horizontal="left" wrapText="1"/>
    </xf>
    <xf numFmtId="0" fontId="7" fillId="0" borderId="18" xfId="0" applyFont="1" applyFill="1" applyBorder="1" applyAlignment="1">
      <alignment horizontal="justify"/>
    </xf>
    <xf numFmtId="3" fontId="12" fillId="0" borderId="0" xfId="0" applyNumberFormat="1" applyFont="1"/>
    <xf numFmtId="0" fontId="5" fillId="0" borderId="42" xfId="0" applyFont="1" applyFill="1" applyBorder="1" applyAlignment="1">
      <alignment horizontal="left" wrapText="1"/>
    </xf>
    <xf numFmtId="0" fontId="5" fillId="28" borderId="106" xfId="0" applyFont="1" applyFill="1" applyBorder="1" applyAlignment="1">
      <alignment horizontal="left" wrapText="1"/>
    </xf>
    <xf numFmtId="0" fontId="5" fillId="0" borderId="69" xfId="0" applyFont="1" applyFill="1" applyBorder="1" applyAlignment="1">
      <alignment horizontal="left" wrapText="1"/>
    </xf>
    <xf numFmtId="0" fontId="5" fillId="28" borderId="40" xfId="0" applyFont="1" applyFill="1" applyBorder="1" applyAlignment="1">
      <alignment horizontal="justify"/>
    </xf>
    <xf numFmtId="3" fontId="5" fillId="0" borderId="0" xfId="0" applyNumberFormat="1" applyFont="1" applyFill="1" applyBorder="1" applyAlignment="1">
      <alignment wrapText="1"/>
    </xf>
    <xf numFmtId="0" fontId="37" fillId="0" borderId="0" xfId="77" applyFont="1" applyFill="1" applyBorder="1" applyAlignment="1">
      <alignment horizontal="left"/>
    </xf>
    <xf numFmtId="3" fontId="5" fillId="0" borderId="75" xfId="77" applyNumberFormat="1" applyFont="1" applyFill="1" applyBorder="1" applyAlignment="1">
      <alignment horizontal="right"/>
    </xf>
    <xf numFmtId="3" fontId="37" fillId="0" borderId="0" xfId="0" applyNumberFormat="1" applyFont="1" applyFill="1" applyBorder="1"/>
    <xf numFmtId="2" fontId="5" fillId="28" borderId="59" xfId="0" applyNumberFormat="1" applyFont="1" applyFill="1" applyBorder="1"/>
    <xf numFmtId="0" fontId="5" fillId="28" borderId="18" xfId="0" applyFont="1" applyFill="1" applyBorder="1" applyAlignment="1" applyProtection="1">
      <alignment horizontal="left" wrapText="1"/>
    </xf>
    <xf numFmtId="0" fontId="5" fillId="0" borderId="108" xfId="0" applyFont="1" applyFill="1" applyBorder="1"/>
    <xf numFmtId="3" fontId="5" fillId="0" borderId="108" xfId="0" applyNumberFormat="1" applyFont="1" applyFill="1" applyBorder="1"/>
    <xf numFmtId="4" fontId="5" fillId="0" borderId="108" xfId="0" applyNumberFormat="1" applyFont="1" applyFill="1" applyBorder="1"/>
    <xf numFmtId="0" fontId="5" fillId="28" borderId="109" xfId="0" applyFont="1" applyFill="1" applyBorder="1" applyAlignment="1">
      <alignment horizontal="justify"/>
    </xf>
    <xf numFmtId="3" fontId="5" fillId="0" borderId="75" xfId="0" applyNumberFormat="1" applyFont="1" applyFill="1" applyBorder="1" applyAlignment="1">
      <alignment horizontal="right"/>
    </xf>
    <xf numFmtId="4" fontId="5" fillId="0" borderId="75" xfId="0" applyNumberFormat="1" applyFont="1" applyFill="1" applyBorder="1" applyAlignment="1">
      <alignment horizontal="right"/>
    </xf>
    <xf numFmtId="3" fontId="9" fillId="0" borderId="75" xfId="0" applyNumberFormat="1" applyFont="1" applyFill="1" applyBorder="1" applyAlignment="1">
      <alignment horizontal="right"/>
    </xf>
    <xf numFmtId="3" fontId="5" fillId="0" borderId="73" xfId="0" applyNumberFormat="1" applyFont="1" applyFill="1" applyBorder="1" applyAlignment="1">
      <alignment horizontal="right"/>
    </xf>
    <xf numFmtId="4" fontId="5" fillId="0" borderId="73" xfId="0" applyNumberFormat="1" applyFont="1" applyFill="1" applyBorder="1" applyAlignment="1">
      <alignment horizontal="right"/>
    </xf>
    <xf numFmtId="3" fontId="5" fillId="0" borderId="69" xfId="0" applyNumberFormat="1" applyFont="1" applyFill="1" applyBorder="1" applyAlignment="1">
      <alignment horizontal="right"/>
    </xf>
    <xf numFmtId="3" fontId="4" fillId="0" borderId="70" xfId="0" applyNumberFormat="1" applyFont="1" applyFill="1" applyBorder="1" applyAlignment="1">
      <alignment horizontal="right"/>
    </xf>
    <xf numFmtId="4" fontId="16" fillId="0" borderId="70" xfId="0" applyNumberFormat="1" applyFont="1" applyFill="1" applyBorder="1" applyAlignment="1">
      <alignment horizontal="right"/>
    </xf>
    <xf numFmtId="4" fontId="16" fillId="0" borderId="76" xfId="0" applyNumberFormat="1" applyFont="1" applyFill="1" applyBorder="1" applyAlignment="1">
      <alignment horizontal="right"/>
    </xf>
    <xf numFmtId="0" fontId="5" fillId="0" borderId="73" xfId="0" applyFont="1" applyFill="1" applyBorder="1" applyAlignment="1"/>
    <xf numFmtId="3" fontId="8" fillId="0" borderId="73" xfId="78" applyNumberFormat="1" applyFont="1" applyFill="1" applyBorder="1" applyAlignment="1">
      <alignment horizontal="justify" wrapText="1"/>
    </xf>
    <xf numFmtId="3" fontId="8" fillId="0" borderId="75" xfId="78" applyNumberFormat="1" applyFont="1" applyFill="1" applyBorder="1" applyAlignment="1">
      <alignment horizontal="justify" wrapText="1"/>
    </xf>
    <xf numFmtId="4" fontId="5" fillId="0" borderId="77" xfId="0" applyNumberFormat="1" applyFont="1" applyBorder="1"/>
    <xf numFmtId="4" fontId="5" fillId="0" borderId="27" xfId="0" applyNumberFormat="1" applyFont="1" applyBorder="1"/>
    <xf numFmtId="4" fontId="5" fillId="0" borderId="67" xfId="0" applyNumberFormat="1" applyFont="1" applyBorder="1"/>
    <xf numFmtId="4" fontId="5" fillId="0" borderId="67" xfId="0" applyNumberFormat="1" applyFont="1" applyFill="1" applyBorder="1"/>
    <xf numFmtId="3" fontId="5" fillId="0" borderId="18" xfId="0" applyNumberFormat="1" applyFont="1" applyBorder="1"/>
    <xf numFmtId="4" fontId="5" fillId="0" borderId="86" xfId="0" applyNumberFormat="1" applyFont="1" applyBorder="1"/>
    <xf numFmtId="3" fontId="13" fillId="0" borderId="0" xfId="0" applyNumberFormat="1" applyFont="1" applyBorder="1"/>
    <xf numFmtId="0" fontId="7" fillId="0" borderId="0" xfId="0" applyFont="1" applyFill="1" applyBorder="1" applyAlignment="1">
      <alignment horizontal="justify"/>
    </xf>
    <xf numFmtId="0" fontId="5" fillId="0" borderId="0" xfId="77" applyFont="1" applyFill="1" applyAlignment="1">
      <alignment wrapText="1"/>
    </xf>
    <xf numFmtId="0" fontId="11" fillId="0" borderId="0" xfId="77" applyFont="1" applyFill="1" applyBorder="1"/>
    <xf numFmtId="3" fontId="5" fillId="0" borderId="0" xfId="77" applyNumberFormat="1" applyFont="1" applyFill="1" applyBorder="1" applyAlignment="1">
      <alignment horizontal="right"/>
    </xf>
    <xf numFmtId="0" fontId="16" fillId="0" borderId="0" xfId="77" applyFont="1" applyFill="1" applyBorder="1"/>
    <xf numFmtId="0" fontId="37" fillId="0" borderId="0" xfId="77" applyFont="1" applyFill="1" applyBorder="1"/>
    <xf numFmtId="3" fontId="56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66" fillId="0" borderId="0" xfId="0" applyNumberFormat="1" applyFont="1" applyFill="1" applyBorder="1" applyAlignment="1">
      <alignment horizontal="center"/>
    </xf>
    <xf numFmtId="3" fontId="5" fillId="28" borderId="111" xfId="0" applyNumberFormat="1" applyFont="1" applyFill="1" applyBorder="1"/>
    <xf numFmtId="3" fontId="4" fillId="0" borderId="73" xfId="77" applyNumberFormat="1" applyFont="1" applyFill="1" applyBorder="1"/>
    <xf numFmtId="0" fontId="5" fillId="0" borderId="73" xfId="0" applyFont="1" applyFill="1" applyBorder="1"/>
    <xf numFmtId="0" fontId="5" fillId="0" borderId="40" xfId="0" applyFont="1" applyFill="1" applyBorder="1" applyAlignment="1">
      <alignment wrapText="1"/>
    </xf>
    <xf numFmtId="0" fontId="5" fillId="0" borderId="18" xfId="0" applyFont="1" applyFill="1" applyBorder="1" applyAlignment="1">
      <alignment horizontal="left" wrapText="1"/>
    </xf>
    <xf numFmtId="0" fontId="5" fillId="0" borderId="69" xfId="0" applyFont="1" applyFill="1" applyBorder="1" applyAlignment="1"/>
    <xf numFmtId="3" fontId="5" fillId="28" borderId="33" xfId="0" applyNumberFormat="1" applyFont="1" applyFill="1" applyBorder="1" applyProtection="1">
      <protection locked="0"/>
    </xf>
    <xf numFmtId="0" fontId="62" fillId="0" borderId="0" xfId="0" applyFont="1"/>
    <xf numFmtId="0" fontId="62" fillId="0" borderId="0" xfId="0" applyFont="1" applyAlignment="1">
      <alignment horizontal="right"/>
    </xf>
    <xf numFmtId="3" fontId="62" fillId="0" borderId="0" xfId="0" applyNumberFormat="1" applyFont="1" applyAlignment="1">
      <alignment horizontal="right"/>
    </xf>
    <xf numFmtId="3" fontId="69" fillId="0" borderId="0" xfId="0" applyNumberFormat="1" applyFont="1"/>
    <xf numFmtId="3" fontId="69" fillId="0" borderId="0" xfId="0" applyNumberFormat="1" applyFont="1" applyFill="1"/>
    <xf numFmtId="3" fontId="69" fillId="0" borderId="0" xfId="0" applyNumberFormat="1" applyFont="1" applyFill="1" applyAlignment="1">
      <alignment wrapText="1"/>
    </xf>
    <xf numFmtId="3" fontId="70" fillId="0" borderId="0" xfId="0" applyNumberFormat="1" applyFont="1"/>
    <xf numFmtId="0" fontId="9" fillId="28" borderId="38" xfId="0" applyFont="1" applyFill="1" applyBorder="1" applyAlignment="1">
      <alignment horizontal="justify"/>
    </xf>
    <xf numFmtId="4" fontId="5" fillId="0" borderId="73" xfId="0" applyNumberFormat="1" applyFont="1" applyFill="1" applyBorder="1"/>
    <xf numFmtId="4" fontId="9" fillId="0" borderId="73" xfId="77" applyNumberFormat="1" applyFont="1" applyFill="1" applyBorder="1" applyAlignment="1">
      <alignment horizontal="right"/>
    </xf>
    <xf numFmtId="4" fontId="5" fillId="0" borderId="107" xfId="0" applyNumberFormat="1" applyFont="1" applyFill="1" applyBorder="1" applyAlignment="1">
      <alignment horizontal="right"/>
    </xf>
    <xf numFmtId="3" fontId="8" fillId="0" borderId="107" xfId="78" applyNumberFormat="1" applyFont="1" applyFill="1" applyBorder="1" applyAlignment="1">
      <alignment horizontal="justify" wrapText="1"/>
    </xf>
    <xf numFmtId="0" fontId="15" fillId="0" borderId="0" xfId="0" applyFont="1" applyFill="1" applyAlignment="1">
      <alignment horizontal="center"/>
    </xf>
    <xf numFmtId="0" fontId="60" fillId="0" borderId="0" xfId="0" applyFont="1" applyFill="1"/>
    <xf numFmtId="0" fontId="35" fillId="0" borderId="0" xfId="0" applyFont="1" applyFill="1"/>
    <xf numFmtId="0" fontId="35" fillId="0" borderId="16" xfId="0" applyFont="1" applyFill="1" applyBorder="1" applyProtection="1"/>
    <xf numFmtId="0" fontId="15" fillId="0" borderId="16" xfId="0" applyFont="1" applyFill="1" applyBorder="1" applyProtection="1"/>
    <xf numFmtId="0" fontId="35" fillId="0" borderId="37" xfId="77" applyFont="1" applyFill="1" applyBorder="1" applyAlignment="1">
      <alignment horizontal="justify"/>
    </xf>
    <xf numFmtId="0" fontId="35" fillId="0" borderId="0" xfId="77" applyFont="1" applyFill="1" applyBorder="1" applyAlignment="1">
      <alignment horizontal="justify"/>
    </xf>
    <xf numFmtId="0" fontId="4" fillId="0" borderId="23" xfId="0" applyFont="1" applyBorder="1" applyAlignment="1">
      <alignment horizontal="center"/>
    </xf>
    <xf numFmtId="0" fontId="5" fillId="0" borderId="38" xfId="0" applyFont="1" applyBorder="1"/>
    <xf numFmtId="0" fontId="7" fillId="0" borderId="0" xfId="77" applyFont="1"/>
    <xf numFmtId="0" fontId="7" fillId="0" borderId="0" xfId="77" applyFont="1" applyFill="1"/>
    <xf numFmtId="3" fontId="4" fillId="0" borderId="0" xfId="0" applyNumberFormat="1" applyFont="1" applyFill="1"/>
    <xf numFmtId="4" fontId="5" fillId="0" borderId="59" xfId="0" applyNumberFormat="1" applyFont="1" applyBorder="1"/>
    <xf numFmtId="4" fontId="5" fillId="0" borderId="68" xfId="0" applyNumberFormat="1" applyFont="1" applyBorder="1"/>
    <xf numFmtId="3" fontId="13" fillId="0" borderId="0" xfId="0" applyNumberFormat="1" applyFont="1" applyAlignment="1">
      <alignment wrapText="1"/>
    </xf>
    <xf numFmtId="3" fontId="5" fillId="28" borderId="117" xfId="0" applyNumberFormat="1" applyFont="1" applyFill="1" applyBorder="1"/>
    <xf numFmtId="3" fontId="5" fillId="28" borderId="108" xfId="0" applyNumberFormat="1" applyFont="1" applyFill="1" applyBorder="1"/>
    <xf numFmtId="0" fontId="5" fillId="28" borderId="38" xfId="0" applyFont="1" applyFill="1" applyBorder="1" applyAlignment="1">
      <alignment horizontal="justify"/>
    </xf>
    <xf numFmtId="3" fontId="5" fillId="28" borderId="75" xfId="0" applyNumberFormat="1" applyFont="1" applyFill="1" applyBorder="1"/>
    <xf numFmtId="0" fontId="5" fillId="28" borderId="38" xfId="0" applyFont="1" applyFill="1" applyBorder="1" applyAlignment="1">
      <alignment horizontal="justify" wrapText="1"/>
    </xf>
    <xf numFmtId="0" fontId="5" fillId="28" borderId="40" xfId="0" applyFont="1" applyFill="1" applyBorder="1" applyAlignment="1">
      <alignment horizontal="justify" wrapText="1"/>
    </xf>
    <xf numFmtId="0" fontId="5" fillId="28" borderId="62" xfId="0" applyFont="1" applyFill="1" applyBorder="1" applyAlignment="1">
      <alignment horizontal="justify"/>
    </xf>
    <xf numFmtId="0" fontId="5" fillId="0" borderId="109" xfId="0" applyFont="1" applyFill="1" applyBorder="1"/>
    <xf numFmtId="0" fontId="5" fillId="0" borderId="118" xfId="0" applyFont="1" applyFill="1" applyBorder="1"/>
    <xf numFmtId="3" fontId="5" fillId="0" borderId="119" xfId="0" applyNumberFormat="1" applyFont="1" applyFill="1" applyBorder="1" applyProtection="1">
      <protection locked="0"/>
    </xf>
    <xf numFmtId="0" fontId="4" fillId="0" borderId="37" xfId="77" applyFont="1" applyFill="1" applyBorder="1" applyAlignment="1">
      <alignment horizontal="justify"/>
    </xf>
    <xf numFmtId="4" fontId="62" fillId="0" borderId="67" xfId="0" applyNumberFormat="1" applyFont="1" applyFill="1" applyBorder="1" applyProtection="1"/>
    <xf numFmtId="4" fontId="62" fillId="0" borderId="67" xfId="0" applyNumberFormat="1" applyFont="1" applyFill="1" applyBorder="1" applyAlignment="1">
      <alignment horizontal="right"/>
    </xf>
    <xf numFmtId="4" fontId="62" fillId="0" borderId="86" xfId="0" applyNumberFormat="1" applyFont="1" applyFill="1" applyBorder="1"/>
    <xf numFmtId="0" fontId="5" fillId="28" borderId="97" xfId="0" applyFont="1" applyFill="1" applyBorder="1" applyAlignment="1">
      <alignment horizontal="left"/>
    </xf>
    <xf numFmtId="2" fontId="5" fillId="28" borderId="103" xfId="0" applyNumberFormat="1" applyFont="1" applyFill="1" applyBorder="1"/>
    <xf numFmtId="0" fontId="5" fillId="28" borderId="38" xfId="0" applyFont="1" applyFill="1" applyBorder="1"/>
    <xf numFmtId="0" fontId="5" fillId="28" borderId="109" xfId="0" applyFont="1" applyFill="1" applyBorder="1"/>
    <xf numFmtId="3" fontId="5" fillId="28" borderId="64" xfId="0" applyNumberFormat="1" applyFont="1" applyFill="1" applyBorder="1"/>
    <xf numFmtId="3" fontId="5" fillId="28" borderId="45" xfId="0" applyNumberFormat="1" applyFont="1" applyFill="1" applyBorder="1" applyAlignment="1">
      <alignment horizontal="right"/>
    </xf>
    <xf numFmtId="4" fontId="5" fillId="28" borderId="27" xfId="0" applyNumberFormat="1" applyFont="1" applyFill="1" applyBorder="1" applyAlignment="1">
      <alignment horizontal="right"/>
    </xf>
    <xf numFmtId="4" fontId="5" fillId="28" borderId="110" xfId="0" applyNumberFormat="1" applyFont="1" applyFill="1" applyBorder="1" applyAlignment="1">
      <alignment horizontal="right"/>
    </xf>
    <xf numFmtId="3" fontId="5" fillId="28" borderId="102" xfId="0" applyNumberFormat="1" applyFont="1" applyFill="1" applyBorder="1"/>
    <xf numFmtId="4" fontId="5" fillId="28" borderId="75" xfId="0" applyNumberFormat="1" applyFont="1" applyFill="1" applyBorder="1"/>
    <xf numFmtId="0" fontId="5" fillId="28" borderId="73" xfId="0" applyFont="1" applyFill="1" applyBorder="1"/>
    <xf numFmtId="0" fontId="34" fillId="0" borderId="75" xfId="0" applyFont="1" applyBorder="1" applyAlignment="1">
      <alignment horizontal="justify"/>
    </xf>
    <xf numFmtId="0" fontId="34" fillId="0" borderId="72" xfId="0" applyFont="1" applyFill="1" applyBorder="1" applyAlignment="1">
      <alignment horizontal="justify"/>
    </xf>
    <xf numFmtId="0" fontId="34" fillId="0" borderId="108" xfId="0" applyFont="1" applyFill="1" applyBorder="1" applyAlignment="1">
      <alignment horizontal="justify"/>
    </xf>
    <xf numFmtId="0" fontId="34" fillId="0" borderId="73" xfId="0" applyFont="1" applyFill="1" applyBorder="1" applyAlignment="1">
      <alignment horizontal="justify"/>
    </xf>
    <xf numFmtId="0" fontId="5" fillId="28" borderId="108" xfId="0" applyFont="1" applyFill="1" applyBorder="1"/>
    <xf numFmtId="4" fontId="5" fillId="28" borderId="108" xfId="0" applyNumberFormat="1" applyFont="1" applyFill="1" applyBorder="1"/>
    <xf numFmtId="0" fontId="5" fillId="28" borderId="69" xfId="0" applyFont="1" applyFill="1" applyBorder="1"/>
    <xf numFmtId="4" fontId="5" fillId="28" borderId="69" xfId="0" applyNumberFormat="1" applyFont="1" applyFill="1" applyBorder="1"/>
    <xf numFmtId="4" fontId="5" fillId="28" borderId="73" xfId="0" applyNumberFormat="1" applyFont="1" applyFill="1" applyBorder="1"/>
    <xf numFmtId="4" fontId="5" fillId="28" borderId="67" xfId="0" applyNumberFormat="1" applyFont="1" applyFill="1" applyBorder="1"/>
    <xf numFmtId="3" fontId="6" fillId="0" borderId="16" xfId="0" applyNumberFormat="1" applyFont="1" applyBorder="1" applyAlignment="1">
      <alignment horizontal="left"/>
    </xf>
    <xf numFmtId="3" fontId="4" fillId="0" borderId="104" xfId="0" applyNumberFormat="1" applyFont="1" applyBorder="1"/>
    <xf numFmtId="0" fontId="5" fillId="0" borderId="0" xfId="0" applyFont="1" applyFill="1" applyBorder="1" applyAlignment="1">
      <alignment horizontal="justify"/>
    </xf>
    <xf numFmtId="0" fontId="5" fillId="28" borderId="18" xfId="0" applyFont="1" applyFill="1" applyBorder="1" applyAlignment="1">
      <alignment horizontal="left" wrapText="1"/>
    </xf>
    <xf numFmtId="4" fontId="5" fillId="28" borderId="56" xfId="0" applyNumberFormat="1" applyFont="1" applyFill="1" applyBorder="1"/>
    <xf numFmtId="3" fontId="5" fillId="28" borderId="61" xfId="0" applyNumberFormat="1" applyFont="1" applyFill="1" applyBorder="1"/>
    <xf numFmtId="3" fontId="5" fillId="28" borderId="33" xfId="0" applyNumberFormat="1" applyFont="1" applyFill="1" applyBorder="1"/>
    <xf numFmtId="0" fontId="5" fillId="28" borderId="40" xfId="0" applyFont="1" applyFill="1" applyBorder="1" applyAlignment="1"/>
    <xf numFmtId="0" fontId="71" fillId="28" borderId="37" xfId="0" applyFont="1" applyFill="1" applyBorder="1" applyAlignment="1"/>
    <xf numFmtId="0" fontId="71" fillId="28" borderId="39" xfId="0" applyFont="1" applyFill="1" applyBorder="1" applyAlignment="1"/>
    <xf numFmtId="0" fontId="5" fillId="28" borderId="40" xfId="0" applyFont="1" applyFill="1" applyBorder="1" applyAlignment="1">
      <alignment wrapText="1"/>
    </xf>
    <xf numFmtId="3" fontId="13" fillId="0" borderId="0" xfId="0" applyNumberFormat="1" applyFont="1" applyFill="1" applyAlignment="1">
      <alignment wrapText="1"/>
    </xf>
    <xf numFmtId="0" fontId="9" fillId="0" borderId="40" xfId="0" applyFont="1" applyFill="1" applyBorder="1" applyAlignment="1">
      <alignment horizontal="justify"/>
    </xf>
    <xf numFmtId="3" fontId="5" fillId="0" borderId="117" xfId="0" applyNumberFormat="1" applyFont="1" applyFill="1" applyBorder="1"/>
    <xf numFmtId="3" fontId="62" fillId="0" borderId="0" xfId="0" applyNumberFormat="1" applyFont="1" applyFill="1"/>
    <xf numFmtId="0" fontId="62" fillId="0" borderId="0" xfId="0" applyFont="1" applyFill="1"/>
    <xf numFmtId="0" fontId="73" fillId="0" borderId="0" xfId="0" applyFont="1" applyFill="1"/>
    <xf numFmtId="3" fontId="74" fillId="0" borderId="0" xfId="0" applyNumberFormat="1" applyFont="1"/>
    <xf numFmtId="0" fontId="74" fillId="0" borderId="0" xfId="0" applyFont="1"/>
    <xf numFmtId="0" fontId="73" fillId="0" borderId="0" xfId="0" applyFont="1" applyFill="1" applyBorder="1"/>
    <xf numFmtId="0" fontId="75" fillId="0" borderId="0" xfId="0" applyFont="1" applyFill="1"/>
    <xf numFmtId="0" fontId="62" fillId="0" borderId="0" xfId="0" applyFont="1" applyFill="1" applyBorder="1"/>
    <xf numFmtId="3" fontId="58" fillId="0" borderId="0" xfId="0" applyNumberFormat="1" applyFont="1" applyFill="1"/>
    <xf numFmtId="0" fontId="58" fillId="0" borderId="0" xfId="0" applyFont="1" applyFill="1"/>
    <xf numFmtId="3" fontId="75" fillId="0" borderId="0" xfId="0" applyNumberFormat="1" applyFont="1" applyFill="1"/>
    <xf numFmtId="3" fontId="38" fillId="0" borderId="0" xfId="0" applyNumberFormat="1" applyFont="1"/>
    <xf numFmtId="0" fontId="38" fillId="0" borderId="0" xfId="0" applyFont="1"/>
    <xf numFmtId="4" fontId="5" fillId="0" borderId="69" xfId="0" applyNumberFormat="1" applyFont="1" applyFill="1" applyBorder="1"/>
    <xf numFmtId="3" fontId="5" fillId="28" borderId="38" xfId="0" applyNumberFormat="1" applyFont="1" applyFill="1" applyBorder="1" applyAlignment="1">
      <alignment wrapText="1"/>
    </xf>
    <xf numFmtId="0" fontId="4" fillId="0" borderId="19" xfId="0" applyFont="1" applyBorder="1" applyAlignment="1">
      <alignment horizontal="center"/>
    </xf>
    <xf numFmtId="0" fontId="9" fillId="0" borderId="50" xfId="77" applyFont="1" applyFill="1" applyBorder="1" applyAlignment="1">
      <alignment horizontal="left" wrapText="1"/>
    </xf>
    <xf numFmtId="3" fontId="35" fillId="0" borderId="0" xfId="0" applyNumberFormat="1" applyFont="1" applyFill="1" applyBorder="1" applyAlignment="1">
      <alignment wrapText="1"/>
    </xf>
    <xf numFmtId="0" fontId="5" fillId="0" borderId="66" xfId="0" applyFont="1" applyFill="1" applyBorder="1"/>
    <xf numFmtId="0" fontId="9" fillId="0" borderId="37" xfId="0" applyFont="1" applyFill="1" applyBorder="1" applyAlignment="1" applyProtection="1">
      <alignment horizontal="left"/>
    </xf>
    <xf numFmtId="0" fontId="5" fillId="0" borderId="50" xfId="0" applyFont="1" applyFill="1" applyBorder="1" applyAlignment="1">
      <alignment wrapText="1"/>
    </xf>
    <xf numFmtId="3" fontId="5" fillId="29" borderId="0" xfId="0" applyNumberFormat="1" applyFont="1" applyFill="1"/>
    <xf numFmtId="3" fontId="74" fillId="29" borderId="0" xfId="0" applyNumberFormat="1" applyFont="1" applyFill="1"/>
    <xf numFmtId="4" fontId="62" fillId="0" borderId="84" xfId="0" applyNumberFormat="1" applyFont="1" applyFill="1" applyBorder="1" applyAlignment="1">
      <alignment horizontal="right"/>
    </xf>
    <xf numFmtId="0" fontId="37" fillId="0" borderId="69" xfId="0" applyFont="1" applyFill="1" applyBorder="1" applyAlignment="1">
      <alignment horizontal="left" wrapText="1"/>
    </xf>
    <xf numFmtId="0" fontId="5" fillId="28" borderId="75" xfId="0" applyFont="1" applyFill="1" applyBorder="1" applyAlignment="1">
      <alignment wrapText="1"/>
    </xf>
    <xf numFmtId="0" fontId="5" fillId="28" borderId="73" xfId="0" applyFont="1" applyFill="1" applyBorder="1" applyAlignment="1">
      <alignment wrapText="1"/>
    </xf>
    <xf numFmtId="0" fontId="15" fillId="0" borderId="77" xfId="0" applyFont="1" applyFill="1" applyBorder="1"/>
    <xf numFmtId="0" fontId="4" fillId="0" borderId="44" xfId="0" applyFont="1" applyBorder="1" applyAlignment="1">
      <alignment horizontal="center"/>
    </xf>
    <xf numFmtId="0" fontId="4" fillId="27" borderId="45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27" borderId="45" xfId="0" applyFont="1" applyFill="1" applyBorder="1" applyAlignment="1">
      <alignment horizontal="center"/>
    </xf>
    <xf numFmtId="0" fontId="4" fillId="27" borderId="47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27" borderId="28" xfId="0" applyFont="1" applyFill="1" applyBorder="1" applyAlignment="1">
      <alignment horizontal="center"/>
    </xf>
    <xf numFmtId="0" fontId="58" fillId="0" borderId="23" xfId="0" applyFont="1" applyFill="1" applyBorder="1" applyAlignment="1" applyProtection="1">
      <alignment horizontal="left"/>
    </xf>
    <xf numFmtId="0" fontId="62" fillId="0" borderId="46" xfId="0" applyFont="1" applyFill="1" applyBorder="1"/>
    <xf numFmtId="0" fontId="75" fillId="0" borderId="46" xfId="0" applyFont="1" applyFill="1" applyBorder="1"/>
    <xf numFmtId="0" fontId="58" fillId="0" borderId="83" xfId="0" applyFont="1" applyFill="1" applyBorder="1" applyAlignment="1">
      <alignment horizontal="center"/>
    </xf>
    <xf numFmtId="0" fontId="58" fillId="0" borderId="83" xfId="0" applyFont="1" applyBorder="1" applyAlignment="1">
      <alignment horizontal="center"/>
    </xf>
    <xf numFmtId="0" fontId="62" fillId="0" borderId="19" xfId="0" applyFont="1" applyFill="1" applyBorder="1"/>
    <xf numFmtId="0" fontId="58" fillId="0" borderId="16" xfId="0" applyFont="1" applyFill="1" applyBorder="1" applyAlignment="1" applyProtection="1">
      <alignment horizontal="left"/>
    </xf>
    <xf numFmtId="0" fontId="58" fillId="0" borderId="16" xfId="0" applyFont="1" applyFill="1" applyBorder="1" applyAlignment="1" applyProtection="1">
      <alignment horizontal="right"/>
    </xf>
    <xf numFmtId="0" fontId="58" fillId="0" borderId="76" xfId="0" applyFont="1" applyFill="1" applyBorder="1" applyAlignment="1">
      <alignment horizontal="center"/>
    </xf>
    <xf numFmtId="0" fontId="58" fillId="0" borderId="76" xfId="0" applyFont="1" applyBorder="1" applyAlignment="1">
      <alignment horizontal="center"/>
    </xf>
    <xf numFmtId="0" fontId="58" fillId="0" borderId="70" xfId="0" applyFont="1" applyFill="1" applyBorder="1" applyAlignment="1">
      <alignment horizontal="center"/>
    </xf>
    <xf numFmtId="0" fontId="58" fillId="0" borderId="70" xfId="0" applyFont="1" applyBorder="1" applyAlignment="1">
      <alignment horizontal="center"/>
    </xf>
    <xf numFmtId="0" fontId="75" fillId="0" borderId="23" xfId="0" applyFont="1" applyFill="1" applyBorder="1"/>
    <xf numFmtId="0" fontId="75" fillId="0" borderId="46" xfId="0" applyFont="1" applyFill="1" applyBorder="1" applyAlignment="1" applyProtection="1">
      <alignment horizontal="left"/>
    </xf>
    <xf numFmtId="0" fontId="58" fillId="0" borderId="46" xfId="0" applyFont="1" applyFill="1" applyBorder="1" applyAlignment="1" applyProtection="1">
      <alignment horizontal="left"/>
    </xf>
    <xf numFmtId="0" fontId="58" fillId="0" borderId="53" xfId="0" applyFont="1" applyFill="1" applyBorder="1" applyAlignment="1" applyProtection="1">
      <alignment horizontal="left"/>
    </xf>
    <xf numFmtId="3" fontId="58" fillId="0" borderId="83" xfId="0" applyNumberFormat="1" applyFont="1" applyFill="1" applyBorder="1" applyProtection="1"/>
    <xf numFmtId="0" fontId="73" fillId="0" borderId="18" xfId="0" applyFont="1" applyFill="1" applyBorder="1" applyProtection="1"/>
    <xf numFmtId="0" fontId="73" fillId="0" borderId="16" xfId="0" applyFont="1" applyFill="1" applyBorder="1" applyAlignment="1" applyProtection="1">
      <alignment horizontal="left"/>
    </xf>
    <xf numFmtId="0" fontId="73" fillId="0" borderId="50" xfId="0" applyFont="1" applyFill="1" applyBorder="1" applyProtection="1"/>
    <xf numFmtId="0" fontId="73" fillId="0" borderId="0" xfId="0" applyFont="1" applyFill="1" applyBorder="1" applyProtection="1"/>
    <xf numFmtId="3" fontId="80" fillId="0" borderId="75" xfId="0" applyNumberFormat="1" applyFont="1" applyFill="1" applyBorder="1"/>
    <xf numFmtId="4" fontId="62" fillId="0" borderId="75" xfId="0" applyNumberFormat="1" applyFont="1" applyFill="1" applyBorder="1" applyProtection="1"/>
    <xf numFmtId="3" fontId="73" fillId="0" borderId="38" xfId="0" applyNumberFormat="1" applyFont="1" applyFill="1" applyBorder="1"/>
    <xf numFmtId="4" fontId="75" fillId="0" borderId="75" xfId="0" applyNumberFormat="1" applyFont="1" applyFill="1" applyBorder="1" applyProtection="1"/>
    <xf numFmtId="3" fontId="73" fillId="0" borderId="75" xfId="0" applyNumberFormat="1" applyFont="1" applyFill="1" applyBorder="1"/>
    <xf numFmtId="0" fontId="62" fillId="0" borderId="18" xfId="0" applyFont="1" applyFill="1" applyBorder="1" applyProtection="1"/>
    <xf numFmtId="0" fontId="62" fillId="0" borderId="50" xfId="0" applyFont="1" applyFill="1" applyBorder="1" applyProtection="1"/>
    <xf numFmtId="0" fontId="62" fillId="0" borderId="37" xfId="0" applyFont="1" applyFill="1" applyBorder="1" applyProtection="1"/>
    <xf numFmtId="3" fontId="62" fillId="0" borderId="79" xfId="0" applyNumberFormat="1" applyFont="1" applyFill="1" applyBorder="1" applyProtection="1">
      <protection locked="0"/>
    </xf>
    <xf numFmtId="3" fontId="62" fillId="0" borderId="38" xfId="0" applyNumberFormat="1" applyFont="1" applyFill="1" applyBorder="1"/>
    <xf numFmtId="3" fontId="62" fillId="0" borderId="75" xfId="0" applyNumberFormat="1" applyFont="1" applyFill="1" applyBorder="1"/>
    <xf numFmtId="3" fontId="62" fillId="0" borderId="50" xfId="0" applyNumberFormat="1" applyFont="1" applyFill="1" applyBorder="1"/>
    <xf numFmtId="3" fontId="62" fillId="0" borderId="40" xfId="0" applyNumberFormat="1" applyFont="1" applyFill="1" applyBorder="1"/>
    <xf numFmtId="3" fontId="62" fillId="0" borderId="73" xfId="0" applyNumberFormat="1" applyFont="1" applyFill="1" applyBorder="1"/>
    <xf numFmtId="0" fontId="62" fillId="0" borderId="0" xfId="0" applyFont="1" applyFill="1" applyBorder="1" applyProtection="1"/>
    <xf numFmtId="0" fontId="62" fillId="0" borderId="79" xfId="0" applyFont="1" applyFill="1" applyBorder="1" applyAlignment="1">
      <alignment horizontal="left"/>
    </xf>
    <xf numFmtId="4" fontId="62" fillId="0" borderId="73" xfId="0" applyNumberFormat="1" applyFont="1" applyFill="1" applyBorder="1" applyProtection="1"/>
    <xf numFmtId="0" fontId="62" fillId="0" borderId="50" xfId="0" applyFont="1" applyFill="1" applyBorder="1" applyAlignment="1">
      <alignment horizontal="left"/>
    </xf>
    <xf numFmtId="0" fontId="62" fillId="0" borderId="85" xfId="0" applyFont="1" applyFill="1" applyBorder="1" applyAlignment="1">
      <alignment horizontal="left"/>
    </xf>
    <xf numFmtId="0" fontId="62" fillId="0" borderId="66" xfId="0" applyFont="1" applyFill="1" applyBorder="1" applyProtection="1"/>
    <xf numFmtId="0" fontId="62" fillId="0" borderId="66" xfId="0" applyFont="1" applyFill="1" applyBorder="1" applyAlignment="1">
      <alignment horizontal="left"/>
    </xf>
    <xf numFmtId="0" fontId="62" fillId="0" borderId="74" xfId="0" applyFont="1" applyFill="1" applyBorder="1" applyAlignment="1">
      <alignment horizontal="left"/>
    </xf>
    <xf numFmtId="3" fontId="62" fillId="0" borderId="62" xfId="0" applyNumberFormat="1" applyFont="1" applyFill="1" applyBorder="1"/>
    <xf numFmtId="3" fontId="62" fillId="0" borderId="72" xfId="0" applyNumberFormat="1" applyFont="1" applyFill="1" applyBorder="1"/>
    <xf numFmtId="4" fontId="62" fillId="0" borderId="72" xfId="0" applyNumberFormat="1" applyFont="1" applyFill="1" applyBorder="1" applyProtection="1"/>
    <xf numFmtId="0" fontId="75" fillId="0" borderId="18" xfId="0" applyFont="1" applyFill="1" applyBorder="1" applyProtection="1"/>
    <xf numFmtId="0" fontId="80" fillId="0" borderId="18" xfId="0" applyFont="1" applyFill="1" applyBorder="1"/>
    <xf numFmtId="4" fontId="80" fillId="0" borderId="88" xfId="0" applyNumberFormat="1" applyFont="1" applyFill="1" applyBorder="1" applyProtection="1"/>
    <xf numFmtId="0" fontId="75" fillId="0" borderId="18" xfId="0" applyFont="1" applyFill="1" applyBorder="1"/>
    <xf numFmtId="0" fontId="58" fillId="0" borderId="84" xfId="0" applyFont="1" applyFill="1" applyBorder="1" applyAlignment="1" applyProtection="1">
      <alignment horizontal="left"/>
    </xf>
    <xf numFmtId="0" fontId="62" fillId="0" borderId="18" xfId="0" applyFont="1" applyFill="1" applyBorder="1"/>
    <xf numFmtId="0" fontId="81" fillId="0" borderId="0" xfId="0" applyFont="1" applyFill="1" applyBorder="1" applyAlignment="1" applyProtection="1"/>
    <xf numFmtId="3" fontId="80" fillId="0" borderId="50" xfId="0" applyNumberFormat="1" applyFont="1" applyFill="1" applyBorder="1" applyAlignment="1" applyProtection="1"/>
    <xf numFmtId="3" fontId="62" fillId="0" borderId="75" xfId="0" applyNumberFormat="1" applyFont="1" applyFill="1" applyBorder="1" applyProtection="1"/>
    <xf numFmtId="3" fontId="80" fillId="0" borderId="37" xfId="0" applyNumberFormat="1" applyFont="1" applyFill="1" applyBorder="1" applyAlignment="1" applyProtection="1"/>
    <xf numFmtId="0" fontId="62" fillId="0" borderId="79" xfId="0" applyFont="1" applyFill="1" applyBorder="1"/>
    <xf numFmtId="0" fontId="62" fillId="0" borderId="37" xfId="77" applyFont="1" applyFill="1" applyBorder="1" applyAlignment="1">
      <alignment horizontal="justify"/>
    </xf>
    <xf numFmtId="3" fontId="62" fillId="0" borderId="73" xfId="0" applyNumberFormat="1" applyFont="1" applyFill="1" applyBorder="1" applyProtection="1"/>
    <xf numFmtId="3" fontId="62" fillId="0" borderId="74" xfId="0" applyNumberFormat="1" applyFont="1" applyFill="1" applyBorder="1" applyProtection="1">
      <protection locked="0"/>
    </xf>
    <xf numFmtId="0" fontId="75" fillId="0" borderId="19" xfId="0" applyFont="1" applyFill="1" applyBorder="1"/>
    <xf numFmtId="3" fontId="58" fillId="0" borderId="70" xfId="0" applyNumberFormat="1" applyFont="1" applyFill="1" applyBorder="1" applyProtection="1">
      <protection locked="0"/>
    </xf>
    <xf numFmtId="0" fontId="58" fillId="0" borderId="46" xfId="0" applyFont="1" applyFill="1" applyBorder="1" applyAlignment="1">
      <alignment horizontal="center"/>
    </xf>
    <xf numFmtId="3" fontId="58" fillId="0" borderId="83" xfId="0" applyNumberFormat="1" applyFont="1" applyFill="1" applyBorder="1" applyProtection="1">
      <protection locked="0"/>
    </xf>
    <xf numFmtId="3" fontId="58" fillId="0" borderId="46" xfId="0" applyNumberFormat="1" applyFont="1" applyFill="1" applyBorder="1" applyProtection="1">
      <protection locked="0"/>
    </xf>
    <xf numFmtId="0" fontId="58" fillId="0" borderId="18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86" xfId="0" applyFont="1" applyFill="1" applyBorder="1" applyAlignment="1" applyProtection="1">
      <alignment horizontal="left"/>
    </xf>
    <xf numFmtId="3" fontId="58" fillId="0" borderId="69" xfId="0" applyNumberFormat="1" applyFont="1" applyFill="1" applyBorder="1" applyProtection="1">
      <protection locked="0"/>
    </xf>
    <xf numFmtId="3" fontId="58" fillId="0" borderId="0" xfId="0" applyNumberFormat="1" applyFont="1" applyFill="1" applyBorder="1" applyProtection="1">
      <protection locked="0"/>
    </xf>
    <xf numFmtId="3" fontId="62" fillId="0" borderId="73" xfId="0" applyNumberFormat="1" applyFont="1" applyFill="1" applyBorder="1" applyProtection="1">
      <protection locked="0"/>
    </xf>
    <xf numFmtId="4" fontId="58" fillId="0" borderId="73" xfId="0" applyNumberFormat="1" applyFont="1" applyFill="1" applyBorder="1" applyProtection="1"/>
    <xf numFmtId="0" fontId="62" fillId="0" borderId="66" xfId="77" applyFont="1" applyFill="1" applyBorder="1" applyAlignment="1">
      <alignment horizontal="left"/>
    </xf>
    <xf numFmtId="0" fontId="62" fillId="0" borderId="66" xfId="77" applyFont="1" applyFill="1" applyBorder="1" applyAlignment="1">
      <alignment horizontal="justify"/>
    </xf>
    <xf numFmtId="0" fontId="62" fillId="0" borderId="74" xfId="0" applyFont="1" applyFill="1" applyBorder="1"/>
    <xf numFmtId="3" fontId="62" fillId="0" borderId="72" xfId="0" applyNumberFormat="1" applyFont="1" applyFill="1" applyBorder="1" applyProtection="1"/>
    <xf numFmtId="0" fontId="81" fillId="0" borderId="0" xfId="0" applyFont="1" applyFill="1" applyBorder="1" applyAlignment="1" applyProtection="1">
      <alignment horizontal="left"/>
    </xf>
    <xf numFmtId="0" fontId="58" fillId="27" borderId="83" xfId="0" applyFont="1" applyFill="1" applyBorder="1" applyAlignment="1">
      <alignment horizontal="center"/>
    </xf>
    <xf numFmtId="0" fontId="62" fillId="0" borderId="0" xfId="77" applyFont="1" applyFill="1" applyBorder="1" applyAlignment="1">
      <alignment horizontal="left"/>
    </xf>
    <xf numFmtId="3" fontId="62" fillId="0" borderId="69" xfId="0" applyNumberFormat="1" applyFont="1" applyFill="1" applyBorder="1" applyProtection="1"/>
    <xf numFmtId="0" fontId="62" fillId="0" borderId="50" xfId="0" applyFont="1" applyFill="1" applyBorder="1"/>
    <xf numFmtId="0" fontId="58" fillId="0" borderId="37" xfId="0" applyFont="1" applyFill="1" applyBorder="1" applyAlignment="1">
      <alignment horizontal="center"/>
    </xf>
    <xf numFmtId="0" fontId="58" fillId="0" borderId="79" xfId="0" applyFont="1" applyFill="1" applyBorder="1" applyAlignment="1" applyProtection="1">
      <alignment horizontal="left"/>
    </xf>
    <xf numFmtId="3" fontId="58" fillId="0" borderId="73" xfId="0" applyNumberFormat="1" applyFont="1" applyFill="1" applyBorder="1" applyProtection="1">
      <protection locked="0"/>
    </xf>
    <xf numFmtId="3" fontId="58" fillId="0" borderId="37" xfId="0" applyNumberFormat="1" applyFont="1" applyFill="1" applyBorder="1" applyProtection="1">
      <protection locked="0"/>
    </xf>
    <xf numFmtId="0" fontId="75" fillId="0" borderId="17" xfId="0" applyFont="1" applyFill="1" applyBorder="1"/>
    <xf numFmtId="0" fontId="75" fillId="0" borderId="22" xfId="0" applyFont="1" applyFill="1" applyBorder="1" applyAlignment="1" applyProtection="1">
      <alignment horizontal="left"/>
    </xf>
    <xf numFmtId="0" fontId="58" fillId="0" borderId="22" xfId="0" applyFont="1" applyFill="1" applyBorder="1" applyAlignment="1" applyProtection="1">
      <alignment horizontal="left"/>
    </xf>
    <xf numFmtId="3" fontId="58" fillId="0" borderId="76" xfId="0" applyNumberFormat="1" applyFont="1" applyFill="1" applyBorder="1" applyProtection="1"/>
    <xf numFmtId="4" fontId="58" fillId="0" borderId="76" xfId="0" applyNumberFormat="1" applyFont="1" applyFill="1" applyBorder="1" applyProtection="1"/>
    <xf numFmtId="0" fontId="75" fillId="0" borderId="0" xfId="0" applyFont="1" applyFill="1" applyBorder="1" applyAlignment="1" applyProtection="1">
      <alignment horizontal="left"/>
    </xf>
    <xf numFmtId="0" fontId="58" fillId="0" borderId="0" xfId="0" applyFont="1" applyFill="1" applyBorder="1" applyAlignment="1" applyProtection="1">
      <alignment horizontal="left"/>
    </xf>
    <xf numFmtId="3" fontId="58" fillId="0" borderId="69" xfId="0" applyNumberFormat="1" applyFont="1" applyFill="1" applyBorder="1" applyProtection="1"/>
    <xf numFmtId="4" fontId="58" fillId="0" borderId="83" xfId="0" applyNumberFormat="1" applyFont="1" applyFill="1" applyBorder="1" applyProtection="1"/>
    <xf numFmtId="3" fontId="58" fillId="0" borderId="75" xfId="0" applyNumberFormat="1" applyFont="1" applyFill="1" applyBorder="1" applyProtection="1"/>
    <xf numFmtId="4" fontId="58" fillId="0" borderId="75" xfId="0" applyNumberFormat="1" applyFont="1" applyFill="1" applyBorder="1" applyProtection="1"/>
    <xf numFmtId="0" fontId="62" fillId="0" borderId="0" xfId="0" applyFont="1" applyFill="1" applyBorder="1" applyAlignment="1">
      <alignment horizontal="left"/>
    </xf>
    <xf numFmtId="3" fontId="80" fillId="0" borderId="75" xfId="0" applyNumberFormat="1" applyFont="1" applyFill="1" applyBorder="1" applyProtection="1">
      <protection locked="0"/>
    </xf>
    <xf numFmtId="4" fontId="80" fillId="0" borderId="73" xfId="0" applyNumberFormat="1" applyFont="1" applyFill="1" applyBorder="1" applyProtection="1"/>
    <xf numFmtId="3" fontId="80" fillId="0" borderId="73" xfId="0" applyNumberFormat="1" applyFont="1" applyFill="1" applyBorder="1" applyProtection="1">
      <protection locked="0"/>
    </xf>
    <xf numFmtId="4" fontId="80" fillId="0" borderId="69" xfId="0" applyNumberFormat="1" applyFont="1" applyFill="1" applyBorder="1" applyProtection="1"/>
    <xf numFmtId="0" fontId="62" fillId="0" borderId="50" xfId="77" applyFont="1" applyFill="1" applyBorder="1" applyAlignment="1">
      <alignment horizontal="left"/>
    </xf>
    <xf numFmtId="0" fontId="62" fillId="0" borderId="37" xfId="0" applyFont="1" applyFill="1" applyBorder="1"/>
    <xf numFmtId="0" fontId="58" fillId="0" borderId="22" xfId="0" applyFont="1" applyFill="1" applyBorder="1" applyAlignment="1">
      <alignment horizontal="center"/>
    </xf>
    <xf numFmtId="3" fontId="58" fillId="0" borderId="76" xfId="0" applyNumberFormat="1" applyFont="1" applyFill="1" applyBorder="1" applyProtection="1">
      <protection locked="0"/>
    </xf>
    <xf numFmtId="4" fontId="75" fillId="0" borderId="76" xfId="0" applyNumberFormat="1" applyFont="1" applyFill="1" applyBorder="1" applyProtection="1"/>
    <xf numFmtId="0" fontId="62" fillId="0" borderId="53" xfId="0" applyFont="1" applyFill="1" applyBorder="1"/>
    <xf numFmtId="0" fontId="62" fillId="0" borderId="83" xfId="0" applyFont="1" applyFill="1" applyBorder="1"/>
    <xf numFmtId="0" fontId="62" fillId="0" borderId="69" xfId="0" applyFont="1" applyFill="1" applyBorder="1"/>
    <xf numFmtId="0" fontId="81" fillId="0" borderId="18" xfId="0" applyFont="1" applyFill="1" applyBorder="1" applyAlignment="1" applyProtection="1">
      <alignment horizontal="left"/>
    </xf>
    <xf numFmtId="0" fontId="62" fillId="0" borderId="0" xfId="0" applyFont="1" applyFill="1" applyBorder="1" applyAlignment="1" applyProtection="1">
      <alignment horizontal="left"/>
    </xf>
    <xf numFmtId="3" fontId="58" fillId="0" borderId="0" xfId="0" applyNumberFormat="1" applyFont="1" applyFill="1" applyBorder="1" applyProtection="1"/>
    <xf numFmtId="3" fontId="62" fillId="0" borderId="75" xfId="0" applyNumberFormat="1" applyFont="1" applyFill="1" applyBorder="1" applyProtection="1">
      <protection locked="0"/>
    </xf>
    <xf numFmtId="0" fontId="62" fillId="0" borderId="37" xfId="0" applyFont="1" applyFill="1" applyBorder="1" applyAlignment="1" applyProtection="1">
      <alignment horizontal="left"/>
    </xf>
    <xf numFmtId="0" fontId="80" fillId="0" borderId="37" xfId="0" applyFont="1" applyFill="1" applyBorder="1" applyAlignment="1" applyProtection="1">
      <alignment horizontal="left"/>
    </xf>
    <xf numFmtId="0" fontId="81" fillId="0" borderId="37" xfId="0" applyFont="1" applyFill="1" applyBorder="1" applyAlignment="1" applyProtection="1">
      <alignment horizontal="left"/>
    </xf>
    <xf numFmtId="3" fontId="58" fillId="0" borderId="37" xfId="0" applyNumberFormat="1" applyFont="1" applyFill="1" applyBorder="1" applyProtection="1"/>
    <xf numFmtId="0" fontId="58" fillId="0" borderId="0" xfId="0" applyFont="1" applyFill="1" applyBorder="1"/>
    <xf numFmtId="4" fontId="80" fillId="0" borderId="75" xfId="0" applyNumberFormat="1" applyFont="1" applyFill="1" applyBorder="1" applyProtection="1"/>
    <xf numFmtId="3" fontId="62" fillId="0" borderId="69" xfId="0" applyNumberFormat="1" applyFont="1" applyFill="1" applyBorder="1" applyProtection="1">
      <protection locked="0"/>
    </xf>
    <xf numFmtId="0" fontId="73" fillId="0" borderId="22" xfId="0" applyFont="1" applyFill="1" applyBorder="1" applyAlignment="1" applyProtection="1">
      <alignment horizontal="left"/>
    </xf>
    <xf numFmtId="3" fontId="75" fillId="0" borderId="76" xfId="0" applyNumberFormat="1" applyFont="1" applyFill="1" applyBorder="1" applyProtection="1">
      <protection locked="0"/>
    </xf>
    <xf numFmtId="0" fontId="62" fillId="0" borderId="23" xfId="0" applyFont="1" applyFill="1" applyBorder="1"/>
    <xf numFmtId="0" fontId="81" fillId="0" borderId="46" xfId="0" applyFont="1" applyFill="1" applyBorder="1" applyAlignment="1" applyProtection="1"/>
    <xf numFmtId="3" fontId="80" fillId="0" borderId="118" xfId="0" applyNumberFormat="1" applyFont="1" applyFill="1" applyBorder="1" applyAlignment="1" applyProtection="1"/>
    <xf numFmtId="0" fontId="62" fillId="0" borderId="127" xfId="0" applyFont="1" applyFill="1" applyBorder="1"/>
    <xf numFmtId="3" fontId="62" fillId="0" borderId="108" xfId="0" applyNumberFormat="1" applyFont="1" applyFill="1" applyBorder="1" applyProtection="1"/>
    <xf numFmtId="0" fontId="5" fillId="0" borderId="86" xfId="0" applyFont="1" applyFill="1" applyBorder="1"/>
    <xf numFmtId="0" fontId="57" fillId="0" borderId="18" xfId="0" applyFont="1" applyFill="1" applyBorder="1"/>
    <xf numFmtId="2" fontId="4" fillId="0" borderId="81" xfId="0" applyNumberFormat="1" applyFont="1" applyFill="1" applyBorder="1"/>
    <xf numFmtId="3" fontId="57" fillId="0" borderId="16" xfId="0" applyNumberFormat="1" applyFont="1" applyBorder="1" applyAlignment="1">
      <alignment horizontal="left"/>
    </xf>
    <xf numFmtId="3" fontId="60" fillId="0" borderId="0" xfId="0" applyNumberFormat="1" applyFont="1" applyFill="1" applyBorder="1" applyAlignment="1">
      <alignment horizontal="right"/>
    </xf>
    <xf numFmtId="0" fontId="60" fillId="0" borderId="70" xfId="0" applyFont="1" applyFill="1" applyBorder="1" applyAlignment="1">
      <alignment horizontal="center"/>
    </xf>
    <xf numFmtId="3" fontId="8" fillId="0" borderId="107" xfId="78" applyNumberFormat="1" applyFont="1" applyFill="1" applyBorder="1" applyAlignment="1">
      <alignment horizontal="right" wrapText="1"/>
    </xf>
    <xf numFmtId="0" fontId="15" fillId="0" borderId="83" xfId="0" applyFont="1" applyFill="1" applyBorder="1" applyAlignment="1">
      <alignment horizontal="center"/>
    </xf>
    <xf numFmtId="0" fontId="15" fillId="0" borderId="70" xfId="0" applyFont="1" applyFill="1" applyBorder="1" applyAlignment="1">
      <alignment horizontal="center"/>
    </xf>
    <xf numFmtId="0" fontId="5" fillId="0" borderId="86" xfId="0" applyFont="1" applyBorder="1"/>
    <xf numFmtId="0" fontId="5" fillId="0" borderId="19" xfId="0" applyFont="1" applyBorder="1" applyAlignment="1">
      <alignment horizontal="center"/>
    </xf>
    <xf numFmtId="3" fontId="16" fillId="0" borderId="21" xfId="0" applyNumberFormat="1" applyFont="1" applyBorder="1"/>
    <xf numFmtId="3" fontId="5" fillId="28" borderId="47" xfId="0" applyNumberFormat="1" applyFont="1" applyFill="1" applyBorder="1"/>
    <xf numFmtId="3" fontId="5" fillId="28" borderId="0" xfId="0" applyNumberFormat="1" applyFont="1" applyFill="1" applyBorder="1"/>
    <xf numFmtId="3" fontId="5" fillId="28" borderId="37" xfId="0" applyNumberFormat="1" applyFont="1" applyFill="1" applyBorder="1"/>
    <xf numFmtId="3" fontId="4" fillId="0" borderId="94" xfId="0" applyNumberFormat="1" applyFont="1" applyFill="1" applyBorder="1"/>
    <xf numFmtId="4" fontId="4" fillId="0" borderId="60" xfId="0" applyNumberFormat="1" applyFont="1" applyFill="1" applyBorder="1"/>
    <xf numFmtId="3" fontId="4" fillId="0" borderId="86" xfId="0" applyNumberFormat="1" applyFont="1" applyFill="1" applyBorder="1"/>
    <xf numFmtId="0" fontId="82" fillId="0" borderId="23" xfId="0" applyFont="1" applyBorder="1" applyAlignment="1">
      <alignment horizontal="center"/>
    </xf>
    <xf numFmtId="0" fontId="82" fillId="27" borderId="46" xfId="0" applyFont="1" applyFill="1" applyBorder="1" applyAlignment="1">
      <alignment horizontal="center"/>
    </xf>
    <xf numFmtId="0" fontId="82" fillId="0" borderId="83" xfId="0" applyFont="1" applyBorder="1" applyAlignment="1">
      <alignment horizontal="center"/>
    </xf>
    <xf numFmtId="0" fontId="82" fillId="0" borderId="18" xfId="0" applyFont="1" applyBorder="1" applyAlignment="1">
      <alignment horizontal="center"/>
    </xf>
    <xf numFmtId="0" fontId="82" fillId="0" borderId="91" xfId="0" applyFont="1" applyBorder="1" applyAlignment="1">
      <alignment horizontal="center"/>
    </xf>
    <xf numFmtId="3" fontId="82" fillId="0" borderId="54" xfId="0" applyNumberFormat="1" applyFont="1" applyBorder="1" applyAlignment="1">
      <alignment horizontal="center"/>
    </xf>
    <xf numFmtId="0" fontId="82" fillId="27" borderId="0" xfId="0" applyFont="1" applyFill="1" applyBorder="1" applyAlignment="1">
      <alignment horizontal="center"/>
    </xf>
    <xf numFmtId="0" fontId="82" fillId="0" borderId="70" xfId="0" applyFont="1" applyBorder="1" applyAlignment="1">
      <alignment horizontal="center"/>
    </xf>
    <xf numFmtId="0" fontId="83" fillId="0" borderId="23" xfId="0" applyFont="1" applyBorder="1"/>
    <xf numFmtId="3" fontId="83" fillId="0" borderId="45" xfId="0" applyNumberFormat="1" applyFont="1" applyBorder="1"/>
    <xf numFmtId="2" fontId="83" fillId="0" borderId="27" xfId="0" applyNumberFormat="1" applyFont="1" applyBorder="1"/>
    <xf numFmtId="0" fontId="83" fillId="0" borderId="40" xfId="0" applyFont="1" applyBorder="1"/>
    <xf numFmtId="3" fontId="83" fillId="0" borderId="36" xfId="0" applyNumberFormat="1" applyFont="1" applyBorder="1"/>
    <xf numFmtId="3" fontId="83" fillId="0" borderId="34" xfId="0" applyNumberFormat="1" applyFont="1" applyBorder="1"/>
    <xf numFmtId="2" fontId="83" fillId="0" borderId="68" xfId="0" applyNumberFormat="1" applyFont="1" applyBorder="1"/>
    <xf numFmtId="0" fontId="83" fillId="0" borderId="18" xfId="0" applyFont="1" applyBorder="1"/>
    <xf numFmtId="3" fontId="83" fillId="0" borderId="15" xfId="0" applyNumberFormat="1" applyFont="1" applyBorder="1"/>
    <xf numFmtId="3" fontId="83" fillId="0" borderId="29" xfId="0" applyNumberFormat="1" applyFont="1" applyBorder="1"/>
    <xf numFmtId="2" fontId="83" fillId="0" borderId="59" xfId="0" applyNumberFormat="1" applyFont="1" applyBorder="1"/>
    <xf numFmtId="0" fontId="82" fillId="0" borderId="17" xfId="0" applyFont="1" applyBorder="1" applyAlignment="1">
      <alignment horizontal="center"/>
    </xf>
    <xf numFmtId="3" fontId="82" fillId="0" borderId="43" xfId="0" applyNumberFormat="1" applyFont="1" applyBorder="1"/>
    <xf numFmtId="3" fontId="82" fillId="0" borderId="44" xfId="0" applyNumberFormat="1" applyFont="1" applyBorder="1"/>
    <xf numFmtId="2" fontId="82" fillId="0" borderId="54" xfId="0" applyNumberFormat="1" applyFont="1" applyBorder="1"/>
    <xf numFmtId="0" fontId="84" fillId="0" borderId="23" xfId="0" applyFont="1" applyBorder="1" applyAlignment="1">
      <alignment horizontal="center"/>
    </xf>
    <xf numFmtId="3" fontId="82" fillId="0" borderId="45" xfId="0" applyNumberFormat="1" applyFont="1" applyBorder="1"/>
    <xf numFmtId="0" fontId="83" fillId="28" borderId="38" xfId="0" applyFont="1" applyFill="1" applyBorder="1"/>
    <xf numFmtId="3" fontId="83" fillId="28" borderId="51" xfId="0" applyNumberFormat="1" applyFont="1" applyFill="1" applyBorder="1"/>
    <xf numFmtId="3" fontId="83" fillId="28" borderId="15" xfId="0" applyNumberFormat="1" applyFont="1" applyFill="1" applyBorder="1"/>
    <xf numFmtId="4" fontId="83" fillId="28" borderId="59" xfId="0" applyNumberFormat="1" applyFont="1" applyFill="1" applyBorder="1"/>
    <xf numFmtId="3" fontId="83" fillId="28" borderId="40" xfId="0" applyNumberFormat="1" applyFont="1" applyFill="1" applyBorder="1" applyAlignment="1">
      <alignment wrapText="1"/>
    </xf>
    <xf numFmtId="3" fontId="83" fillId="28" borderId="36" xfId="0" applyNumberFormat="1" applyFont="1" applyFill="1" applyBorder="1"/>
    <xf numFmtId="4" fontId="83" fillId="28" borderId="68" xfId="0" applyNumberFormat="1" applyFont="1" applyFill="1" applyBorder="1"/>
    <xf numFmtId="3" fontId="83" fillId="28" borderId="34" xfId="0" applyNumberFormat="1" applyFont="1" applyFill="1" applyBorder="1"/>
    <xf numFmtId="3" fontId="83" fillId="0" borderId="40" xfId="0" applyNumberFormat="1" applyFont="1" applyFill="1" applyBorder="1" applyAlignment="1">
      <alignment wrapText="1"/>
    </xf>
    <xf numFmtId="3" fontId="83" fillId="0" borderId="36" xfId="0" applyNumberFormat="1" applyFont="1" applyFill="1" applyBorder="1"/>
    <xf numFmtId="3" fontId="83" fillId="0" borderId="34" xfId="0" applyNumberFormat="1" applyFont="1" applyFill="1" applyBorder="1"/>
    <xf numFmtId="4" fontId="83" fillId="0" borderId="68" xfId="0" applyNumberFormat="1" applyFont="1" applyFill="1" applyBorder="1"/>
    <xf numFmtId="3" fontId="83" fillId="28" borderId="18" xfId="0" applyNumberFormat="1" applyFont="1" applyFill="1" applyBorder="1" applyAlignment="1">
      <alignment wrapText="1"/>
    </xf>
    <xf numFmtId="0" fontId="82" fillId="0" borderId="26" xfId="0" applyFont="1" applyFill="1" applyBorder="1" applyAlignment="1">
      <alignment horizontal="center"/>
    </xf>
    <xf numFmtId="3" fontId="82" fillId="0" borderId="32" xfId="0" applyNumberFormat="1" applyFont="1" applyFill="1" applyBorder="1"/>
    <xf numFmtId="3" fontId="82" fillId="0" borderId="49" xfId="0" applyNumberFormat="1" applyFont="1" applyFill="1" applyBorder="1"/>
    <xf numFmtId="4" fontId="82" fillId="0" borderId="58" xfId="0" applyNumberFormat="1" applyFont="1" applyFill="1" applyBorder="1"/>
    <xf numFmtId="0" fontId="84" fillId="0" borderId="18" xfId="0" applyFont="1" applyBorder="1" applyAlignment="1">
      <alignment horizontal="center"/>
    </xf>
    <xf numFmtId="4" fontId="83" fillId="28" borderId="67" xfId="0" applyNumberFormat="1" applyFont="1" applyFill="1" applyBorder="1"/>
    <xf numFmtId="0" fontId="83" fillId="0" borderId="40" xfId="0" applyFont="1" applyFill="1" applyBorder="1"/>
    <xf numFmtId="3" fontId="83" fillId="0" borderId="73" xfId="0" applyNumberFormat="1" applyFont="1" applyFill="1" applyBorder="1"/>
    <xf numFmtId="2" fontId="83" fillId="0" borderId="67" xfId="0" applyNumberFormat="1" applyFont="1" applyBorder="1"/>
    <xf numFmtId="3" fontId="83" fillId="28" borderId="38" xfId="0" applyNumberFormat="1" applyFont="1" applyFill="1" applyBorder="1" applyAlignment="1">
      <alignment wrapText="1"/>
    </xf>
    <xf numFmtId="3" fontId="83" fillId="0" borderId="38" xfId="0" applyNumberFormat="1" applyFont="1" applyFill="1" applyBorder="1" applyAlignment="1">
      <alignment wrapText="1"/>
    </xf>
    <xf numFmtId="3" fontId="83" fillId="0" borderId="51" xfId="0" applyNumberFormat="1" applyFont="1" applyFill="1" applyBorder="1"/>
    <xf numFmtId="3" fontId="83" fillId="0" borderId="111" xfId="0" applyNumberFormat="1" applyFont="1" applyFill="1" applyBorder="1"/>
    <xf numFmtId="0" fontId="83" fillId="0" borderId="40" xfId="0" applyFont="1" applyFill="1" applyBorder="1" applyAlignment="1">
      <alignment wrapText="1"/>
    </xf>
    <xf numFmtId="0" fontId="83" fillId="0" borderId="38" xfId="0" applyFont="1" applyFill="1" applyBorder="1"/>
    <xf numFmtId="0" fontId="83" fillId="0" borderId="40" xfId="0" applyFont="1" applyFill="1" applyBorder="1" applyAlignment="1">
      <alignment horizontal="justify"/>
    </xf>
    <xf numFmtId="0" fontId="83" fillId="0" borderId="40" xfId="0" applyFont="1" applyFill="1" applyBorder="1" applyAlignment="1">
      <alignment horizontal="justify" wrapText="1"/>
    </xf>
    <xf numFmtId="3" fontId="83" fillId="0" borderId="52" xfId="0" applyNumberFormat="1" applyFont="1" applyFill="1" applyBorder="1"/>
    <xf numFmtId="3" fontId="83" fillId="0" borderId="65" xfId="0" applyNumberFormat="1" applyFont="1" applyFill="1" applyBorder="1"/>
    <xf numFmtId="2" fontId="83" fillId="0" borderId="71" xfId="0" applyNumberFormat="1" applyFont="1" applyBorder="1"/>
    <xf numFmtId="0" fontId="85" fillId="0" borderId="40" xfId="0" applyFont="1" applyFill="1" applyBorder="1" applyAlignment="1">
      <alignment horizontal="justify" wrapText="1"/>
    </xf>
    <xf numFmtId="0" fontId="83" fillId="0" borderId="62" xfId="0" applyFont="1" applyFill="1" applyBorder="1"/>
    <xf numFmtId="0" fontId="83" fillId="0" borderId="62" xfId="0" applyFont="1" applyFill="1" applyBorder="1" applyAlignment="1">
      <alignment wrapText="1"/>
    </xf>
    <xf numFmtId="3" fontId="83" fillId="0" borderId="52" xfId="0" applyNumberFormat="1" applyFont="1" applyBorder="1"/>
    <xf numFmtId="0" fontId="85" fillId="0" borderId="38" xfId="0" applyFont="1" applyFill="1" applyBorder="1" applyAlignment="1">
      <alignment horizontal="justify" wrapText="1"/>
    </xf>
    <xf numFmtId="3" fontId="83" fillId="0" borderId="15" xfId="0" applyNumberFormat="1" applyFont="1" applyFill="1" applyBorder="1"/>
    <xf numFmtId="3" fontId="83" fillId="0" borderId="29" xfId="0" applyNumberFormat="1" applyFont="1" applyFill="1" applyBorder="1"/>
    <xf numFmtId="0" fontId="82" fillId="0" borderId="57" xfId="0" applyFont="1" applyBorder="1" applyAlignment="1">
      <alignment horizontal="center"/>
    </xf>
    <xf numFmtId="3" fontId="82" fillId="0" borderId="55" xfId="0" applyNumberFormat="1" applyFont="1" applyBorder="1"/>
    <xf numFmtId="3" fontId="82" fillId="0" borderId="82" xfId="0" applyNumberFormat="1" applyFont="1" applyBorder="1"/>
    <xf numFmtId="2" fontId="82" fillId="0" borderId="56" xfId="0" applyNumberFormat="1" applyFont="1" applyBorder="1"/>
    <xf numFmtId="0" fontId="84" fillId="0" borderId="23" xfId="0" applyFont="1" applyFill="1" applyBorder="1" applyAlignment="1">
      <alignment horizontal="center"/>
    </xf>
    <xf numFmtId="3" fontId="82" fillId="0" borderId="47" xfId="0" applyNumberFormat="1" applyFont="1" applyBorder="1"/>
    <xf numFmtId="2" fontId="82" fillId="0" borderId="27" xfId="0" applyNumberFormat="1" applyFont="1" applyBorder="1"/>
    <xf numFmtId="0" fontId="83" fillId="0" borderId="41" xfId="0" applyFont="1" applyFill="1" applyBorder="1" applyAlignment="1">
      <alignment horizontal="justify" wrapText="1"/>
    </xf>
    <xf numFmtId="3" fontId="83" fillId="0" borderId="64" xfId="0" applyNumberFormat="1" applyFont="1" applyBorder="1"/>
    <xf numFmtId="3" fontId="83" fillId="0" borderId="35" xfId="0" applyNumberFormat="1" applyFont="1" applyBorder="1"/>
    <xf numFmtId="3" fontId="83" fillId="0" borderId="35" xfId="0" applyNumberFormat="1" applyFont="1" applyFill="1" applyBorder="1"/>
    <xf numFmtId="0" fontId="82" fillId="0" borderId="19" xfId="0" applyFont="1" applyFill="1" applyBorder="1" applyAlignment="1">
      <alignment horizontal="center"/>
    </xf>
    <xf numFmtId="3" fontId="82" fillId="0" borderId="61" xfId="0" applyNumberFormat="1" applyFont="1" applyBorder="1"/>
    <xf numFmtId="2" fontId="82" fillId="0" borderId="28" xfId="0" applyNumberFormat="1" applyFont="1" applyBorder="1"/>
    <xf numFmtId="0" fontId="82" fillId="0" borderId="20" xfId="0" applyFont="1" applyFill="1" applyBorder="1" applyAlignment="1">
      <alignment horizontal="left"/>
    </xf>
    <xf numFmtId="3" fontId="82" fillId="0" borderId="21" xfId="0" applyNumberFormat="1" applyFont="1" applyBorder="1"/>
    <xf numFmtId="3" fontId="82" fillId="0" borderId="48" xfId="0" applyNumberFormat="1" applyFont="1" applyBorder="1"/>
    <xf numFmtId="2" fontId="82" fillId="0" borderId="60" xfId="0" applyNumberFormat="1" applyFont="1" applyBorder="1"/>
    <xf numFmtId="0" fontId="82" fillId="0" borderId="19" xfId="0" applyFont="1" applyFill="1" applyBorder="1" applyAlignment="1">
      <alignment horizontal="left" wrapText="1"/>
    </xf>
    <xf numFmtId="3" fontId="82" fillId="0" borderId="33" xfId="0" applyNumberFormat="1" applyFont="1" applyBorder="1"/>
    <xf numFmtId="0" fontId="83" fillId="0" borderId="0" xfId="0" applyFont="1"/>
    <xf numFmtId="3" fontId="83" fillId="0" borderId="0" xfId="0" applyNumberFormat="1" applyFont="1"/>
    <xf numFmtId="0" fontId="85" fillId="0" borderId="0" xfId="0" applyFont="1" applyFill="1" applyBorder="1"/>
    <xf numFmtId="3" fontId="83" fillId="0" borderId="0" xfId="0" applyNumberFormat="1" applyFont="1" applyFill="1" applyBorder="1" applyAlignment="1">
      <alignment horizontal="right"/>
    </xf>
    <xf numFmtId="0" fontId="82" fillId="0" borderId="23" xfId="0" applyFont="1" applyFill="1" applyBorder="1" applyAlignment="1">
      <alignment horizontal="center"/>
    </xf>
    <xf numFmtId="0" fontId="82" fillId="27" borderId="83" xfId="0" applyFont="1" applyFill="1" applyBorder="1" applyAlignment="1">
      <alignment horizontal="center"/>
    </xf>
    <xf numFmtId="0" fontId="82" fillId="0" borderId="53" xfId="0" applyFont="1" applyBorder="1" applyAlignment="1">
      <alignment horizontal="center"/>
    </xf>
    <xf numFmtId="0" fontId="82" fillId="27" borderId="70" xfId="0" applyFont="1" applyFill="1" applyBorder="1" applyAlignment="1">
      <alignment horizontal="center"/>
    </xf>
    <xf numFmtId="0" fontId="82" fillId="0" borderId="86" xfId="0" applyFont="1" applyBorder="1" applyAlignment="1">
      <alignment horizontal="center"/>
    </xf>
    <xf numFmtId="0" fontId="83" fillId="0" borderId="23" xfId="0" applyFont="1" applyFill="1" applyBorder="1"/>
    <xf numFmtId="3" fontId="83" fillId="0" borderId="83" xfId="0" applyNumberFormat="1" applyFont="1" applyFill="1" applyBorder="1"/>
    <xf numFmtId="0" fontId="83" fillId="0" borderId="19" xfId="0" applyFont="1" applyFill="1" applyBorder="1"/>
    <xf numFmtId="3" fontId="83" fillId="0" borderId="69" xfId="0" applyNumberFormat="1" applyFont="1" applyFill="1" applyBorder="1"/>
    <xf numFmtId="2" fontId="83" fillId="0" borderId="28" xfId="0" applyNumberFormat="1" applyFont="1" applyBorder="1"/>
    <xf numFmtId="0" fontId="82" fillId="0" borderId="20" xfId="0" applyFont="1" applyFill="1" applyBorder="1"/>
    <xf numFmtId="3" fontId="82" fillId="0" borderId="77" xfId="0" applyNumberFormat="1" applyFont="1" applyFill="1" applyBorder="1"/>
    <xf numFmtId="0" fontId="82" fillId="0" borderId="18" xfId="0" applyFont="1" applyFill="1" applyBorder="1"/>
    <xf numFmtId="3" fontId="82" fillId="0" borderId="0" xfId="0" applyNumberFormat="1" applyFont="1" applyFill="1" applyBorder="1"/>
    <xf numFmtId="0" fontId="82" fillId="0" borderId="0" xfId="0" applyFont="1" applyFill="1" applyBorder="1"/>
    <xf numFmtId="3" fontId="82" fillId="0" borderId="86" xfId="0" applyNumberFormat="1" applyFont="1" applyFill="1" applyBorder="1"/>
    <xf numFmtId="0" fontId="82" fillId="0" borderId="20" xfId="0" applyFont="1" applyFill="1" applyBorder="1" applyAlignment="1">
      <alignment wrapText="1"/>
    </xf>
    <xf numFmtId="3" fontId="82" fillId="0" borderId="60" xfId="0" applyNumberFormat="1" applyFont="1" applyFill="1" applyBorder="1"/>
    <xf numFmtId="0" fontId="35" fillId="0" borderId="66" xfId="77" applyFont="1" applyFill="1" applyBorder="1" applyAlignment="1">
      <alignment horizontal="justify"/>
    </xf>
    <xf numFmtId="0" fontId="35" fillId="0" borderId="37" xfId="77" applyFont="1" applyFill="1" applyBorder="1"/>
    <xf numFmtId="3" fontId="60" fillId="0" borderId="15" xfId="77" applyNumberFormat="1" applyFont="1" applyFill="1" applyBorder="1"/>
    <xf numFmtId="2" fontId="60" fillId="0" borderId="59" xfId="77" applyNumberFormat="1" applyFont="1" applyBorder="1"/>
    <xf numFmtId="3" fontId="60" fillId="0" borderId="36" xfId="77" applyNumberFormat="1" applyFont="1" applyFill="1" applyBorder="1"/>
    <xf numFmtId="2" fontId="60" fillId="0" borderId="68" xfId="77" applyNumberFormat="1" applyFont="1" applyBorder="1"/>
    <xf numFmtId="3" fontId="35" fillId="0" borderId="37" xfId="0" applyNumberFormat="1" applyFont="1" applyFill="1" applyBorder="1" applyAlignment="1">
      <alignment horizontal="justify"/>
    </xf>
    <xf numFmtId="3" fontId="35" fillId="0" borderId="50" xfId="0" applyNumberFormat="1" applyFont="1" applyFill="1" applyBorder="1" applyAlignment="1">
      <alignment horizontal="justify"/>
    </xf>
    <xf numFmtId="0" fontId="35" fillId="0" borderId="37" xfId="0" applyFont="1" applyFill="1" applyBorder="1" applyAlignment="1">
      <alignment wrapText="1"/>
    </xf>
    <xf numFmtId="3" fontId="60" fillId="0" borderId="36" xfId="77" applyNumberFormat="1" applyFont="1" applyFill="1" applyBorder="1" applyAlignment="1">
      <alignment horizontal="right"/>
    </xf>
    <xf numFmtId="3" fontId="60" fillId="0" borderId="15" xfId="77" applyNumberFormat="1" applyFont="1" applyFill="1" applyBorder="1" applyAlignment="1">
      <alignment horizontal="right"/>
    </xf>
    <xf numFmtId="3" fontId="60" fillId="0" borderId="52" xfId="77" applyNumberFormat="1" applyFont="1" applyFill="1" applyBorder="1" applyAlignment="1">
      <alignment horizontal="right"/>
    </xf>
    <xf numFmtId="0" fontId="60" fillId="0" borderId="50" xfId="77" applyFont="1" applyFill="1" applyBorder="1" applyAlignment="1">
      <alignment horizontal="left" wrapText="1"/>
    </xf>
    <xf numFmtId="0" fontId="60" fillId="0" borderId="37" xfId="77" applyFont="1" applyFill="1" applyBorder="1" applyAlignment="1">
      <alignment horizontal="left"/>
    </xf>
    <xf numFmtId="0" fontId="4" fillId="27" borderId="45" xfId="0" applyFont="1" applyFill="1" applyBorder="1" applyAlignment="1">
      <alignment horizontal="center"/>
    </xf>
    <xf numFmtId="4" fontId="5" fillId="0" borderId="69" xfId="0" applyNumberFormat="1" applyFont="1" applyFill="1" applyBorder="1" applyAlignment="1">
      <alignment horizontal="right"/>
    </xf>
    <xf numFmtId="3" fontId="8" fillId="0" borderId="72" xfId="78" applyNumberFormat="1" applyFont="1" applyFill="1" applyBorder="1" applyAlignment="1">
      <alignment horizontal="justify" wrapText="1"/>
    </xf>
    <xf numFmtId="4" fontId="5" fillId="0" borderId="72" xfId="0" applyNumberFormat="1" applyFont="1" applyFill="1" applyBorder="1" applyAlignment="1">
      <alignment horizontal="right"/>
    </xf>
    <xf numFmtId="3" fontId="5" fillId="0" borderId="107" xfId="0" applyNumberFormat="1" applyFont="1" applyFill="1" applyBorder="1" applyAlignment="1">
      <alignment horizontal="right"/>
    </xf>
    <xf numFmtId="3" fontId="5" fillId="0" borderId="69" xfId="0" applyNumberFormat="1" applyFont="1" applyFill="1" applyBorder="1" applyAlignment="1">
      <alignment horizontal="justify"/>
    </xf>
    <xf numFmtId="3" fontId="8" fillId="0" borderId="72" xfId="78" applyNumberFormat="1" applyFont="1" applyFill="1" applyBorder="1" applyAlignment="1">
      <alignment horizontal="right" wrapText="1"/>
    </xf>
    <xf numFmtId="3" fontId="62" fillId="0" borderId="70" xfId="0" applyNumberFormat="1" applyFont="1" applyFill="1" applyBorder="1" applyProtection="1"/>
    <xf numFmtId="3" fontId="62" fillId="0" borderId="69" xfId="0" applyNumberFormat="1" applyFont="1" applyFill="1" applyBorder="1"/>
    <xf numFmtId="0" fontId="58" fillId="0" borderId="18" xfId="0" applyFont="1" applyFill="1" applyBorder="1" applyProtection="1"/>
    <xf numFmtId="3" fontId="86" fillId="0" borderId="0" xfId="0" applyNumberFormat="1" applyFont="1"/>
    <xf numFmtId="0" fontId="86" fillId="0" borderId="0" xfId="0" applyFont="1"/>
    <xf numFmtId="0" fontId="62" fillId="0" borderId="16" xfId="0" applyFont="1" applyFill="1" applyBorder="1" applyAlignment="1" applyProtection="1">
      <alignment horizontal="left"/>
    </xf>
    <xf numFmtId="0" fontId="62" fillId="0" borderId="84" xfId="0" applyFont="1" applyFill="1" applyBorder="1" applyAlignment="1" applyProtection="1">
      <alignment horizontal="left"/>
    </xf>
    <xf numFmtId="3" fontId="62" fillId="0" borderId="19" xfId="0" applyNumberFormat="1" applyFont="1" applyFill="1" applyBorder="1" applyProtection="1"/>
    <xf numFmtId="3" fontId="62" fillId="0" borderId="16" xfId="0" applyNumberFormat="1" applyFont="1" applyFill="1" applyBorder="1" applyProtection="1"/>
    <xf numFmtId="3" fontId="62" fillId="0" borderId="40" xfId="0" applyNumberFormat="1" applyFont="1" applyFill="1" applyBorder="1" applyProtection="1"/>
    <xf numFmtId="4" fontId="75" fillId="0" borderId="88" xfId="0" applyNumberFormat="1" applyFont="1" applyFill="1" applyBorder="1" applyProtection="1"/>
    <xf numFmtId="0" fontId="58" fillId="0" borderId="94" xfId="0" applyFont="1" applyFill="1" applyBorder="1" applyAlignment="1">
      <alignment horizontal="left"/>
    </xf>
    <xf numFmtId="0" fontId="58" fillId="0" borderId="94" xfId="0" applyFont="1" applyFill="1" applyBorder="1" applyAlignment="1" applyProtection="1">
      <alignment horizontal="left"/>
    </xf>
    <xf numFmtId="0" fontId="58" fillId="0" borderId="81" xfId="0" applyFont="1" applyFill="1" applyBorder="1" applyAlignment="1" applyProtection="1">
      <alignment horizontal="left"/>
    </xf>
    <xf numFmtId="3" fontId="58" fillId="0" borderId="20" xfId="0" applyNumberFormat="1" applyFont="1" applyFill="1" applyBorder="1" applyProtection="1"/>
    <xf numFmtId="3" fontId="58" fillId="0" borderId="77" xfId="0" applyNumberFormat="1" applyFont="1" applyFill="1" applyBorder="1" applyProtection="1"/>
    <xf numFmtId="3" fontId="58" fillId="0" borderId="94" xfId="0" applyNumberFormat="1" applyFont="1" applyFill="1" applyBorder="1" applyProtection="1"/>
    <xf numFmtId="3" fontId="4" fillId="29" borderId="0" xfId="0" applyNumberFormat="1" applyFont="1" applyFill="1"/>
    <xf numFmtId="3" fontId="86" fillId="29" borderId="0" xfId="0" applyNumberFormat="1" applyFont="1" applyFill="1"/>
    <xf numFmtId="4" fontId="75" fillId="0" borderId="69" xfId="0" applyNumberFormat="1" applyFont="1" applyFill="1" applyBorder="1" applyProtection="1"/>
    <xf numFmtId="0" fontId="79" fillId="0" borderId="16" xfId="0" applyFont="1" applyFill="1" applyBorder="1" applyAlignment="1" applyProtection="1">
      <alignment horizontal="left"/>
    </xf>
    <xf numFmtId="0" fontId="62" fillId="0" borderId="16" xfId="0" applyFont="1" applyFill="1" applyBorder="1" applyProtection="1"/>
    <xf numFmtId="3" fontId="62" fillId="0" borderId="88" xfId="0" applyNumberFormat="1" applyFont="1" applyFill="1" applyBorder="1"/>
    <xf numFmtId="0" fontId="75" fillId="0" borderId="20" xfId="0" applyFont="1" applyFill="1" applyBorder="1"/>
    <xf numFmtId="0" fontId="73" fillId="0" borderId="94" xfId="0" applyFont="1" applyFill="1" applyBorder="1" applyAlignment="1" applyProtection="1">
      <alignment horizontal="left"/>
    </xf>
    <xf numFmtId="3" fontId="58" fillId="0" borderId="77" xfId="0" applyNumberFormat="1" applyFont="1" applyFill="1" applyBorder="1" applyProtection="1">
      <protection locked="0"/>
    </xf>
    <xf numFmtId="0" fontId="87" fillId="0" borderId="62" xfId="0" applyFont="1" applyFill="1" applyBorder="1" applyAlignment="1">
      <alignment horizontal="justify" wrapText="1"/>
    </xf>
    <xf numFmtId="49" fontId="83" fillId="0" borderId="40" xfId="0" applyNumberFormat="1" applyFont="1" applyFill="1" applyBorder="1"/>
    <xf numFmtId="49" fontId="83" fillId="0" borderId="62" xfId="0" applyNumberFormat="1" applyFont="1" applyFill="1" applyBorder="1" applyAlignment="1">
      <alignment horizontal="justify" wrapText="1"/>
    </xf>
    <xf numFmtId="0" fontId="5" fillId="0" borderId="66" xfId="0" applyFont="1" applyFill="1" applyBorder="1" applyAlignment="1">
      <alignment horizontal="left"/>
    </xf>
    <xf numFmtId="3" fontId="34" fillId="0" borderId="72" xfId="0" applyNumberFormat="1" applyFont="1" applyFill="1" applyBorder="1" applyAlignment="1">
      <alignment horizontal="right"/>
    </xf>
    <xf numFmtId="4" fontId="9" fillId="0" borderId="72" xfId="77" applyNumberFormat="1" applyFont="1" applyFill="1" applyBorder="1" applyAlignment="1">
      <alignment horizontal="right"/>
    </xf>
    <xf numFmtId="0" fontId="37" fillId="0" borderId="24" xfId="77" applyFont="1" applyFill="1" applyBorder="1" applyAlignment="1">
      <alignment horizontal="left"/>
    </xf>
    <xf numFmtId="3" fontId="56" fillId="0" borderId="78" xfId="0" applyNumberFormat="1" applyFont="1" applyFill="1" applyBorder="1" applyAlignment="1">
      <alignment horizontal="right"/>
    </xf>
    <xf numFmtId="4" fontId="6" fillId="0" borderId="78" xfId="77" applyNumberFormat="1" applyFont="1" applyFill="1" applyBorder="1" applyAlignment="1">
      <alignment horizontal="right"/>
    </xf>
    <xf numFmtId="4" fontId="5" fillId="0" borderId="72" xfId="77" applyNumberFormat="1" applyFont="1" applyFill="1" applyBorder="1" applyAlignment="1">
      <alignment horizontal="right"/>
    </xf>
    <xf numFmtId="3" fontId="14" fillId="0" borderId="78" xfId="0" applyNumberFormat="1" applyFont="1" applyFill="1" applyBorder="1" applyAlignment="1">
      <alignment horizontal="right"/>
    </xf>
    <xf numFmtId="3" fontId="36" fillId="0" borderId="15" xfId="77" applyNumberFormat="1" applyFont="1" applyFill="1" applyBorder="1"/>
    <xf numFmtId="0" fontId="36" fillId="0" borderId="18" xfId="77" applyFont="1" applyBorder="1" applyAlignment="1">
      <alignment horizontal="right"/>
    </xf>
    <xf numFmtId="0" fontId="36" fillId="0" borderId="0" xfId="77" applyFont="1" applyBorder="1"/>
    <xf numFmtId="2" fontId="36" fillId="0" borderId="110" xfId="77" applyNumberFormat="1" applyFont="1" applyBorder="1"/>
    <xf numFmtId="0" fontId="16" fillId="0" borderId="0" xfId="77" applyFont="1"/>
    <xf numFmtId="0" fontId="60" fillId="0" borderId="50" xfId="77" applyFont="1" applyFill="1" applyBorder="1"/>
    <xf numFmtId="3" fontId="35" fillId="0" borderId="0" xfId="77" applyNumberFormat="1" applyFont="1" applyFill="1"/>
    <xf numFmtId="0" fontId="9" fillId="0" borderId="18" xfId="0" applyFont="1" applyFill="1" applyBorder="1" applyAlignment="1">
      <alignment horizontal="justify"/>
    </xf>
    <xf numFmtId="3" fontId="58" fillId="0" borderId="23" xfId="0" applyNumberFormat="1" applyFont="1" applyFill="1" applyBorder="1" applyProtection="1"/>
    <xf numFmtId="3" fontId="62" fillId="0" borderId="109" xfId="0" applyNumberFormat="1" applyFont="1" applyFill="1" applyBorder="1" applyProtection="1"/>
    <xf numFmtId="3" fontId="62" fillId="0" borderId="38" xfId="0" applyNumberFormat="1" applyFont="1" applyFill="1" applyBorder="1" applyProtection="1"/>
    <xf numFmtId="3" fontId="62" fillId="0" borderId="130" xfId="0" applyNumberFormat="1" applyFont="1" applyFill="1" applyBorder="1"/>
    <xf numFmtId="3" fontId="61" fillId="0" borderId="0" xfId="0" applyNumberFormat="1" applyFont="1" applyFill="1"/>
    <xf numFmtId="3" fontId="15" fillId="0" borderId="0" xfId="0" applyNumberFormat="1" applyFont="1" applyFill="1" applyBorder="1"/>
    <xf numFmtId="3" fontId="15" fillId="0" borderId="0" xfId="0" applyNumberFormat="1" applyFont="1" applyFill="1"/>
    <xf numFmtId="3" fontId="34" fillId="0" borderId="73" xfId="0" applyNumberFormat="1" applyFont="1" applyFill="1" applyBorder="1" applyAlignment="1">
      <alignment horizontal="justify"/>
    </xf>
    <xf numFmtId="0" fontId="14" fillId="0" borderId="77" xfId="0" applyFont="1" applyFill="1" applyBorder="1" applyAlignment="1">
      <alignment horizontal="justify"/>
    </xf>
    <xf numFmtId="3" fontId="16" fillId="0" borderId="20" xfId="0" applyNumberFormat="1" applyFont="1" applyFill="1" applyBorder="1"/>
    <xf numFmtId="0" fontId="9" fillId="28" borderId="73" xfId="0" applyFont="1" applyFill="1" applyBorder="1"/>
    <xf numFmtId="0" fontId="9" fillId="0" borderId="73" xfId="0" applyFont="1" applyFill="1" applyBorder="1"/>
    <xf numFmtId="3" fontId="5" fillId="0" borderId="40" xfId="0" applyNumberFormat="1" applyFont="1" applyFill="1" applyBorder="1" applyAlignment="1">
      <alignment horizontal="right"/>
    </xf>
    <xf numFmtId="3" fontId="9" fillId="0" borderId="73" xfId="0" applyNumberFormat="1" applyFont="1" applyFill="1" applyBorder="1"/>
    <xf numFmtId="3" fontId="4" fillId="0" borderId="20" xfId="0" applyNumberFormat="1" applyFont="1" applyFill="1" applyBorder="1"/>
    <xf numFmtId="0" fontId="60" fillId="0" borderId="79" xfId="77" applyFont="1" applyFill="1" applyBorder="1" applyAlignment="1">
      <alignment horizontal="left"/>
    </xf>
    <xf numFmtId="0" fontId="9" fillId="0" borderId="37" xfId="77" applyFont="1" applyFill="1" applyBorder="1" applyAlignment="1">
      <alignment horizontal="left" wrapText="1"/>
    </xf>
    <xf numFmtId="3" fontId="80" fillId="0" borderId="72" xfId="0" applyNumberFormat="1" applyFont="1" applyFill="1" applyBorder="1" applyProtection="1">
      <protection locked="0"/>
    </xf>
    <xf numFmtId="0" fontId="5" fillId="0" borderId="37" xfId="77" applyFont="1" applyFill="1" applyBorder="1" applyAlignment="1">
      <alignment horizontal="left" wrapText="1"/>
    </xf>
    <xf numFmtId="4" fontId="5" fillId="0" borderId="107" xfId="77" applyNumberFormat="1" applyFont="1" applyFill="1" applyBorder="1" applyAlignment="1">
      <alignment horizontal="right"/>
    </xf>
    <xf numFmtId="3" fontId="62" fillId="30" borderId="36" xfId="0" applyNumberFormat="1" applyFont="1" applyFill="1" applyBorder="1"/>
    <xf numFmtId="4" fontId="62" fillId="30" borderId="67" xfId="0" applyNumberFormat="1" applyFont="1" applyFill="1" applyBorder="1" applyAlignment="1">
      <alignment horizontal="right"/>
    </xf>
    <xf numFmtId="2" fontId="83" fillId="0" borderId="110" xfId="0" applyNumberFormat="1" applyFont="1" applyBorder="1"/>
    <xf numFmtId="2" fontId="9" fillId="0" borderId="27" xfId="0" applyNumberFormat="1" applyFont="1" applyFill="1" applyBorder="1"/>
    <xf numFmtId="0" fontId="5" fillId="0" borderId="129" xfId="0" applyFont="1" applyFill="1" applyBorder="1" applyAlignment="1">
      <alignment wrapText="1"/>
    </xf>
    <xf numFmtId="3" fontId="5" fillId="0" borderId="107" xfId="77" applyNumberFormat="1" applyFont="1" applyFill="1" applyBorder="1" applyAlignment="1">
      <alignment horizontal="right"/>
    </xf>
    <xf numFmtId="3" fontId="5" fillId="0" borderId="29" xfId="0" applyNumberFormat="1" applyFont="1" applyFill="1" applyBorder="1" applyAlignment="1"/>
    <xf numFmtId="3" fontId="60" fillId="0" borderId="0" xfId="77" applyNumberFormat="1" applyFont="1" applyFill="1"/>
    <xf numFmtId="0" fontId="9" fillId="0" borderId="0" xfId="77" applyFont="1"/>
    <xf numFmtId="3" fontId="9" fillId="0" borderId="0" xfId="77" applyNumberFormat="1" applyFont="1"/>
    <xf numFmtId="0" fontId="9" fillId="0" borderId="16" xfId="77" applyFont="1" applyFill="1" applyBorder="1" applyAlignment="1">
      <alignment horizontal="justify"/>
    </xf>
    <xf numFmtId="0" fontId="9" fillId="0" borderId="0" xfId="77" applyFont="1" applyAlignment="1">
      <alignment horizontal="right"/>
    </xf>
    <xf numFmtId="0" fontId="36" fillId="27" borderId="45" xfId="0" applyFont="1" applyFill="1" applyBorder="1" applyAlignment="1">
      <alignment horizontal="center"/>
    </xf>
    <xf numFmtId="0" fontId="36" fillId="0" borderId="27" xfId="0" applyFont="1" applyBorder="1" applyAlignment="1">
      <alignment horizontal="center"/>
    </xf>
    <xf numFmtId="0" fontId="36" fillId="0" borderId="18" xfId="77" applyFont="1" applyBorder="1" applyAlignment="1">
      <alignment horizontal="center"/>
    </xf>
    <xf numFmtId="0" fontId="36" fillId="0" borderId="0" xfId="77" applyFont="1" applyBorder="1" applyAlignment="1">
      <alignment horizontal="center"/>
    </xf>
    <xf numFmtId="0" fontId="36" fillId="0" borderId="43" xfId="0" applyFont="1" applyBorder="1" applyAlignment="1">
      <alignment horizontal="center"/>
    </xf>
    <xf numFmtId="3" fontId="36" fillId="0" borderId="43" xfId="0" applyNumberFormat="1" applyFont="1" applyBorder="1" applyAlignment="1">
      <alignment horizontal="center"/>
    </xf>
    <xf numFmtId="0" fontId="36" fillId="27" borderId="61" xfId="0" applyFont="1" applyFill="1" applyBorder="1" applyAlignment="1">
      <alignment horizontal="center"/>
    </xf>
    <xf numFmtId="0" fontId="36" fillId="0" borderId="28" xfId="0" applyFont="1" applyBorder="1" applyAlignment="1">
      <alignment horizontal="center"/>
    </xf>
    <xf numFmtId="0" fontId="36" fillId="0" borderId="23" xfId="77" applyFont="1" applyBorder="1" applyAlignment="1">
      <alignment horizontal="right"/>
    </xf>
    <xf numFmtId="0" fontId="36" fillId="0" borderId="46" xfId="77" applyFont="1" applyBorder="1"/>
    <xf numFmtId="3" fontId="60" fillId="0" borderId="15" xfId="77" applyNumberFormat="1" applyFont="1" applyFill="1" applyBorder="1" applyAlignment="1">
      <alignment horizontal="center"/>
    </xf>
    <xf numFmtId="3" fontId="60" fillId="0" borderId="15" xfId="77" applyNumberFormat="1" applyFont="1" applyBorder="1"/>
    <xf numFmtId="0" fontId="60" fillId="0" borderId="18" xfId="77" applyFont="1" applyBorder="1" applyAlignment="1">
      <alignment horizontal="right"/>
    </xf>
    <xf numFmtId="3" fontId="60" fillId="0" borderId="52" xfId="77" applyNumberFormat="1" applyFont="1" applyFill="1" applyBorder="1"/>
    <xf numFmtId="0" fontId="60" fillId="0" borderId="37" xfId="77" applyFont="1" applyFill="1" applyBorder="1"/>
    <xf numFmtId="0" fontId="60" fillId="0" borderId="37" xfId="77" applyFont="1" applyFill="1" applyBorder="1" applyAlignment="1">
      <alignment horizontal="justify"/>
    </xf>
    <xf numFmtId="2" fontId="60" fillId="0" borderId="79" xfId="77" applyNumberFormat="1" applyFont="1" applyBorder="1"/>
    <xf numFmtId="0" fontId="60" fillId="0" borderId="37" xfId="77" applyFont="1" applyFill="1" applyBorder="1" applyAlignment="1">
      <alignment wrapText="1"/>
    </xf>
    <xf numFmtId="0" fontId="36" fillId="0" borderId="26" xfId="77" applyFont="1" applyBorder="1" applyAlignment="1">
      <alignment horizontal="right"/>
    </xf>
    <xf numFmtId="0" fontId="36" fillId="0" borderId="24" xfId="77" applyFont="1" applyBorder="1" applyAlignment="1">
      <alignment horizontal="center"/>
    </xf>
    <xf numFmtId="3" fontId="36" fillId="0" borderId="32" xfId="77" applyNumberFormat="1" applyFont="1" applyFill="1" applyBorder="1"/>
    <xf numFmtId="2" fontId="36" fillId="0" borderId="89" xfId="77" applyNumberFormat="1" applyFont="1" applyBorder="1"/>
    <xf numFmtId="0" fontId="36" fillId="0" borderId="112" xfId="77" applyFont="1" applyBorder="1" applyAlignment="1">
      <alignment horizontal="right"/>
    </xf>
    <xf numFmtId="0" fontId="36" fillId="0" borderId="113" xfId="77" applyFont="1" applyBorder="1"/>
    <xf numFmtId="3" fontId="36" fillId="0" borderId="114" xfId="77" applyNumberFormat="1" applyFont="1" applyFill="1" applyBorder="1"/>
    <xf numFmtId="2" fontId="36" fillId="0" borderId="115" xfId="77" applyNumberFormat="1" applyFont="1" applyBorder="1"/>
    <xf numFmtId="0" fontId="60" fillId="0" borderId="0" xfId="77" applyFont="1" applyFill="1" applyBorder="1" applyAlignment="1">
      <alignment horizontal="left" wrapText="1"/>
    </xf>
    <xf numFmtId="3" fontId="36" fillId="0" borderId="58" xfId="77" applyNumberFormat="1" applyFont="1" applyFill="1" applyBorder="1"/>
    <xf numFmtId="2" fontId="60" fillId="0" borderId="115" xfId="77" applyNumberFormat="1" applyFont="1" applyBorder="1"/>
    <xf numFmtId="3" fontId="60" fillId="0" borderId="52" xfId="77" applyNumberFormat="1" applyFont="1" applyBorder="1" applyAlignment="1">
      <alignment horizontal="right"/>
    </xf>
    <xf numFmtId="2" fontId="60" fillId="0" borderId="67" xfId="77" applyNumberFormat="1" applyFont="1" applyBorder="1"/>
    <xf numFmtId="3" fontId="60" fillId="0" borderId="36" xfId="77" applyNumberFormat="1" applyFont="1" applyBorder="1" applyAlignment="1">
      <alignment horizontal="right"/>
    </xf>
    <xf numFmtId="2" fontId="36" fillId="0" borderId="58" xfId="77" applyNumberFormat="1" applyFont="1" applyFill="1" applyBorder="1"/>
    <xf numFmtId="0" fontId="36" fillId="0" borderId="24" xfId="77" applyFont="1" applyBorder="1"/>
    <xf numFmtId="3" fontId="36" fillId="0" borderId="32" xfId="77" applyNumberFormat="1" applyFont="1" applyBorder="1" applyAlignment="1">
      <alignment horizontal="right"/>
    </xf>
    <xf numFmtId="2" fontId="60" fillId="0" borderId="59" xfId="77" applyNumberFormat="1" applyFont="1" applyFill="1" applyBorder="1"/>
    <xf numFmtId="3" fontId="60" fillId="0" borderId="37" xfId="0" applyNumberFormat="1" applyFont="1" applyFill="1" applyBorder="1" applyAlignment="1">
      <alignment horizontal="justify"/>
    </xf>
    <xf numFmtId="0" fontId="60" fillId="0" borderId="18" xfId="77" applyFont="1" applyFill="1" applyBorder="1" applyAlignment="1">
      <alignment horizontal="right"/>
    </xf>
    <xf numFmtId="0" fontId="57" fillId="0" borderId="18" xfId="77" applyFont="1" applyBorder="1" applyAlignment="1">
      <alignment horizontal="left"/>
    </xf>
    <xf numFmtId="0" fontId="57" fillId="0" borderId="0" xfId="77" applyFont="1" applyBorder="1"/>
    <xf numFmtId="2" fontId="60" fillId="0" borderId="68" xfId="77" applyNumberFormat="1" applyFont="1" applyFill="1" applyBorder="1"/>
    <xf numFmtId="2" fontId="60" fillId="0" borderId="67" xfId="77" applyNumberFormat="1" applyFont="1" applyFill="1" applyBorder="1"/>
    <xf numFmtId="3" fontId="60" fillId="0" borderId="0" xfId="77" applyNumberFormat="1" applyFont="1" applyFill="1" applyAlignment="1">
      <alignment wrapText="1"/>
    </xf>
    <xf numFmtId="3" fontId="60" fillId="0" borderId="36" xfId="77" applyNumberFormat="1" applyFont="1" applyBorder="1"/>
    <xf numFmtId="3" fontId="60" fillId="0" borderId="37" xfId="0" applyNumberFormat="1" applyFont="1" applyBorder="1"/>
    <xf numFmtId="3" fontId="60" fillId="0" borderId="51" xfId="0" applyNumberFormat="1" applyFont="1" applyBorder="1"/>
    <xf numFmtId="3" fontId="60" fillId="0" borderId="51" xfId="77" applyNumberFormat="1" applyFont="1" applyBorder="1"/>
    <xf numFmtId="3" fontId="60" fillId="0" borderId="50" xfId="0" applyNumberFormat="1" applyFont="1" applyFill="1" applyBorder="1" applyAlignment="1">
      <alignment horizontal="justify"/>
    </xf>
    <xf numFmtId="3" fontId="60" fillId="0" borderId="50" xfId="0" applyNumberFormat="1" applyFont="1" applyBorder="1"/>
    <xf numFmtId="3" fontId="60" fillId="0" borderId="37" xfId="0" applyNumberFormat="1" applyFont="1" applyFill="1" applyBorder="1" applyAlignment="1">
      <alignment horizontal="justify" wrapText="1"/>
    </xf>
    <xf numFmtId="3" fontId="60" fillId="0" borderId="36" xfId="0" applyNumberFormat="1" applyFont="1" applyBorder="1"/>
    <xf numFmtId="0" fontId="60" fillId="0" borderId="37" xfId="77" applyFont="1" applyBorder="1"/>
    <xf numFmtId="3" fontId="90" fillId="0" borderId="0" xfId="77" applyNumberFormat="1" applyFont="1" applyFill="1"/>
    <xf numFmtId="3" fontId="60" fillId="0" borderId="39" xfId="77" applyNumberFormat="1" applyFont="1" applyFill="1" applyBorder="1"/>
    <xf numFmtId="0" fontId="36" fillId="0" borderId="18" xfId="77" applyFont="1" applyBorder="1"/>
    <xf numFmtId="3" fontId="36" fillId="0" borderId="36" xfId="77" applyNumberFormat="1" applyFont="1" applyFill="1" applyBorder="1" applyAlignment="1">
      <alignment horizontal="right"/>
    </xf>
    <xf numFmtId="0" fontId="60" fillId="0" borderId="50" xfId="77" applyFont="1" applyBorder="1"/>
    <xf numFmtId="0" fontId="60" fillId="0" borderId="50" xfId="77" applyFont="1" applyFill="1" applyBorder="1" applyAlignment="1">
      <alignment wrapText="1"/>
    </xf>
    <xf numFmtId="0" fontId="36" fillId="0" borderId="18" xfId="77" applyFont="1" applyFill="1" applyBorder="1"/>
    <xf numFmtId="0" fontId="60" fillId="0" borderId="66" xfId="77" applyFont="1" applyFill="1" applyBorder="1"/>
    <xf numFmtId="3" fontId="60" fillId="0" borderId="93" xfId="77" applyNumberFormat="1" applyFont="1" applyFill="1" applyBorder="1"/>
    <xf numFmtId="0" fontId="60" fillId="0" borderId="37" xfId="0" applyFont="1" applyFill="1" applyBorder="1" applyAlignment="1">
      <alignment wrapText="1"/>
    </xf>
    <xf numFmtId="0" fontId="60" fillId="0" borderId="37" xfId="0" applyFont="1" applyBorder="1" applyAlignment="1">
      <alignment horizontal="justify"/>
    </xf>
    <xf numFmtId="0" fontId="60" fillId="0" borderId="50" xfId="0" applyFont="1" applyFill="1" applyBorder="1" applyAlignment="1">
      <alignment wrapText="1"/>
    </xf>
    <xf numFmtId="3" fontId="60" fillId="0" borderId="31" xfId="77" applyNumberFormat="1" applyFont="1" applyFill="1" applyBorder="1"/>
    <xf numFmtId="3" fontId="36" fillId="0" borderId="32" xfId="77" applyNumberFormat="1" applyFont="1" applyFill="1" applyBorder="1" applyAlignment="1">
      <alignment horizontal="right"/>
    </xf>
    <xf numFmtId="2" fontId="36" fillId="0" borderId="58" xfId="77" applyNumberFormat="1" applyFont="1" applyBorder="1"/>
    <xf numFmtId="3" fontId="36" fillId="0" borderId="0" xfId="77" applyNumberFormat="1" applyFont="1" applyFill="1"/>
    <xf numFmtId="0" fontId="36" fillId="0" borderId="17" xfId="77" applyFont="1" applyBorder="1" applyAlignment="1">
      <alignment horizontal="right"/>
    </xf>
    <xf numFmtId="0" fontId="36" fillId="0" borderId="22" xfId="77" applyFont="1" applyBorder="1"/>
    <xf numFmtId="3" fontId="36" fillId="0" borderId="43" xfId="77" applyNumberFormat="1" applyFont="1" applyFill="1" applyBorder="1"/>
    <xf numFmtId="2" fontId="36" fillId="0" borderId="28" xfId="77" applyNumberFormat="1" applyFont="1" applyBorder="1"/>
    <xf numFmtId="0" fontId="60" fillId="0" borderId="20" xfId="77" applyFont="1" applyBorder="1" applyAlignment="1">
      <alignment horizontal="right"/>
    </xf>
    <xf numFmtId="0" fontId="36" fillId="0" borderId="94" xfId="77" applyFont="1" applyFill="1" applyBorder="1"/>
    <xf numFmtId="3" fontId="36" fillId="0" borderId="21" xfId="77" applyNumberFormat="1" applyFont="1" applyBorder="1"/>
    <xf numFmtId="2" fontId="36" fillId="0" borderId="54" xfId="77" applyNumberFormat="1" applyFont="1" applyBorder="1"/>
    <xf numFmtId="0" fontId="60" fillId="0" borderId="0" xfId="77" applyFont="1"/>
    <xf numFmtId="0" fontId="60" fillId="0" borderId="0" xfId="77" applyFont="1" applyFill="1"/>
    <xf numFmtId="3" fontId="60" fillId="0" borderId="0" xfId="77" applyNumberFormat="1" applyFont="1"/>
    <xf numFmtId="3" fontId="60" fillId="0" borderId="51" xfId="77" applyNumberFormat="1" applyFont="1" applyBorder="1" applyAlignment="1">
      <alignment horizontal="right"/>
    </xf>
    <xf numFmtId="3" fontId="73" fillId="0" borderId="85" xfId="0" applyNumberFormat="1" applyFont="1" applyFill="1" applyBorder="1" applyProtection="1">
      <protection locked="0"/>
    </xf>
    <xf numFmtId="3" fontId="75" fillId="0" borderId="75" xfId="0" applyNumberFormat="1" applyFont="1" applyFill="1" applyBorder="1"/>
    <xf numFmtId="3" fontId="15" fillId="0" borderId="0" xfId="0" applyNumberFormat="1" applyFont="1" applyFill="1" applyBorder="1" applyAlignment="1">
      <alignment wrapText="1"/>
    </xf>
    <xf numFmtId="3" fontId="93" fillId="0" borderId="0" xfId="77" applyNumberFormat="1" applyFont="1" applyFill="1"/>
    <xf numFmtId="0" fontId="93" fillId="0" borderId="18" xfId="77" applyFont="1" applyFill="1" applyBorder="1" applyAlignment="1">
      <alignment horizontal="right"/>
    </xf>
    <xf numFmtId="3" fontId="93" fillId="0" borderId="52" xfId="77" applyNumberFormat="1" applyFont="1" applyFill="1" applyBorder="1"/>
    <xf numFmtId="0" fontId="94" fillId="0" borderId="0" xfId="77" applyFont="1"/>
    <xf numFmtId="0" fontId="62" fillId="0" borderId="19" xfId="0" applyFont="1" applyFill="1" applyBorder="1" applyProtection="1"/>
    <xf numFmtId="0" fontId="62" fillId="0" borderId="121" xfId="77" applyFont="1" applyFill="1" applyBorder="1" applyAlignment="1">
      <alignment horizontal="left"/>
    </xf>
    <xf numFmtId="0" fontId="83" fillId="0" borderId="62" xfId="0" applyFont="1" applyFill="1" applyBorder="1" applyAlignment="1">
      <alignment horizontal="justify" wrapText="1"/>
    </xf>
    <xf numFmtId="3" fontId="83" fillId="0" borderId="65" xfId="0" applyNumberFormat="1" applyFont="1" applyBorder="1"/>
    <xf numFmtId="3" fontId="95" fillId="0" borderId="0" xfId="77" applyNumberFormat="1" applyFont="1" applyFill="1"/>
    <xf numFmtId="0" fontId="95" fillId="0" borderId="18" xfId="77" applyFont="1" applyFill="1" applyBorder="1" applyAlignment="1">
      <alignment horizontal="right"/>
    </xf>
    <xf numFmtId="0" fontId="95" fillId="0" borderId="37" xfId="0" applyFont="1" applyFill="1" applyBorder="1" applyAlignment="1">
      <alignment wrapText="1"/>
    </xf>
    <xf numFmtId="3" fontId="95" fillId="0" borderId="52" xfId="77" applyNumberFormat="1" applyFont="1" applyFill="1" applyBorder="1"/>
    <xf numFmtId="0" fontId="96" fillId="0" borderId="0" xfId="77" applyFont="1"/>
    <xf numFmtId="0" fontId="62" fillId="0" borderId="121" xfId="0" applyFont="1" applyFill="1" applyBorder="1" applyAlignment="1" applyProtection="1"/>
    <xf numFmtId="3" fontId="62" fillId="0" borderId="122" xfId="0" applyNumberFormat="1" applyFont="1" applyFill="1" applyBorder="1" applyAlignment="1" applyProtection="1">
      <protection locked="0"/>
    </xf>
    <xf numFmtId="0" fontId="4" fillId="0" borderId="22" xfId="0" applyFont="1" applyBorder="1" applyAlignment="1">
      <alignment horizontal="center"/>
    </xf>
    <xf numFmtId="0" fontId="16" fillId="27" borderId="83" xfId="0" applyFont="1" applyFill="1" applyBorder="1" applyAlignment="1">
      <alignment horizontal="center"/>
    </xf>
    <xf numFmtId="0" fontId="16" fillId="0" borderId="53" xfId="0" applyFont="1" applyBorder="1" applyAlignment="1">
      <alignment horizontal="center"/>
    </xf>
    <xf numFmtId="0" fontId="16" fillId="0" borderId="91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16" fillId="27" borderId="70" xfId="0" applyFont="1" applyFill="1" applyBorder="1" applyAlignment="1">
      <alignment horizontal="center"/>
    </xf>
    <xf numFmtId="0" fontId="16" fillId="0" borderId="84" xfId="0" applyFont="1" applyBorder="1" applyAlignment="1">
      <alignment horizontal="center"/>
    </xf>
    <xf numFmtId="0" fontId="97" fillId="0" borderId="83" xfId="0" applyFont="1" applyFill="1" applyBorder="1" applyAlignment="1">
      <alignment horizontal="center"/>
    </xf>
    <xf numFmtId="3" fontId="5" fillId="0" borderId="61" xfId="0" applyNumberFormat="1" applyFont="1" applyFill="1" applyBorder="1"/>
    <xf numFmtId="0" fontId="5" fillId="28" borderId="37" xfId="0" applyFont="1" applyFill="1" applyBorder="1" applyProtection="1"/>
    <xf numFmtId="3" fontId="5" fillId="28" borderId="36" xfId="0" applyNumberFormat="1" applyFont="1" applyFill="1" applyBorder="1" applyAlignment="1"/>
    <xf numFmtId="0" fontId="5" fillId="0" borderId="37" xfId="0" applyFont="1" applyFill="1" applyBorder="1" applyProtection="1"/>
    <xf numFmtId="3" fontId="5" fillId="0" borderId="34" xfId="0" applyNumberFormat="1" applyFont="1" applyFill="1" applyBorder="1" applyAlignment="1"/>
    <xf numFmtId="0" fontId="5" fillId="0" borderId="92" xfId="0" applyFont="1" applyFill="1" applyBorder="1"/>
    <xf numFmtId="2" fontId="60" fillId="0" borderId="74" xfId="77" applyNumberFormat="1" applyFont="1" applyBorder="1"/>
    <xf numFmtId="3" fontId="83" fillId="30" borderId="34" xfId="0" applyNumberFormat="1" applyFont="1" applyFill="1" applyBorder="1"/>
    <xf numFmtId="3" fontId="98" fillId="0" borderId="0" xfId="0" applyNumberFormat="1" applyFont="1" applyFill="1"/>
    <xf numFmtId="3" fontId="62" fillId="0" borderId="18" xfId="0" applyNumberFormat="1" applyFont="1" applyFill="1" applyBorder="1"/>
    <xf numFmtId="4" fontId="62" fillId="0" borderId="69" xfId="0" applyNumberFormat="1" applyFont="1" applyFill="1" applyBorder="1" applyProtection="1"/>
    <xf numFmtId="0" fontId="5" fillId="0" borderId="75" xfId="0" applyFont="1" applyFill="1" applyBorder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Continuous"/>
    </xf>
    <xf numFmtId="3" fontId="4" fillId="0" borderId="29" xfId="0" applyNumberFormat="1" applyFont="1" applyFill="1" applyBorder="1"/>
    <xf numFmtId="2" fontId="4" fillId="0" borderId="59" xfId="0" applyNumberFormat="1" applyFont="1" applyFill="1" applyBorder="1"/>
    <xf numFmtId="0" fontId="9" fillId="0" borderId="18" xfId="0" applyFont="1" applyFill="1" applyBorder="1" applyAlignment="1" applyProtection="1">
      <alignment horizontal="left"/>
    </xf>
    <xf numFmtId="4" fontId="16" fillId="0" borderId="69" xfId="77" applyNumberFormat="1" applyFont="1" applyFill="1" applyBorder="1" applyAlignment="1">
      <alignment horizontal="right"/>
    </xf>
    <xf numFmtId="0" fontId="5" fillId="0" borderId="79" xfId="0" applyFont="1" applyFill="1" applyBorder="1" applyAlignment="1">
      <alignment horizontal="justify" wrapText="1"/>
    </xf>
    <xf numFmtId="0" fontId="9" fillId="0" borderId="92" xfId="77" applyFont="1" applyFill="1" applyBorder="1" applyAlignment="1">
      <alignment horizontal="left" wrapText="1"/>
    </xf>
    <xf numFmtId="0" fontId="5" fillId="0" borderId="99" xfId="77" applyFont="1" applyFill="1" applyBorder="1" applyAlignment="1">
      <alignment horizontal="right"/>
    </xf>
    <xf numFmtId="0" fontId="79" fillId="0" borderId="0" xfId="0" applyFont="1" applyFill="1" applyBorder="1" applyProtection="1"/>
    <xf numFmtId="3" fontId="73" fillId="0" borderId="18" xfId="0" applyNumberFormat="1" applyFont="1" applyFill="1" applyBorder="1"/>
    <xf numFmtId="3" fontId="79" fillId="0" borderId="69" xfId="0" applyNumberFormat="1" applyFont="1" applyFill="1" applyBorder="1"/>
    <xf numFmtId="3" fontId="80" fillId="0" borderId="69" xfId="0" applyNumberFormat="1" applyFont="1" applyFill="1" applyBorder="1"/>
    <xf numFmtId="0" fontId="73" fillId="0" borderId="24" xfId="0" applyFont="1" applyFill="1" applyBorder="1" applyProtection="1"/>
    <xf numFmtId="3" fontId="73" fillId="0" borderId="89" xfId="0" applyNumberFormat="1" applyFont="1" applyFill="1" applyBorder="1" applyProtection="1">
      <protection locked="0"/>
    </xf>
    <xf numFmtId="3" fontId="73" fillId="0" borderId="26" xfId="0" applyNumberFormat="1" applyFont="1" applyFill="1" applyBorder="1"/>
    <xf numFmtId="3" fontId="73" fillId="0" borderId="78" xfId="0" applyNumberFormat="1" applyFont="1" applyFill="1" applyBorder="1"/>
    <xf numFmtId="3" fontId="75" fillId="0" borderId="78" xfId="0" applyNumberFormat="1" applyFont="1" applyFill="1" applyBorder="1"/>
    <xf numFmtId="4" fontId="58" fillId="0" borderId="78" xfId="0" applyNumberFormat="1" applyFont="1" applyFill="1" applyBorder="1" applyProtection="1"/>
    <xf numFmtId="0" fontId="73" fillId="0" borderId="50" xfId="0" applyFont="1" applyFill="1" applyBorder="1"/>
    <xf numFmtId="3" fontId="73" fillId="0" borderId="85" xfId="0" applyNumberFormat="1" applyFont="1" applyFill="1" applyBorder="1"/>
    <xf numFmtId="0" fontId="80" fillId="0" borderId="24" xfId="0" applyFont="1" applyFill="1" applyBorder="1" applyAlignment="1" applyProtection="1"/>
    <xf numFmtId="0" fontId="79" fillId="0" borderId="24" xfId="0" applyFont="1" applyFill="1" applyBorder="1" applyProtection="1"/>
    <xf numFmtId="0" fontId="80" fillId="0" borderId="24" xfId="0" applyFont="1" applyFill="1" applyBorder="1" applyAlignment="1" applyProtection="1">
      <alignment wrapText="1"/>
    </xf>
    <xf numFmtId="3" fontId="62" fillId="0" borderId="0" xfId="0" applyNumberFormat="1" applyFont="1" applyFill="1" applyBorder="1"/>
    <xf numFmtId="0" fontId="73" fillId="0" borderId="24" xfId="0" applyFont="1" applyFill="1" applyBorder="1"/>
    <xf numFmtId="3" fontId="58" fillId="0" borderId="24" xfId="0" applyNumberFormat="1" applyFont="1" applyFill="1" applyBorder="1"/>
    <xf numFmtId="0" fontId="58" fillId="0" borderId="24" xfId="0" applyFont="1" applyFill="1" applyBorder="1" applyProtection="1"/>
    <xf numFmtId="3" fontId="58" fillId="0" borderId="89" xfId="0" applyNumberFormat="1" applyFont="1" applyFill="1" applyBorder="1" applyProtection="1">
      <protection locked="0"/>
    </xf>
    <xf numFmtId="3" fontId="58" fillId="0" borderId="26" xfId="0" applyNumberFormat="1" applyFont="1" applyFill="1" applyBorder="1"/>
    <xf numFmtId="3" fontId="58" fillId="0" borderId="78" xfId="0" applyNumberFormat="1" applyFont="1" applyFill="1" applyBorder="1"/>
    <xf numFmtId="4" fontId="75" fillId="0" borderId="78" xfId="0" applyNumberFormat="1" applyFont="1" applyFill="1" applyBorder="1" applyProtection="1"/>
    <xf numFmtId="0" fontId="75" fillId="0" borderId="50" xfId="0" applyFont="1" applyFill="1" applyBorder="1" applyProtection="1"/>
    <xf numFmtId="0" fontId="75" fillId="0" borderId="50" xfId="0" applyFont="1" applyFill="1" applyBorder="1" applyAlignment="1">
      <alignment horizontal="left"/>
    </xf>
    <xf numFmtId="0" fontId="75" fillId="0" borderId="85" xfId="0" applyFont="1" applyFill="1" applyBorder="1" applyAlignment="1">
      <alignment horizontal="left"/>
    </xf>
    <xf numFmtId="3" fontId="75" fillId="0" borderId="38" xfId="0" applyNumberFormat="1" applyFont="1" applyFill="1" applyBorder="1"/>
    <xf numFmtId="0" fontId="62" fillId="0" borderId="66" xfId="0" applyFont="1" applyFill="1" applyBorder="1" applyAlignment="1" applyProtection="1">
      <alignment horizontal="left"/>
    </xf>
    <xf numFmtId="0" fontId="62" fillId="0" borderId="74" xfId="0" applyFont="1" applyFill="1" applyBorder="1" applyAlignment="1" applyProtection="1">
      <alignment horizontal="left"/>
    </xf>
    <xf numFmtId="3" fontId="62" fillId="0" borderId="62" xfId="0" applyNumberFormat="1" applyFont="1" applyFill="1" applyBorder="1" applyProtection="1"/>
    <xf numFmtId="4" fontId="80" fillId="0" borderId="72" xfId="0" applyNumberFormat="1" applyFont="1" applyFill="1" applyBorder="1" applyProtection="1"/>
    <xf numFmtId="0" fontId="73" fillId="0" borderId="22" xfId="0" applyFont="1" applyFill="1" applyBorder="1" applyProtection="1"/>
    <xf numFmtId="0" fontId="58" fillId="0" borderId="80" xfId="0" applyFont="1" applyFill="1" applyBorder="1" applyAlignment="1" applyProtection="1">
      <alignment horizontal="left"/>
    </xf>
    <xf numFmtId="3" fontId="58" fillId="0" borderId="17" xfId="0" applyNumberFormat="1" applyFont="1" applyFill="1" applyBorder="1" applyProtection="1"/>
    <xf numFmtId="0" fontId="5" fillId="0" borderId="41" xfId="0" applyFont="1" applyFill="1" applyBorder="1" applyAlignment="1"/>
    <xf numFmtId="0" fontId="71" fillId="0" borderId="96" xfId="0" applyFont="1" applyFill="1" applyBorder="1" applyAlignment="1"/>
    <xf numFmtId="0" fontId="71" fillId="0" borderId="128" xfId="0" applyFont="1" applyFill="1" applyBorder="1" applyAlignment="1"/>
    <xf numFmtId="3" fontId="5" fillId="0" borderId="35" xfId="0" applyNumberFormat="1" applyFont="1" applyFill="1" applyBorder="1" applyProtection="1">
      <protection locked="0"/>
    </xf>
    <xf numFmtId="2" fontId="5" fillId="0" borderId="110" xfId="0" applyNumberFormat="1" applyFont="1" applyFill="1" applyBorder="1"/>
    <xf numFmtId="0" fontId="60" fillId="0" borderId="37" xfId="77" applyFont="1" applyBorder="1" applyAlignment="1">
      <alignment wrapText="1"/>
    </xf>
    <xf numFmtId="0" fontId="5" fillId="0" borderId="0" xfId="77" applyFont="1" applyFill="1" applyBorder="1" applyAlignment="1">
      <alignment horizontal="justify"/>
    </xf>
    <xf numFmtId="3" fontId="5" fillId="0" borderId="69" xfId="77" applyNumberFormat="1" applyFont="1" applyFill="1" applyBorder="1"/>
    <xf numFmtId="3" fontId="99" fillId="0" borderId="0" xfId="77" applyNumberFormat="1" applyFont="1" applyFill="1"/>
    <xf numFmtId="3" fontId="69" fillId="0" borderId="0" xfId="0" applyNumberFormat="1" applyFont="1" applyAlignment="1">
      <alignment wrapText="1"/>
    </xf>
    <xf numFmtId="0" fontId="90" fillId="0" borderId="18" xfId="77" applyFont="1" applyFill="1" applyBorder="1" applyAlignment="1">
      <alignment horizontal="right"/>
    </xf>
    <xf numFmtId="0" fontId="91" fillId="0" borderId="0" xfId="77" applyFont="1"/>
    <xf numFmtId="0" fontId="79" fillId="0" borderId="86" xfId="0" applyFont="1" applyFill="1" applyBorder="1" applyProtection="1"/>
    <xf numFmtId="0" fontId="79" fillId="0" borderId="79" xfId="0" applyFont="1" applyFill="1" applyBorder="1" applyProtection="1"/>
    <xf numFmtId="0" fontId="79" fillId="0" borderId="0" xfId="0" applyFont="1" applyFill="1" applyBorder="1" applyAlignment="1" applyProtection="1"/>
    <xf numFmtId="0" fontId="79" fillId="0" borderId="0" xfId="0" applyFont="1" applyFill="1" applyBorder="1" applyAlignment="1" applyProtection="1">
      <alignment wrapText="1"/>
    </xf>
    <xf numFmtId="3" fontId="79" fillId="0" borderId="89" xfId="0" applyNumberFormat="1" applyFont="1" applyFill="1" applyBorder="1" applyProtection="1">
      <protection locked="0"/>
    </xf>
    <xf numFmtId="3" fontId="79" fillId="0" borderId="78" xfId="0" applyNumberFormat="1" applyFont="1" applyFill="1" applyBorder="1"/>
    <xf numFmtId="3" fontId="5" fillId="0" borderId="73" xfId="0" applyNumberFormat="1" applyFont="1" applyFill="1" applyBorder="1" applyAlignment="1">
      <alignment horizontal="justify"/>
    </xf>
    <xf numFmtId="3" fontId="62" fillId="0" borderId="51" xfId="0" applyNumberFormat="1" applyFont="1" applyFill="1" applyBorder="1"/>
    <xf numFmtId="4" fontId="80" fillId="0" borderId="78" xfId="0" applyNumberFormat="1" applyFont="1" applyFill="1" applyBorder="1" applyProtection="1"/>
    <xf numFmtId="3" fontId="80" fillId="0" borderId="78" xfId="0" applyNumberFormat="1" applyFont="1" applyFill="1" applyBorder="1"/>
    <xf numFmtId="0" fontId="93" fillId="0" borderId="37" xfId="0" applyFont="1" applyFill="1" applyBorder="1" applyAlignment="1">
      <alignment wrapText="1"/>
    </xf>
    <xf numFmtId="2" fontId="93" fillId="0" borderId="67" xfId="77" applyNumberFormat="1" applyFont="1" applyBorder="1"/>
    <xf numFmtId="3" fontId="93" fillId="0" borderId="93" xfId="77" applyNumberFormat="1" applyFont="1" applyFill="1" applyBorder="1"/>
    <xf numFmtId="0" fontId="93" fillId="0" borderId="37" xfId="0" applyFont="1" applyBorder="1" applyAlignment="1">
      <alignment horizontal="justify"/>
    </xf>
    <xf numFmtId="0" fontId="94" fillId="0" borderId="0" xfId="77" applyFont="1" applyFill="1"/>
    <xf numFmtId="3" fontId="93" fillId="0" borderId="36" xfId="77" applyNumberFormat="1" applyFont="1" applyFill="1" applyBorder="1"/>
    <xf numFmtId="3" fontId="93" fillId="0" borderId="39" xfId="77" applyNumberFormat="1" applyFont="1" applyFill="1" applyBorder="1"/>
    <xf numFmtId="0" fontId="93" fillId="0" borderId="37" xfId="77" applyFont="1" applyFill="1" applyBorder="1"/>
    <xf numFmtId="0" fontId="93" fillId="0" borderId="37" xfId="77" applyFont="1" applyFill="1" applyBorder="1" applyAlignment="1">
      <alignment wrapText="1"/>
    </xf>
    <xf numFmtId="3" fontId="93" fillId="0" borderId="36" xfId="77" applyNumberFormat="1" applyFont="1" applyFill="1" applyBorder="1" applyAlignment="1">
      <alignment horizontal="right"/>
    </xf>
    <xf numFmtId="4" fontId="5" fillId="0" borderId="60" xfId="0" applyNumberFormat="1" applyFont="1" applyBorder="1"/>
    <xf numFmtId="2" fontId="60" fillId="0" borderId="85" xfId="77" applyNumberFormat="1" applyFont="1" applyBorder="1"/>
    <xf numFmtId="3" fontId="35" fillId="0" borderId="0" xfId="0" applyNumberFormat="1" applyFont="1"/>
    <xf numFmtId="0" fontId="79" fillId="0" borderId="74" xfId="0" applyFont="1" applyFill="1" applyBorder="1" applyProtection="1"/>
    <xf numFmtId="0" fontId="79" fillId="0" borderId="37" xfId="0" applyFont="1" applyFill="1" applyBorder="1" applyProtection="1"/>
    <xf numFmtId="0" fontId="4" fillId="0" borderId="23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62" fillId="0" borderId="0" xfId="88" applyFont="1"/>
    <xf numFmtId="0" fontId="62" fillId="0" borderId="0" xfId="88" applyFont="1" applyFill="1"/>
    <xf numFmtId="3" fontId="62" fillId="0" borderId="0" xfId="88" applyNumberFormat="1" applyFont="1" applyFill="1"/>
    <xf numFmtId="0" fontId="7" fillId="0" borderId="0" xfId="88" applyFont="1"/>
    <xf numFmtId="0" fontId="5" fillId="0" borderId="0" xfId="88" applyFont="1"/>
    <xf numFmtId="0" fontId="4" fillId="0" borderId="0" xfId="88" applyFont="1"/>
    <xf numFmtId="0" fontId="4" fillId="0" borderId="0" xfId="88" applyFont="1" applyAlignment="1">
      <alignment horizontal="right"/>
    </xf>
    <xf numFmtId="0" fontId="5" fillId="0" borderId="0" xfId="88" applyFont="1" applyFill="1"/>
    <xf numFmtId="0" fontId="36" fillId="0" borderId="83" xfId="88" applyFont="1" applyBorder="1" applyAlignment="1">
      <alignment horizontal="center"/>
    </xf>
    <xf numFmtId="0" fontId="36" fillId="0" borderId="23" xfId="88" applyFont="1" applyBorder="1" applyAlignment="1">
      <alignment horizontal="center"/>
    </xf>
    <xf numFmtId="0" fontId="36" fillId="0" borderId="53" xfId="88" applyFont="1" applyBorder="1" applyAlignment="1">
      <alignment horizontal="center"/>
    </xf>
    <xf numFmtId="0" fontId="60" fillId="0" borderId="0" xfId="88" applyFont="1" applyFill="1"/>
    <xf numFmtId="0" fontId="60" fillId="0" borderId="0" xfId="88" applyFont="1"/>
    <xf numFmtId="0" fontId="36" fillId="0" borderId="69" xfId="88" applyFont="1" applyBorder="1" applyAlignment="1">
      <alignment horizontal="center"/>
    </xf>
    <xf numFmtId="0" fontId="60" fillId="0" borderId="18" xfId="88" applyFont="1" applyBorder="1"/>
    <xf numFmtId="0" fontId="36" fillId="0" borderId="86" xfId="88" applyFont="1" applyBorder="1" applyAlignment="1">
      <alignment horizontal="center"/>
    </xf>
    <xf numFmtId="0" fontId="36" fillId="0" borderId="70" xfId="88" applyFont="1" applyBorder="1" applyAlignment="1">
      <alignment horizontal="center"/>
    </xf>
    <xf numFmtId="0" fontId="60" fillId="0" borderId="19" xfId="88" applyFont="1" applyBorder="1"/>
    <xf numFmtId="0" fontId="36" fillId="0" borderId="70" xfId="88" applyFont="1" applyBorder="1" applyAlignment="1">
      <alignment horizontal="center" vertical="center" wrapText="1"/>
    </xf>
    <xf numFmtId="0" fontId="36" fillId="0" borderId="84" xfId="88" applyFont="1" applyBorder="1" applyAlignment="1">
      <alignment horizontal="center" vertical="center" wrapText="1"/>
    </xf>
    <xf numFmtId="0" fontId="36" fillId="0" borderId="84" xfId="88" applyFont="1" applyBorder="1" applyAlignment="1">
      <alignment horizontal="justify"/>
    </xf>
    <xf numFmtId="0" fontId="100" fillId="0" borderId="0" xfId="88" applyFont="1" applyFill="1" applyAlignment="1">
      <alignment horizontal="center"/>
    </xf>
    <xf numFmtId="0" fontId="16" fillId="0" borderId="69" xfId="88" applyFont="1" applyBorder="1" applyAlignment="1">
      <alignment horizontal="center"/>
    </xf>
    <xf numFmtId="0" fontId="16" fillId="0" borderId="18" xfId="88" applyFont="1" applyBorder="1" applyAlignment="1">
      <alignment horizontal="center"/>
    </xf>
    <xf numFmtId="0" fontId="5" fillId="0" borderId="83" xfId="88" applyFont="1" applyBorder="1" applyAlignment="1">
      <alignment horizontal="center"/>
    </xf>
    <xf numFmtId="0" fontId="5" fillId="0" borderId="53" xfId="88" applyFont="1" applyBorder="1" applyAlignment="1">
      <alignment horizontal="center"/>
    </xf>
    <xf numFmtId="0" fontId="16" fillId="0" borderId="53" xfId="88" applyFont="1" applyBorder="1" applyAlignment="1">
      <alignment horizontal="center"/>
    </xf>
    <xf numFmtId="0" fontId="4" fillId="0" borderId="69" xfId="88" applyFont="1" applyBorder="1" applyAlignment="1">
      <alignment horizontal="center"/>
    </xf>
    <xf numFmtId="0" fontId="16" fillId="0" borderId="23" xfId="88" applyFont="1" applyBorder="1" applyAlignment="1">
      <alignment horizontal="center"/>
    </xf>
    <xf numFmtId="0" fontId="88" fillId="0" borderId="0" xfId="88" applyFont="1" applyFill="1" applyAlignment="1">
      <alignment horizontal="center"/>
    </xf>
    <xf numFmtId="3" fontId="36" fillId="0" borderId="116" xfId="88" applyNumberFormat="1" applyFont="1" applyBorder="1" applyAlignment="1">
      <alignment horizontal="center"/>
    </xf>
    <xf numFmtId="0" fontId="102" fillId="0" borderId="99" xfId="89" applyFont="1" applyBorder="1"/>
    <xf numFmtId="3" fontId="60" fillId="0" borderId="116" xfId="88" applyNumberFormat="1" applyFont="1" applyBorder="1"/>
    <xf numFmtId="3" fontId="36" fillId="0" borderId="116" xfId="88" applyNumberFormat="1" applyFont="1" applyBorder="1"/>
    <xf numFmtId="3" fontId="15" fillId="0" borderId="69" xfId="88" applyNumberFormat="1" applyFont="1" applyBorder="1" applyAlignment="1">
      <alignment horizontal="center"/>
    </xf>
    <xf numFmtId="3" fontId="35" fillId="0" borderId="69" xfId="88" applyNumberFormat="1" applyFont="1" applyBorder="1"/>
    <xf numFmtId="3" fontId="35" fillId="0" borderId="116" xfId="88" applyNumberFormat="1" applyFont="1" applyBorder="1"/>
    <xf numFmtId="3" fontId="5" fillId="0" borderId="0" xfId="88" applyNumberFormat="1" applyFont="1" applyFill="1"/>
    <xf numFmtId="3" fontId="36" fillId="0" borderId="78" xfId="88" applyNumberFormat="1" applyFont="1" applyBorder="1" applyAlignment="1">
      <alignment horizontal="center"/>
    </xf>
    <xf numFmtId="0" fontId="102" fillId="0" borderId="26" xfId="89" applyFont="1" applyBorder="1"/>
    <xf numFmtId="3" fontId="15" fillId="0" borderId="78" xfId="88" applyNumberFormat="1" applyFont="1" applyBorder="1" applyAlignment="1">
      <alignment horizontal="center"/>
    </xf>
    <xf numFmtId="0" fontId="102" fillId="0" borderId="26" xfId="89" applyFont="1" applyBorder="1" applyAlignment="1">
      <alignment wrapText="1"/>
    </xf>
    <xf numFmtId="3" fontId="35" fillId="0" borderId="78" xfId="88" applyNumberFormat="1" applyFont="1" applyBorder="1"/>
    <xf numFmtId="3" fontId="15" fillId="0" borderId="90" xfId="88" applyNumberFormat="1" applyFont="1" applyBorder="1" applyAlignment="1">
      <alignment horizontal="center"/>
    </xf>
    <xf numFmtId="0" fontId="102" fillId="0" borderId="57" xfId="89" applyFont="1" applyBorder="1"/>
    <xf numFmtId="3" fontId="36" fillId="0" borderId="69" xfId="88" applyNumberFormat="1" applyFont="1" applyBorder="1"/>
    <xf numFmtId="3" fontId="103" fillId="0" borderId="0" xfId="88" applyNumberFormat="1" applyFont="1" applyFill="1"/>
    <xf numFmtId="3" fontId="36" fillId="0" borderId="77" xfId="88" applyNumberFormat="1" applyFont="1" applyBorder="1" applyAlignment="1">
      <alignment horizontal="center"/>
    </xf>
    <xf numFmtId="0" fontId="36" fillId="0" borderId="20" xfId="88" applyFont="1" applyBorder="1"/>
    <xf numFmtId="3" fontId="36" fillId="0" borderId="77" xfId="88" applyNumberFormat="1" applyFont="1" applyBorder="1"/>
    <xf numFmtId="3" fontId="15" fillId="0" borderId="77" xfId="88" applyNumberFormat="1" applyFont="1" applyBorder="1" applyAlignment="1">
      <alignment horizontal="center"/>
    </xf>
    <xf numFmtId="3" fontId="15" fillId="0" borderId="77" xfId="88" applyNumberFormat="1" applyFont="1" applyBorder="1"/>
    <xf numFmtId="3" fontId="15" fillId="0" borderId="133" xfId="88" applyNumberFormat="1" applyFont="1" applyBorder="1" applyAlignment="1">
      <alignment horizontal="center"/>
    </xf>
    <xf numFmtId="0" fontId="102" fillId="0" borderId="23" xfId="89" applyFont="1" applyBorder="1"/>
    <xf numFmtId="3" fontId="35" fillId="0" borderId="83" xfId="88" applyNumberFormat="1" applyFont="1" applyBorder="1"/>
    <xf numFmtId="0" fontId="16" fillId="0" borderId="0" xfId="88" applyFont="1" applyFill="1"/>
    <xf numFmtId="0" fontId="16" fillId="0" borderId="0" xfId="88" applyFont="1"/>
    <xf numFmtId="3" fontId="15" fillId="0" borderId="116" xfId="88" applyNumberFormat="1" applyFont="1" applyBorder="1" applyAlignment="1">
      <alignment horizontal="center"/>
    </xf>
    <xf numFmtId="0" fontId="102" fillId="0" borderId="18" xfId="89" applyFont="1" applyBorder="1"/>
    <xf numFmtId="3" fontId="16" fillId="0" borderId="77" xfId="88" applyNumberFormat="1" applyFont="1" applyBorder="1" applyAlignment="1">
      <alignment horizontal="center"/>
    </xf>
    <xf numFmtId="0" fontId="36" fillId="0" borderId="20" xfId="88" applyFont="1" applyBorder="1" applyAlignment="1">
      <alignment horizontal="justify"/>
    </xf>
    <xf numFmtId="3" fontId="16" fillId="0" borderId="77" xfId="88" applyNumberFormat="1" applyFont="1" applyFill="1" applyBorder="1" applyAlignment="1">
      <alignment horizontal="center"/>
    </xf>
    <xf numFmtId="3" fontId="16" fillId="0" borderId="69" xfId="88" applyNumberFormat="1" applyFont="1" applyBorder="1" applyAlignment="1">
      <alignment horizontal="center"/>
    </xf>
    <xf numFmtId="0" fontId="36" fillId="0" borderId="18" xfId="88" applyFont="1" applyBorder="1" applyAlignment="1">
      <alignment horizontal="justify"/>
    </xf>
    <xf numFmtId="3" fontId="60" fillId="0" borderId="77" xfId="88" applyNumberFormat="1" applyFont="1" applyBorder="1"/>
    <xf numFmtId="3" fontId="60" fillId="0" borderId="86" xfId="88" applyNumberFormat="1" applyFont="1" applyBorder="1"/>
    <xf numFmtId="3" fontId="4" fillId="0" borderId="83" xfId="88" applyNumberFormat="1" applyFont="1" applyBorder="1" applyAlignment="1">
      <alignment horizontal="center"/>
    </xf>
    <xf numFmtId="0" fontId="36" fillId="0" borderId="23" xfId="88" applyFont="1" applyBorder="1" applyAlignment="1">
      <alignment horizontal="justify"/>
    </xf>
    <xf numFmtId="3" fontId="4" fillId="0" borderId="77" xfId="88" applyNumberFormat="1" applyFont="1" applyBorder="1" applyAlignment="1">
      <alignment horizontal="center"/>
    </xf>
    <xf numFmtId="0" fontId="15" fillId="0" borderId="20" xfId="88" applyFont="1" applyBorder="1"/>
    <xf numFmtId="3" fontId="5" fillId="0" borderId="0" xfId="88" applyNumberFormat="1" applyFont="1"/>
    <xf numFmtId="3" fontId="4" fillId="0" borderId="0" xfId="88" applyNumberFormat="1" applyFont="1"/>
    <xf numFmtId="3" fontId="5" fillId="0" borderId="46" xfId="88" applyNumberFormat="1" applyFont="1" applyBorder="1"/>
    <xf numFmtId="3" fontId="4" fillId="0" borderId="46" xfId="88" applyNumberFormat="1" applyFont="1" applyBorder="1"/>
    <xf numFmtId="3" fontId="7" fillId="0" borderId="0" xfId="88" applyNumberFormat="1" applyFont="1" applyFill="1" applyBorder="1"/>
    <xf numFmtId="0" fontId="5" fillId="0" borderId="0" xfId="88" applyFont="1" applyAlignment="1">
      <alignment horizontal="right"/>
    </xf>
    <xf numFmtId="3" fontId="104" fillId="0" borderId="0" xfId="88" applyNumberFormat="1" applyFont="1" applyFill="1"/>
    <xf numFmtId="49" fontId="5" fillId="0" borderId="0" xfId="88" applyNumberFormat="1" applyFont="1" applyAlignment="1">
      <alignment horizontal="right"/>
    </xf>
    <xf numFmtId="3" fontId="4" fillId="0" borderId="0" xfId="88" applyNumberFormat="1" applyFont="1" applyFill="1"/>
    <xf numFmtId="3" fontId="5" fillId="0" borderId="0" xfId="88" applyNumberFormat="1" applyFont="1" applyBorder="1"/>
    <xf numFmtId="0" fontId="5" fillId="0" borderId="0" xfId="88" applyFont="1" applyBorder="1"/>
    <xf numFmtId="3" fontId="4" fillId="0" borderId="0" xfId="88" applyNumberFormat="1" applyFont="1" applyFill="1" applyBorder="1"/>
    <xf numFmtId="3" fontId="4" fillId="0" borderId="0" xfId="88" applyNumberFormat="1" applyFont="1" applyBorder="1"/>
    <xf numFmtId="0" fontId="5" fillId="0" borderId="0" xfId="88" applyFont="1" applyAlignment="1">
      <alignment horizontal="left"/>
    </xf>
    <xf numFmtId="49" fontId="5" fillId="0" borderId="0" xfId="88" applyNumberFormat="1" applyFont="1" applyAlignment="1">
      <alignment horizontal="left"/>
    </xf>
    <xf numFmtId="0" fontId="7" fillId="0" borderId="0" xfId="88" applyFont="1" applyAlignment="1">
      <alignment horizontal="right"/>
    </xf>
    <xf numFmtId="3" fontId="104" fillId="0" borderId="0" xfId="88" applyNumberFormat="1" applyFont="1" applyFill="1" applyBorder="1"/>
    <xf numFmtId="0" fontId="4" fillId="0" borderId="0" xfId="88" applyFont="1" applyBorder="1"/>
    <xf numFmtId="3" fontId="5" fillId="0" borderId="0" xfId="88" applyNumberFormat="1" applyFont="1" applyFill="1" applyBorder="1"/>
    <xf numFmtId="0" fontId="5" fillId="0" borderId="0" xfId="88" applyFont="1" applyFill="1" applyBorder="1"/>
    <xf numFmtId="0" fontId="34" fillId="0" borderId="0" xfId="0" applyFont="1"/>
    <xf numFmtId="0" fontId="34" fillId="0" borderId="0" xfId="0" applyFont="1" applyFill="1"/>
    <xf numFmtId="0" fontId="34" fillId="0" borderId="0" xfId="78" applyFont="1" applyAlignment="1">
      <alignment horizontal="right"/>
    </xf>
    <xf numFmtId="0" fontId="72" fillId="0" borderId="23" xfId="0" applyFont="1" applyFill="1" applyBorder="1"/>
    <xf numFmtId="3" fontId="72" fillId="0" borderId="27" xfId="0" applyNumberFormat="1" applyFont="1" applyFill="1" applyBorder="1" applyAlignment="1">
      <alignment horizontal="right"/>
    </xf>
    <xf numFmtId="3" fontId="72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/>
    <xf numFmtId="0" fontId="14" fillId="0" borderId="26" xfId="0" quotePrefix="1" applyFont="1" applyFill="1" applyBorder="1"/>
    <xf numFmtId="3" fontId="14" fillId="0" borderId="58" xfId="0" quotePrefix="1" applyNumberFormat="1" applyFont="1" applyFill="1" applyBorder="1" applyAlignment="1">
      <alignment horizontal="right"/>
    </xf>
    <xf numFmtId="0" fontId="14" fillId="0" borderId="0" xfId="0" applyFont="1" applyFill="1"/>
    <xf numFmtId="3" fontId="14" fillId="0" borderId="0" xfId="0" quotePrefix="1" applyNumberFormat="1" applyFont="1" applyFill="1" applyBorder="1" applyAlignment="1">
      <alignment horizontal="right"/>
    </xf>
    <xf numFmtId="3" fontId="14" fillId="0" borderId="0" xfId="0" applyNumberFormat="1" applyFont="1" applyFill="1"/>
    <xf numFmtId="49" fontId="34" fillId="0" borderId="18" xfId="0" applyNumberFormat="1" applyFont="1" applyFill="1" applyBorder="1"/>
    <xf numFmtId="3" fontId="34" fillId="0" borderId="59" xfId="0" quotePrefix="1" applyNumberFormat="1" applyFont="1" applyFill="1" applyBorder="1" applyAlignment="1">
      <alignment horizontal="right"/>
    </xf>
    <xf numFmtId="3" fontId="34" fillId="0" borderId="0" xfId="0" quotePrefix="1" applyNumberFormat="1" applyFont="1" applyFill="1" applyBorder="1" applyAlignment="1">
      <alignment horizontal="right"/>
    </xf>
    <xf numFmtId="0" fontId="34" fillId="0" borderId="26" xfId="0" quotePrefix="1" applyFont="1" applyFill="1" applyBorder="1"/>
    <xf numFmtId="3" fontId="34" fillId="0" borderId="58" xfId="0" quotePrefix="1" applyNumberFormat="1" applyFont="1" applyFill="1" applyBorder="1" applyAlignment="1">
      <alignment horizontal="right"/>
    </xf>
    <xf numFmtId="0" fontId="72" fillId="0" borderId="17" xfId="0" applyFont="1" applyFill="1" applyBorder="1"/>
    <xf numFmtId="3" fontId="72" fillId="0" borderId="54" xfId="0" quotePrefix="1" applyNumberFormat="1" applyFont="1" applyFill="1" applyBorder="1" applyAlignment="1">
      <alignment horizontal="right"/>
    </xf>
    <xf numFmtId="3" fontId="72" fillId="0" borderId="0" xfId="0" quotePrefix="1" applyNumberFormat="1" applyFont="1" applyFill="1" applyBorder="1" applyAlignment="1">
      <alignment horizontal="right"/>
    </xf>
    <xf numFmtId="0" fontId="34" fillId="0" borderId="18" xfId="0" applyFont="1" applyBorder="1"/>
    <xf numFmtId="3" fontId="34" fillId="0" borderId="59" xfId="0" applyNumberFormat="1" applyFont="1" applyFill="1" applyBorder="1" applyAlignment="1">
      <alignment horizontal="right"/>
    </xf>
    <xf numFmtId="0" fontId="34" fillId="0" borderId="26" xfId="0" applyFont="1" applyBorder="1"/>
    <xf numFmtId="3" fontId="107" fillId="0" borderId="58" xfId="0" applyNumberFormat="1" applyFont="1" applyFill="1" applyBorder="1" applyAlignment="1">
      <alignment horizontal="right"/>
    </xf>
    <xf numFmtId="0" fontId="34" fillId="0" borderId="19" xfId="0" applyFont="1" applyBorder="1"/>
    <xf numFmtId="3" fontId="107" fillId="0" borderId="28" xfId="0" applyNumberFormat="1" applyFont="1" applyFill="1" applyBorder="1" applyAlignment="1">
      <alignment horizontal="right"/>
    </xf>
    <xf numFmtId="0" fontId="0" fillId="0" borderId="0" xfId="0" applyFill="1"/>
    <xf numFmtId="0" fontId="3" fillId="0" borderId="0" xfId="78"/>
    <xf numFmtId="0" fontId="13" fillId="0" borderId="0" xfId="78" applyFont="1" applyAlignment="1">
      <alignment horizontal="right"/>
    </xf>
    <xf numFmtId="0" fontId="108" fillId="0" borderId="77" xfId="78" applyFont="1" applyBorder="1" applyAlignment="1">
      <alignment horizontal="center"/>
    </xf>
    <xf numFmtId="0" fontId="109" fillId="0" borderId="133" xfId="78" applyFont="1" applyBorder="1" applyAlignment="1">
      <alignment horizontal="center" vertical="center"/>
    </xf>
    <xf numFmtId="0" fontId="109" fillId="0" borderId="133" xfId="78" applyFont="1" applyBorder="1" applyAlignment="1">
      <alignment wrapText="1"/>
    </xf>
    <xf numFmtId="3" fontId="109" fillId="0" borderId="133" xfId="78" applyNumberFormat="1" applyFont="1" applyBorder="1" applyAlignment="1"/>
    <xf numFmtId="0" fontId="109" fillId="0" borderId="69" xfId="78" applyFont="1" applyBorder="1" applyAlignment="1">
      <alignment horizontal="center" vertical="center"/>
    </xf>
    <xf numFmtId="0" fontId="109" fillId="0" borderId="0" xfId="78" applyFont="1" applyBorder="1" applyAlignment="1">
      <alignment wrapText="1"/>
    </xf>
    <xf numFmtId="3" fontId="109" fillId="0" borderId="69" xfId="78" applyNumberFormat="1" applyFont="1" applyBorder="1" applyAlignment="1"/>
    <xf numFmtId="0" fontId="109" fillId="0" borderId="90" xfId="78" applyFont="1" applyBorder="1" applyAlignment="1">
      <alignment horizontal="center" vertical="center"/>
    </xf>
    <xf numFmtId="0" fontId="109" fillId="0" borderId="105" xfId="78" applyFont="1" applyBorder="1" applyAlignment="1">
      <alignment wrapText="1"/>
    </xf>
    <xf numFmtId="3" fontId="109" fillId="0" borderId="90" xfId="78" applyNumberFormat="1" applyFont="1" applyBorder="1"/>
    <xf numFmtId="0" fontId="109" fillId="0" borderId="0" xfId="78" applyFont="1" applyBorder="1"/>
    <xf numFmtId="3" fontId="109" fillId="0" borderId="69" xfId="78" applyNumberFormat="1" applyFont="1" applyBorder="1"/>
    <xf numFmtId="49" fontId="109" fillId="0" borderId="0" xfId="78" applyNumberFormat="1" applyFont="1" applyBorder="1"/>
    <xf numFmtId="0" fontId="109" fillId="0" borderId="78" xfId="78" applyFont="1" applyBorder="1" applyAlignment="1">
      <alignment horizontal="center" vertical="center"/>
    </xf>
    <xf numFmtId="0" fontId="109" fillId="0" borderId="24" xfId="78" applyFont="1" applyBorder="1" applyAlignment="1">
      <alignment wrapText="1"/>
    </xf>
    <xf numFmtId="3" fontId="109" fillId="0" borderId="78" xfId="78" applyNumberFormat="1" applyFont="1" applyFill="1" applyBorder="1"/>
    <xf numFmtId="3" fontId="109" fillId="0" borderId="78" xfId="78" applyNumberFormat="1" applyFont="1" applyBorder="1"/>
    <xf numFmtId="0" fontId="110" fillId="0" borderId="0" xfId="78" applyFont="1"/>
    <xf numFmtId="0" fontId="111" fillId="0" borderId="0" xfId="90" applyFont="1"/>
    <xf numFmtId="0" fontId="13" fillId="0" borderId="0" xfId="78" applyFont="1"/>
    <xf numFmtId="0" fontId="3" fillId="0" borderId="0" xfId="78" applyFill="1"/>
    <xf numFmtId="0" fontId="109" fillId="0" borderId="0" xfId="90" applyFont="1" applyAlignment="1">
      <alignment wrapText="1"/>
    </xf>
    <xf numFmtId="0" fontId="9" fillId="0" borderId="0" xfId="90" applyFont="1"/>
    <xf numFmtId="0" fontId="109" fillId="0" borderId="0" xfId="90" applyFont="1"/>
    <xf numFmtId="0" fontId="109" fillId="0" borderId="0" xfId="77" applyFont="1" applyFill="1"/>
    <xf numFmtId="0" fontId="112" fillId="0" borderId="0" xfId="77" applyFont="1" applyFill="1"/>
    <xf numFmtId="3" fontId="109" fillId="0" borderId="0" xfId="77" applyNumberFormat="1" applyFont="1" applyFill="1" applyAlignment="1">
      <alignment horizontal="right"/>
    </xf>
    <xf numFmtId="0" fontId="109" fillId="0" borderId="0" xfId="78" applyFont="1" applyAlignment="1">
      <alignment horizontal="right"/>
    </xf>
    <xf numFmtId="0" fontId="4" fillId="0" borderId="23" xfId="77" applyFont="1" applyFill="1" applyBorder="1" applyAlignment="1">
      <alignment horizontal="center"/>
    </xf>
    <xf numFmtId="0" fontId="4" fillId="0" borderId="45" xfId="0" applyFont="1" applyFill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0" fontId="5" fillId="0" borderId="19" xfId="77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4" fillId="0" borderId="84" xfId="0" applyFont="1" applyFill="1" applyBorder="1" applyAlignment="1">
      <alignment horizontal="center"/>
    </xf>
    <xf numFmtId="0" fontId="113" fillId="0" borderId="123" xfId="77" applyFont="1" applyFill="1" applyBorder="1" applyAlignment="1">
      <alignment horizontal="center"/>
    </xf>
    <xf numFmtId="0" fontId="4" fillId="0" borderId="131" xfId="0" applyFont="1" applyFill="1" applyBorder="1" applyAlignment="1">
      <alignment horizontal="center"/>
    </xf>
    <xf numFmtId="0" fontId="4" fillId="0" borderId="124" xfId="0" applyFont="1" applyFill="1" applyBorder="1" applyAlignment="1">
      <alignment horizontal="center"/>
    </xf>
    <xf numFmtId="3" fontId="34" fillId="0" borderId="134" xfId="0" applyNumberFormat="1" applyFont="1" applyFill="1" applyBorder="1" applyAlignment="1">
      <alignment wrapText="1"/>
    </xf>
    <xf numFmtId="3" fontId="5" fillId="0" borderId="89" xfId="0" applyNumberFormat="1" applyFont="1" applyFill="1" applyBorder="1"/>
    <xf numFmtId="0" fontId="113" fillId="0" borderId="26" xfId="77" applyFont="1" applyFill="1" applyBorder="1" applyAlignment="1">
      <alignment horizontal="center"/>
    </xf>
    <xf numFmtId="3" fontId="5" fillId="0" borderId="49" xfId="0" applyNumberFormat="1" applyFont="1" applyFill="1" applyBorder="1" applyProtection="1"/>
    <xf numFmtId="3" fontId="5" fillId="0" borderId="58" xfId="77" applyNumberFormat="1" applyFont="1" applyFill="1" applyBorder="1" applyAlignment="1">
      <alignment horizontal="right"/>
    </xf>
    <xf numFmtId="0" fontId="34" fillId="0" borderId="134" xfId="77" applyFont="1" applyFill="1" applyBorder="1" applyAlignment="1">
      <alignment horizontal="left" wrapText="1"/>
    </xf>
    <xf numFmtId="3" fontId="34" fillId="0" borderId="32" xfId="77" applyNumberFormat="1" applyFont="1" applyFill="1" applyBorder="1" applyAlignment="1">
      <alignment horizontal="right"/>
    </xf>
    <xf numFmtId="3" fontId="5" fillId="0" borderId="135" xfId="0" applyNumberFormat="1" applyFont="1" applyFill="1" applyBorder="1"/>
    <xf numFmtId="0" fontId="34" fillId="0" borderId="38" xfId="77" applyFont="1" applyFill="1" applyBorder="1" applyAlignment="1">
      <alignment horizontal="left" wrapText="1"/>
    </xf>
    <xf numFmtId="0" fontId="4" fillId="0" borderId="17" xfId="77" applyFont="1" applyFill="1" applyBorder="1" applyAlignment="1">
      <alignment horizontal="center"/>
    </xf>
    <xf numFmtId="3" fontId="4" fillId="0" borderId="44" xfId="77" applyNumberFormat="1" applyFont="1" applyFill="1" applyBorder="1"/>
    <xf numFmtId="3" fontId="4" fillId="0" borderId="54" xfId="77" applyNumberFormat="1" applyFont="1" applyFill="1" applyBorder="1"/>
    <xf numFmtId="0" fontId="4" fillId="0" borderId="123" xfId="77" applyFont="1" applyFill="1" applyBorder="1" applyAlignment="1">
      <alignment horizontal="center"/>
    </xf>
    <xf numFmtId="0" fontId="4" fillId="0" borderId="125" xfId="0" applyFont="1" applyFill="1" applyBorder="1" applyAlignment="1">
      <alignment horizontal="center"/>
    </xf>
    <xf numFmtId="0" fontId="4" fillId="0" borderId="1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18" xfId="77" applyFont="1" applyFill="1" applyBorder="1"/>
    <xf numFmtId="0" fontId="4" fillId="0" borderId="29" xfId="0" applyFont="1" applyFill="1" applyBorder="1" applyAlignment="1">
      <alignment horizontal="center"/>
    </xf>
    <xf numFmtId="0" fontId="4" fillId="0" borderId="59" xfId="0" applyFont="1" applyFill="1" applyBorder="1" applyAlignment="1">
      <alignment horizontal="center"/>
    </xf>
    <xf numFmtId="0" fontId="34" fillId="0" borderId="134" xfId="0" applyFont="1" applyFill="1" applyBorder="1" applyAlignment="1">
      <alignment wrapText="1" shrinkToFit="1"/>
    </xf>
    <xf numFmtId="3" fontId="34" fillId="0" borderId="32" xfId="0" applyNumberFormat="1" applyFont="1" applyFill="1" applyBorder="1"/>
    <xf numFmtId="0" fontId="34" fillId="0" borderId="134" xfId="0" applyFont="1" applyFill="1" applyBorder="1" applyAlignment="1">
      <alignment horizontal="justify" wrapText="1"/>
    </xf>
    <xf numFmtId="3" fontId="34" fillId="0" borderId="32" xfId="0" applyNumberFormat="1" applyFont="1" applyFill="1" applyBorder="1" applyAlignment="1">
      <alignment horizontal="right"/>
    </xf>
    <xf numFmtId="0" fontId="114" fillId="0" borderId="134" xfId="77" applyFont="1" applyFill="1" applyBorder="1" applyAlignment="1">
      <alignment horizontal="center"/>
    </xf>
    <xf numFmtId="3" fontId="5" fillId="0" borderId="32" xfId="0" applyNumberFormat="1" applyFont="1" applyFill="1" applyBorder="1" applyAlignment="1">
      <alignment horizontal="right"/>
    </xf>
    <xf numFmtId="3" fontId="9" fillId="0" borderId="86" xfId="0" applyNumberFormat="1" applyFont="1" applyFill="1" applyBorder="1" applyAlignment="1">
      <alignment horizontal="right"/>
    </xf>
    <xf numFmtId="0" fontId="4" fillId="0" borderId="134" xfId="77" applyFont="1" applyFill="1" applyBorder="1"/>
    <xf numFmtId="0" fontId="5" fillId="0" borderId="32" xfId="77" applyFont="1" applyFill="1" applyBorder="1"/>
    <xf numFmtId="3" fontId="5" fillId="0" borderId="89" xfId="77" applyNumberFormat="1" applyFont="1" applyFill="1" applyBorder="1" applyAlignment="1">
      <alignment horizontal="right"/>
    </xf>
    <xf numFmtId="3" fontId="34" fillId="27" borderId="32" xfId="77" applyNumberFormat="1" applyFont="1" applyFill="1" applyBorder="1" applyAlignment="1">
      <alignment horizontal="right"/>
    </xf>
    <xf numFmtId="3" fontId="5" fillId="0" borderId="101" xfId="0" applyNumberFormat="1" applyFont="1" applyFill="1" applyBorder="1"/>
    <xf numFmtId="0" fontId="34" fillId="0" borderId="134" xfId="77" applyFont="1" applyFill="1" applyBorder="1" applyAlignment="1">
      <alignment wrapText="1"/>
    </xf>
    <xf numFmtId="3" fontId="34" fillId="27" borderId="55" xfId="77" applyNumberFormat="1" applyFont="1" applyFill="1" applyBorder="1" applyAlignment="1">
      <alignment horizontal="right"/>
    </xf>
    <xf numFmtId="0" fontId="34" fillId="0" borderId="57" xfId="77" applyFont="1" applyFill="1" applyBorder="1" applyAlignment="1">
      <alignment wrapText="1"/>
    </xf>
    <xf numFmtId="3" fontId="108" fillId="0" borderId="43" xfId="77" applyNumberFormat="1" applyFont="1" applyFill="1" applyBorder="1" applyAlignment="1">
      <alignment horizontal="right"/>
    </xf>
    <xf numFmtId="3" fontId="108" fillId="0" borderId="54" xfId="77" applyNumberFormat="1" applyFont="1" applyFill="1" applyBorder="1" applyAlignment="1">
      <alignment horizontal="right"/>
    </xf>
    <xf numFmtId="3" fontId="109" fillId="0" borderId="0" xfId="77" applyNumberFormat="1" applyFont="1" applyFill="1"/>
    <xf numFmtId="2" fontId="5" fillId="0" borderId="0" xfId="77" applyNumberFormat="1" applyFont="1" applyBorder="1"/>
    <xf numFmtId="0" fontId="109" fillId="0" borderId="0" xfId="77" applyFont="1" applyFill="1" applyBorder="1"/>
    <xf numFmtId="0" fontId="115" fillId="0" borderId="0" xfId="91" applyFont="1"/>
    <xf numFmtId="0" fontId="117" fillId="0" borderId="16" xfId="91" applyFont="1" applyBorder="1" applyAlignment="1">
      <alignment horizontal="center"/>
    </xf>
    <xf numFmtId="0" fontId="118" fillId="0" borderId="0" xfId="91" applyFont="1"/>
    <xf numFmtId="0" fontId="4" fillId="0" borderId="53" xfId="77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8" xfId="77" applyFont="1" applyFill="1" applyBorder="1" applyAlignment="1">
      <alignment horizontal="right"/>
    </xf>
    <xf numFmtId="0" fontId="4" fillId="0" borderId="0" xfId="77" applyFont="1" applyFill="1" applyBorder="1"/>
    <xf numFmtId="3" fontId="5" fillId="0" borderId="23" xfId="77" applyNumberFormat="1" applyFont="1" applyFill="1" applyBorder="1" applyAlignment="1">
      <alignment horizontal="center"/>
    </xf>
    <xf numFmtId="3" fontId="5" fillId="0" borderId="45" xfId="77" applyNumberFormat="1" applyFont="1" applyFill="1" applyBorder="1" applyAlignment="1">
      <alignment horizontal="center"/>
    </xf>
    <xf numFmtId="3" fontId="5" fillId="0" borderId="46" xfId="77" applyNumberFormat="1" applyFont="1" applyFill="1" applyBorder="1" applyAlignment="1">
      <alignment horizontal="center"/>
    </xf>
    <xf numFmtId="3" fontId="5" fillId="0" borderId="45" xfId="77" applyNumberFormat="1" applyFont="1" applyFill="1" applyBorder="1" applyAlignment="1">
      <alignment horizontal="right"/>
    </xf>
    <xf numFmtId="3" fontId="5" fillId="0" borderId="53" xfId="77" applyNumberFormat="1" applyFont="1" applyFill="1" applyBorder="1" applyAlignment="1">
      <alignment horizontal="right"/>
    </xf>
    <xf numFmtId="0" fontId="35" fillId="0" borderId="50" xfId="77" applyFont="1" applyFill="1" applyBorder="1" applyAlignment="1">
      <alignment horizontal="justify"/>
    </xf>
    <xf numFmtId="3" fontId="5" fillId="0" borderId="18" xfId="77" applyNumberFormat="1" applyFont="1" applyFill="1" applyBorder="1" applyAlignment="1">
      <alignment horizontal="right"/>
    </xf>
    <xf numFmtId="3" fontId="5" fillId="0" borderId="15" xfId="77" applyNumberFormat="1" applyFont="1" applyFill="1" applyBorder="1" applyAlignment="1">
      <alignment horizontal="right"/>
    </xf>
    <xf numFmtId="3" fontId="5" fillId="0" borderId="86" xfId="77" applyNumberFormat="1" applyFont="1" applyFill="1" applyBorder="1" applyAlignment="1">
      <alignment horizontal="right"/>
    </xf>
    <xf numFmtId="0" fontId="4" fillId="0" borderId="17" xfId="77" applyFont="1" applyFill="1" applyBorder="1" applyAlignment="1">
      <alignment horizontal="right"/>
    </xf>
    <xf numFmtId="0" fontId="4" fillId="0" borderId="22" xfId="77" applyFont="1" applyFill="1" applyBorder="1" applyAlignment="1">
      <alignment horizontal="right"/>
    </xf>
    <xf numFmtId="3" fontId="4" fillId="0" borderId="17" xfId="77" applyNumberFormat="1" applyFont="1" applyFill="1" applyBorder="1" applyAlignment="1">
      <alignment horizontal="right"/>
    </xf>
    <xf numFmtId="3" fontId="4" fillId="0" borderId="43" xfId="77" applyNumberFormat="1" applyFont="1" applyFill="1" applyBorder="1" applyAlignment="1">
      <alignment horizontal="right"/>
    </xf>
    <xf numFmtId="3" fontId="4" fillId="0" borderId="22" xfId="77" applyNumberFormat="1" applyFont="1" applyFill="1" applyBorder="1" applyAlignment="1">
      <alignment horizontal="right"/>
    </xf>
    <xf numFmtId="3" fontId="4" fillId="0" borderId="80" xfId="77" applyNumberFormat="1" applyFont="1" applyFill="1" applyBorder="1" applyAlignment="1">
      <alignment horizontal="right"/>
    </xf>
    <xf numFmtId="3" fontId="5" fillId="0" borderId="18" xfId="77" applyNumberFormat="1" applyFont="1" applyFill="1" applyBorder="1" applyAlignment="1">
      <alignment horizontal="center"/>
    </xf>
    <xf numFmtId="3" fontId="5" fillId="0" borderId="15" xfId="77" applyNumberFormat="1" applyFont="1" applyFill="1" applyBorder="1" applyAlignment="1">
      <alignment horizontal="center"/>
    </xf>
    <xf numFmtId="3" fontId="5" fillId="0" borderId="0" xfId="77" applyNumberFormat="1" applyFont="1" applyFill="1" applyBorder="1" applyAlignment="1">
      <alignment horizontal="center"/>
    </xf>
    <xf numFmtId="0" fontId="35" fillId="0" borderId="50" xfId="77" applyFont="1" applyFill="1" applyBorder="1"/>
    <xf numFmtId="0" fontId="4" fillId="0" borderId="118" xfId="77" applyFont="1" applyFill="1" applyBorder="1"/>
    <xf numFmtId="3" fontId="5" fillId="0" borderId="109" xfId="77" applyNumberFormat="1" applyFont="1" applyFill="1" applyBorder="1" applyAlignment="1">
      <alignment horizontal="center"/>
    </xf>
    <xf numFmtId="3" fontId="5" fillId="0" borderId="117" xfId="77" applyNumberFormat="1" applyFont="1" applyFill="1" applyBorder="1" applyAlignment="1">
      <alignment horizontal="center"/>
    </xf>
    <xf numFmtId="3" fontId="5" fillId="0" borderId="118" xfId="77" applyNumberFormat="1" applyFont="1" applyFill="1" applyBorder="1" applyAlignment="1">
      <alignment horizontal="center"/>
    </xf>
    <xf numFmtId="3" fontId="5" fillId="0" borderId="117" xfId="77" applyNumberFormat="1" applyFont="1" applyFill="1" applyBorder="1" applyAlignment="1">
      <alignment horizontal="right"/>
    </xf>
    <xf numFmtId="3" fontId="5" fillId="0" borderId="127" xfId="77" applyNumberFormat="1" applyFont="1" applyFill="1" applyBorder="1" applyAlignment="1">
      <alignment horizontal="right"/>
    </xf>
    <xf numFmtId="3" fontId="35" fillId="0" borderId="89" xfId="0" applyNumberFormat="1" applyFont="1" applyFill="1" applyBorder="1" applyAlignment="1">
      <alignment horizontal="justify"/>
    </xf>
    <xf numFmtId="3" fontId="5" fillId="0" borderId="99" xfId="77" applyNumberFormat="1" applyFont="1" applyFill="1" applyBorder="1" applyAlignment="1">
      <alignment horizontal="right"/>
    </xf>
    <xf numFmtId="3" fontId="5" fillId="0" borderId="102" xfId="77" applyNumberFormat="1" applyFont="1" applyFill="1" applyBorder="1" applyAlignment="1">
      <alignment horizontal="right"/>
    </xf>
    <xf numFmtId="3" fontId="5" fillId="0" borderId="92" xfId="77" applyNumberFormat="1" applyFont="1" applyFill="1" applyBorder="1" applyAlignment="1">
      <alignment horizontal="right"/>
    </xf>
    <xf numFmtId="3" fontId="5" fillId="0" borderId="101" xfId="77" applyNumberFormat="1" applyFont="1" applyFill="1" applyBorder="1" applyAlignment="1">
      <alignment horizontal="right"/>
    </xf>
    <xf numFmtId="0" fontId="5" fillId="0" borderId="26" xfId="77" applyFont="1" applyFill="1" applyBorder="1" applyAlignment="1">
      <alignment horizontal="right"/>
    </xf>
    <xf numFmtId="0" fontId="4" fillId="0" borderId="80" xfId="77" applyFont="1" applyFill="1" applyBorder="1" applyAlignment="1">
      <alignment horizontal="right"/>
    </xf>
    <xf numFmtId="0" fontId="4" fillId="0" borderId="23" xfId="77" applyFont="1" applyFill="1" applyBorder="1" applyAlignment="1">
      <alignment horizontal="right"/>
    </xf>
    <xf numFmtId="0" fontId="4" fillId="0" borderId="127" xfId="77" applyFont="1" applyBorder="1"/>
    <xf numFmtId="0" fontId="35" fillId="0" borderId="85" xfId="77" applyFont="1" applyFill="1" applyBorder="1" applyAlignment="1"/>
    <xf numFmtId="3" fontId="5" fillId="0" borderId="41" xfId="77" applyNumberFormat="1" applyFont="1" applyFill="1" applyBorder="1" applyAlignment="1">
      <alignment horizontal="right"/>
    </xf>
    <xf numFmtId="3" fontId="5" fillId="0" borderId="64" xfId="77" applyNumberFormat="1" applyFont="1" applyFill="1" applyBorder="1" applyAlignment="1">
      <alignment horizontal="right"/>
    </xf>
    <xf numFmtId="3" fontId="5" fillId="0" borderId="96" xfId="77" applyNumberFormat="1" applyFont="1" applyFill="1" applyBorder="1" applyAlignment="1">
      <alignment horizontal="right"/>
    </xf>
    <xf numFmtId="3" fontId="5" fillId="0" borderId="136" xfId="77" applyNumberFormat="1" applyFont="1" applyFill="1" applyBorder="1" applyAlignment="1">
      <alignment horizontal="right"/>
    </xf>
    <xf numFmtId="0" fontId="4" fillId="0" borderId="80" xfId="77" applyFont="1" applyBorder="1" applyAlignment="1">
      <alignment horizontal="right"/>
    </xf>
    <xf numFmtId="0" fontId="5" fillId="0" borderId="20" xfId="77" applyFont="1" applyFill="1" applyBorder="1" applyAlignment="1">
      <alignment horizontal="right"/>
    </xf>
    <xf numFmtId="0" fontId="4" fillId="0" borderId="94" xfId="77" applyFont="1" applyFill="1" applyBorder="1"/>
    <xf numFmtId="3" fontId="4" fillId="0" borderId="20" xfId="77" applyNumberFormat="1" applyFont="1" applyFill="1" applyBorder="1"/>
    <xf numFmtId="0" fontId="5" fillId="0" borderId="0" xfId="77" applyFont="1" applyFill="1" applyBorder="1" applyAlignment="1">
      <alignment horizontal="right"/>
    </xf>
    <xf numFmtId="3" fontId="4" fillId="0" borderId="0" xfId="77" applyNumberFormat="1" applyFont="1" applyFill="1" applyBorder="1"/>
    <xf numFmtId="0" fontId="66" fillId="0" borderId="0" xfId="77" applyFont="1" applyFill="1"/>
    <xf numFmtId="0" fontId="35" fillId="0" borderId="0" xfId="77" applyFont="1" applyFill="1"/>
    <xf numFmtId="0" fontId="118" fillId="0" borderId="0" xfId="92" applyFont="1"/>
    <xf numFmtId="0" fontId="8" fillId="0" borderId="0" xfId="92" applyFont="1"/>
    <xf numFmtId="0" fontId="115" fillId="0" borderId="16" xfId="92" applyFont="1" applyBorder="1" applyAlignment="1">
      <alignment horizontal="center"/>
    </xf>
    <xf numFmtId="0" fontId="115" fillId="0" borderId="23" xfId="92" applyFont="1" applyBorder="1" applyAlignment="1">
      <alignment horizontal="center"/>
    </xf>
    <xf numFmtId="0" fontId="115" fillId="0" borderId="83" xfId="92" applyFont="1" applyBorder="1"/>
    <xf numFmtId="49" fontId="115" fillId="0" borderId="83" xfId="92" applyNumberFormat="1" applyFont="1" applyBorder="1" applyAlignment="1">
      <alignment horizontal="center"/>
    </xf>
    <xf numFmtId="0" fontId="115" fillId="0" borderId="18" xfId="92" applyFont="1" applyBorder="1" applyAlignment="1">
      <alignment horizontal="center"/>
    </xf>
    <xf numFmtId="0" fontId="115" fillId="0" borderId="86" xfId="92" applyFont="1" applyBorder="1" applyAlignment="1">
      <alignment horizontal="center"/>
    </xf>
    <xf numFmtId="0" fontId="115" fillId="0" borderId="69" xfId="92" applyFont="1" applyBorder="1"/>
    <xf numFmtId="2" fontId="115" fillId="0" borderId="69" xfId="92" applyNumberFormat="1" applyFont="1" applyBorder="1" applyAlignment="1">
      <alignment horizontal="center"/>
    </xf>
    <xf numFmtId="0" fontId="115" fillId="0" borderId="19" xfId="92" applyFont="1" applyBorder="1" applyAlignment="1">
      <alignment horizontal="center"/>
    </xf>
    <xf numFmtId="0" fontId="115" fillId="0" borderId="84" xfId="92" applyFont="1" applyBorder="1" applyAlignment="1">
      <alignment horizontal="center"/>
    </xf>
    <xf numFmtId="0" fontId="115" fillId="0" borderId="70" xfId="92" applyFont="1" applyBorder="1"/>
    <xf numFmtId="49" fontId="115" fillId="0" borderId="70" xfId="92" applyNumberFormat="1" applyFont="1" applyBorder="1" applyAlignment="1">
      <alignment horizontal="center"/>
    </xf>
    <xf numFmtId="49" fontId="115" fillId="0" borderId="86" xfId="92" applyNumberFormat="1" applyFont="1" applyBorder="1" applyAlignment="1">
      <alignment horizontal="center"/>
    </xf>
    <xf numFmtId="3" fontId="8" fillId="0" borderId="18" xfId="92" applyNumberFormat="1" applyFont="1" applyBorder="1" applyAlignment="1">
      <alignment horizontal="center"/>
    </xf>
    <xf numFmtId="0" fontId="8" fillId="0" borderId="18" xfId="92" applyFont="1" applyBorder="1"/>
    <xf numFmtId="0" fontId="8" fillId="0" borderId="86" xfId="92" applyFont="1" applyBorder="1"/>
    <xf numFmtId="0" fontId="8" fillId="0" borderId="69" xfId="92" applyFont="1" applyBorder="1"/>
    <xf numFmtId="3" fontId="8" fillId="0" borderId="59" xfId="92" applyNumberFormat="1" applyFont="1" applyBorder="1"/>
    <xf numFmtId="3" fontId="115" fillId="0" borderId="26" xfId="92" applyNumberFormat="1" applyFont="1" applyBorder="1" applyAlignment="1">
      <alignment horizontal="center"/>
    </xf>
    <xf numFmtId="0" fontId="115" fillId="0" borderId="26" xfId="92" applyFont="1" applyBorder="1"/>
    <xf numFmtId="0" fontId="115" fillId="0" borderId="89" xfId="92" applyFont="1" applyBorder="1"/>
    <xf numFmtId="0" fontId="115" fillId="0" borderId="78" xfId="92" applyFont="1" applyBorder="1"/>
    <xf numFmtId="3" fontId="115" fillId="0" borderId="58" xfId="92" applyNumberFormat="1" applyFont="1" applyBorder="1"/>
    <xf numFmtId="3" fontId="115" fillId="0" borderId="18" xfId="92" applyNumberFormat="1" applyFont="1" applyBorder="1" applyAlignment="1">
      <alignment horizontal="center"/>
    </xf>
    <xf numFmtId="0" fontId="115" fillId="0" borderId="18" xfId="92" applyFont="1" applyBorder="1"/>
    <xf numFmtId="0" fontId="115" fillId="0" borderId="86" xfId="92" applyFont="1" applyBorder="1"/>
    <xf numFmtId="3" fontId="115" fillId="0" borderId="59" xfId="92" applyNumberFormat="1" applyFont="1" applyBorder="1"/>
    <xf numFmtId="0" fontId="120" fillId="0" borderId="0" xfId="92" applyFont="1" applyFill="1"/>
    <xf numFmtId="0" fontId="34" fillId="0" borderId="18" xfId="92" applyFont="1" applyBorder="1"/>
    <xf numFmtId="3" fontId="115" fillId="0" borderId="17" xfId="92" applyNumberFormat="1" applyFont="1" applyBorder="1" applyAlignment="1">
      <alignment horizontal="center"/>
    </xf>
    <xf numFmtId="0" fontId="115" fillId="0" borderId="17" xfId="92" applyFont="1" applyBorder="1"/>
    <xf numFmtId="0" fontId="115" fillId="0" borderId="80" xfId="92" applyFont="1" applyBorder="1"/>
    <xf numFmtId="0" fontId="115" fillId="0" borderId="76" xfId="92" applyFont="1" applyBorder="1"/>
    <xf numFmtId="3" fontId="115" fillId="0" borderId="54" xfId="92" applyNumberFormat="1" applyFont="1" applyBorder="1"/>
    <xf numFmtId="3" fontId="115" fillId="0" borderId="83" xfId="92" applyNumberFormat="1" applyFont="1" applyBorder="1"/>
    <xf numFmtId="3" fontId="8" fillId="0" borderId="69" xfId="92" applyNumberFormat="1" applyFont="1" applyBorder="1"/>
    <xf numFmtId="3" fontId="115" fillId="0" borderId="78" xfId="92" applyNumberFormat="1" applyFont="1" applyBorder="1"/>
    <xf numFmtId="3" fontId="115" fillId="0" borderId="69" xfId="92" applyNumberFormat="1" applyFont="1" applyBorder="1"/>
    <xf numFmtId="3" fontId="115" fillId="0" borderId="76" xfId="92" applyNumberFormat="1" applyFont="1" applyBorder="1"/>
    <xf numFmtId="3" fontId="115" fillId="0" borderId="86" xfId="92" applyNumberFormat="1" applyFont="1" applyBorder="1"/>
    <xf numFmtId="3" fontId="115" fillId="0" borderId="57" xfId="92" applyNumberFormat="1" applyFont="1" applyBorder="1" applyAlignment="1">
      <alignment horizontal="center"/>
    </xf>
    <xf numFmtId="0" fontId="115" fillId="0" borderId="90" xfId="92" applyFont="1" applyBorder="1"/>
    <xf numFmtId="3" fontId="115" fillId="0" borderId="56" xfId="92" applyNumberFormat="1" applyFont="1" applyBorder="1"/>
    <xf numFmtId="3" fontId="115" fillId="0" borderId="23" xfId="92" applyNumberFormat="1" applyFont="1" applyBorder="1" applyAlignment="1">
      <alignment horizontal="center"/>
    </xf>
    <xf numFmtId="0" fontId="115" fillId="0" borderId="23" xfId="92" applyFont="1" applyBorder="1"/>
    <xf numFmtId="0" fontId="115" fillId="0" borderId="53" xfId="92" applyFont="1" applyBorder="1"/>
    <xf numFmtId="3" fontId="8" fillId="0" borderId="19" xfId="92" applyNumberFormat="1" applyFont="1" applyBorder="1" applyAlignment="1">
      <alignment horizontal="center"/>
    </xf>
    <xf numFmtId="0" fontId="8" fillId="0" borderId="19" xfId="92" applyFont="1" applyBorder="1"/>
    <xf numFmtId="0" fontId="8" fillId="0" borderId="84" xfId="92" applyFont="1" applyBorder="1"/>
    <xf numFmtId="0" fontId="8" fillId="0" borderId="70" xfId="92" applyFont="1" applyBorder="1"/>
    <xf numFmtId="3" fontId="8" fillId="0" borderId="70" xfId="92" applyNumberFormat="1" applyFont="1" applyBorder="1"/>
    <xf numFmtId="3" fontId="121" fillId="0" borderId="18" xfId="92" applyNumberFormat="1" applyFont="1" applyBorder="1" applyAlignment="1">
      <alignment horizontal="center"/>
    </xf>
    <xf numFmtId="0" fontId="121" fillId="0" borderId="69" xfId="92" applyFont="1" applyBorder="1"/>
    <xf numFmtId="3" fontId="121" fillId="0" borderId="59" xfId="92" applyNumberFormat="1" applyFont="1" applyBorder="1"/>
    <xf numFmtId="0" fontId="115" fillId="0" borderId="53" xfId="92" applyFont="1" applyBorder="1" applyAlignment="1">
      <alignment horizontal="center"/>
    </xf>
    <xf numFmtId="3" fontId="8" fillId="0" borderId="116" xfId="92" applyNumberFormat="1" applyFont="1" applyBorder="1" applyAlignment="1">
      <alignment horizontal="center"/>
    </xf>
    <xf numFmtId="3" fontId="115" fillId="0" borderId="19" xfId="92" applyNumberFormat="1" applyFont="1" applyBorder="1" applyAlignment="1">
      <alignment horizontal="center"/>
    </xf>
    <xf numFmtId="3" fontId="121" fillId="0" borderId="20" xfId="92" applyNumberFormat="1" applyFont="1" applyBorder="1" applyAlignment="1">
      <alignment horizontal="center"/>
    </xf>
    <xf numFmtId="0" fontId="121" fillId="0" borderId="77" xfId="92" applyFont="1" applyBorder="1"/>
    <xf numFmtId="3" fontId="121" fillId="0" borderId="60" xfId="92" applyNumberFormat="1" applyFont="1" applyBorder="1"/>
    <xf numFmtId="3" fontId="121" fillId="0" borderId="0" xfId="92" applyNumberFormat="1" applyFont="1" applyBorder="1" applyAlignment="1">
      <alignment horizontal="center"/>
    </xf>
    <xf numFmtId="0" fontId="121" fillId="0" borderId="0" xfId="92" applyFont="1" applyBorder="1" applyAlignment="1">
      <alignment wrapText="1"/>
    </xf>
    <xf numFmtId="0" fontId="119" fillId="0" borderId="0" xfId="0" applyFont="1" applyBorder="1" applyAlignment="1">
      <alignment wrapText="1"/>
    </xf>
    <xf numFmtId="0" fontId="121" fillId="0" borderId="0" xfId="92" applyFont="1" applyBorder="1"/>
    <xf numFmtId="3" fontId="121" fillId="0" borderId="0" xfId="92" applyNumberFormat="1" applyFont="1" applyBorder="1"/>
    <xf numFmtId="0" fontId="8" fillId="0" borderId="0" xfId="92" applyFont="1" applyBorder="1"/>
    <xf numFmtId="0" fontId="115" fillId="0" borderId="46" xfId="92" applyFont="1" applyBorder="1"/>
    <xf numFmtId="0" fontId="115" fillId="0" borderId="0" xfId="92" applyFont="1" applyBorder="1"/>
    <xf numFmtId="0" fontId="115" fillId="0" borderId="16" xfId="92" applyFont="1" applyBorder="1"/>
    <xf numFmtId="0" fontId="115" fillId="0" borderId="24" xfId="92" applyFont="1" applyBorder="1"/>
    <xf numFmtId="0" fontId="8" fillId="0" borderId="99" xfId="92" applyFont="1" applyBorder="1"/>
    <xf numFmtId="0" fontId="14" fillId="0" borderId="26" xfId="92" applyFont="1" applyBorder="1"/>
    <xf numFmtId="0" fontId="121" fillId="0" borderId="94" xfId="92" applyFont="1" applyBorder="1"/>
    <xf numFmtId="0" fontId="14" fillId="0" borderId="18" xfId="92" applyFont="1" applyBorder="1"/>
    <xf numFmtId="0" fontId="121" fillId="0" borderId="18" xfId="92" applyFont="1" applyBorder="1" applyAlignment="1">
      <alignment wrapText="1"/>
    </xf>
    <xf numFmtId="0" fontId="119" fillId="0" borderId="86" xfId="0" applyFont="1" applyBorder="1" applyAlignment="1">
      <alignment wrapText="1"/>
    </xf>
    <xf numFmtId="0" fontId="118" fillId="0" borderId="0" xfId="92" applyFont="1" applyAlignment="1">
      <alignment horizontal="center"/>
    </xf>
    <xf numFmtId="0" fontId="122" fillId="0" borderId="0" xfId="92" applyFont="1" applyAlignment="1">
      <alignment horizontal="center"/>
    </xf>
    <xf numFmtId="0" fontId="122" fillId="0" borderId="0" xfId="92" applyFont="1"/>
    <xf numFmtId="0" fontId="14" fillId="0" borderId="0" xfId="92" applyFont="1"/>
    <xf numFmtId="0" fontId="123" fillId="0" borderId="0" xfId="92" applyFont="1" applyBorder="1" applyAlignment="1">
      <alignment horizontal="center"/>
    </xf>
    <xf numFmtId="0" fontId="109" fillId="0" borderId="0" xfId="0" applyFont="1" applyAlignment="1">
      <alignment horizontal="right"/>
    </xf>
    <xf numFmtId="0" fontId="123" fillId="0" borderId="23" xfId="92" applyFont="1" applyBorder="1" applyAlignment="1">
      <alignment horizontal="center"/>
    </xf>
    <xf numFmtId="0" fontId="123" fillId="0" borderId="46" xfId="92" applyFont="1" applyBorder="1"/>
    <xf numFmtId="49" fontId="123" fillId="0" borderId="83" xfId="92" applyNumberFormat="1" applyFont="1" applyBorder="1" applyAlignment="1">
      <alignment horizontal="center"/>
    </xf>
    <xf numFmtId="0" fontId="123" fillId="0" borderId="18" xfId="92" applyFont="1" applyBorder="1" applyAlignment="1">
      <alignment horizontal="center"/>
    </xf>
    <xf numFmtId="0" fontId="123" fillId="0" borderId="86" xfId="92" applyFont="1" applyBorder="1" applyAlignment="1">
      <alignment horizontal="center"/>
    </xf>
    <xf numFmtId="0" fontId="123" fillId="0" borderId="0" xfId="92" applyFont="1" applyBorder="1"/>
    <xf numFmtId="2" fontId="123" fillId="0" borderId="69" xfId="92" applyNumberFormat="1" applyFont="1" applyBorder="1" applyAlignment="1">
      <alignment horizontal="center"/>
    </xf>
    <xf numFmtId="0" fontId="123" fillId="0" borderId="19" xfId="92" applyFont="1" applyBorder="1" applyAlignment="1">
      <alignment horizontal="center"/>
    </xf>
    <xf numFmtId="0" fontId="123" fillId="0" borderId="84" xfId="92" applyFont="1" applyBorder="1" applyAlignment="1">
      <alignment horizontal="center"/>
    </xf>
    <xf numFmtId="0" fontId="123" fillId="0" borderId="16" xfId="92" applyFont="1" applyBorder="1"/>
    <xf numFmtId="49" fontId="123" fillId="0" borderId="70" xfId="92" applyNumberFormat="1" applyFont="1" applyBorder="1" applyAlignment="1">
      <alignment horizontal="center"/>
    </xf>
    <xf numFmtId="3" fontId="123" fillId="0" borderId="18" xfId="92" applyNumberFormat="1" applyFont="1" applyBorder="1" applyAlignment="1">
      <alignment horizontal="center"/>
    </xf>
    <xf numFmtId="0" fontId="123" fillId="0" borderId="18" xfId="92" applyFont="1" applyBorder="1"/>
    <xf numFmtId="0" fontId="123" fillId="0" borderId="86" xfId="92" applyFont="1" applyBorder="1"/>
    <xf numFmtId="3" fontId="123" fillId="0" borderId="59" xfId="92" applyNumberFormat="1" applyFont="1" applyBorder="1"/>
    <xf numFmtId="3" fontId="122" fillId="0" borderId="18" xfId="92" applyNumberFormat="1" applyFont="1" applyBorder="1" applyAlignment="1">
      <alignment horizontal="center"/>
    </xf>
    <xf numFmtId="0" fontId="122" fillId="0" borderId="18" xfId="92" applyFont="1" applyBorder="1"/>
    <xf numFmtId="0" fontId="122" fillId="0" borderId="86" xfId="92" applyFont="1" applyBorder="1"/>
    <xf numFmtId="0" fontId="122" fillId="0" borderId="0" xfId="92" applyFont="1" applyBorder="1"/>
    <xf numFmtId="3" fontId="122" fillId="0" borderId="59" xfId="92" applyNumberFormat="1" applyFont="1" applyBorder="1"/>
    <xf numFmtId="3" fontId="123" fillId="0" borderId="26" xfId="92" applyNumberFormat="1" applyFont="1" applyBorder="1" applyAlignment="1">
      <alignment horizontal="center"/>
    </xf>
    <xf numFmtId="0" fontId="125" fillId="0" borderId="26" xfId="92" applyFont="1" applyBorder="1"/>
    <xf numFmtId="0" fontId="123" fillId="0" borderId="89" xfId="92" applyFont="1" applyBorder="1"/>
    <xf numFmtId="0" fontId="123" fillId="0" borderId="24" xfId="92" applyFont="1" applyBorder="1"/>
    <xf numFmtId="3" fontId="123" fillId="0" borderId="58" xfId="92" applyNumberFormat="1" applyFont="1" applyBorder="1"/>
    <xf numFmtId="0" fontId="122" fillId="0" borderId="99" xfId="92" applyFont="1" applyBorder="1"/>
    <xf numFmtId="0" fontId="125" fillId="0" borderId="18" xfId="92" applyFont="1" applyBorder="1"/>
    <xf numFmtId="3" fontId="126" fillId="0" borderId="20" xfId="92" applyNumberFormat="1" applyFont="1" applyBorder="1" applyAlignment="1">
      <alignment horizontal="center"/>
    </xf>
    <xf numFmtId="0" fontId="126" fillId="0" borderId="94" xfId="92" applyFont="1" applyBorder="1"/>
    <xf numFmtId="3" fontId="126" fillId="0" borderId="60" xfId="92" applyNumberFormat="1" applyFont="1" applyBorder="1"/>
    <xf numFmtId="3" fontId="126" fillId="0" borderId="18" xfId="92" applyNumberFormat="1" applyFont="1" applyBorder="1" applyAlignment="1">
      <alignment horizontal="center"/>
    </xf>
    <xf numFmtId="0" fontId="126" fillId="0" borderId="18" xfId="92" applyFont="1" applyBorder="1" applyAlignment="1">
      <alignment wrapText="1"/>
    </xf>
    <xf numFmtId="0" fontId="124" fillId="0" borderId="86" xfId="0" applyFont="1" applyBorder="1" applyAlignment="1">
      <alignment wrapText="1"/>
    </xf>
    <xf numFmtId="0" fontId="126" fillId="0" borderId="0" xfId="92" applyFont="1" applyBorder="1"/>
    <xf numFmtId="3" fontId="126" fillId="0" borderId="59" xfId="92" applyNumberFormat="1" applyFont="1" applyBorder="1"/>
    <xf numFmtId="3" fontId="122" fillId="0" borderId="0" xfId="92" applyNumberFormat="1" applyFont="1"/>
    <xf numFmtId="0" fontId="5" fillId="0" borderId="0" xfId="93" applyFont="1"/>
    <xf numFmtId="0" fontId="4" fillId="0" borderId="0" xfId="93" applyFont="1"/>
    <xf numFmtId="0" fontId="4" fillId="0" borderId="20" xfId="93" applyFont="1" applyBorder="1" applyAlignment="1">
      <alignment horizontal="centerContinuous"/>
    </xf>
    <xf numFmtId="3" fontId="4" fillId="0" borderId="137" xfId="93" applyNumberFormat="1" applyFont="1" applyBorder="1" applyAlignment="1">
      <alignment horizontal="centerContinuous"/>
    </xf>
    <xf numFmtId="0" fontId="4" fillId="0" borderId="94" xfId="93" applyFont="1" applyBorder="1" applyAlignment="1">
      <alignment horizontal="centerContinuous"/>
    </xf>
    <xf numFmtId="3" fontId="4" fillId="0" borderId="94" xfId="93" applyNumberFormat="1" applyFont="1" applyBorder="1" applyAlignment="1">
      <alignment horizontal="centerContinuous"/>
    </xf>
    <xf numFmtId="3" fontId="4" fillId="0" borderId="81" xfId="93" applyNumberFormat="1" applyFont="1" applyBorder="1" applyAlignment="1">
      <alignment horizontal="justify"/>
    </xf>
    <xf numFmtId="0" fontId="4" fillId="0" borderId="18" xfId="93" applyFont="1" applyBorder="1"/>
    <xf numFmtId="3" fontId="4" fillId="0" borderId="31" xfId="93" applyNumberFormat="1" applyFont="1" applyBorder="1"/>
    <xf numFmtId="0" fontId="4" fillId="0" borderId="0" xfId="93" applyFont="1" applyBorder="1"/>
    <xf numFmtId="3" fontId="4" fillId="0" borderId="0" xfId="93" applyNumberFormat="1" applyFont="1" applyBorder="1"/>
    <xf numFmtId="0" fontId="5" fillId="0" borderId="86" xfId="93" applyFont="1" applyBorder="1"/>
    <xf numFmtId="0" fontId="5" fillId="0" borderId="18" xfId="93" applyFont="1" applyBorder="1"/>
    <xf numFmtId="3" fontId="5" fillId="0" borderId="31" xfId="93" applyNumberFormat="1" applyFont="1" applyBorder="1" applyAlignment="1">
      <alignment horizontal="center"/>
    </xf>
    <xf numFmtId="0" fontId="5" fillId="0" borderId="0" xfId="93" applyFont="1" applyBorder="1"/>
    <xf numFmtId="3" fontId="5" fillId="0" borderId="0" xfId="93" applyNumberFormat="1" applyFont="1" applyBorder="1"/>
    <xf numFmtId="3" fontId="5" fillId="0" borderId="31" xfId="93" applyNumberFormat="1" applyFont="1" applyBorder="1"/>
    <xf numFmtId="0" fontId="4" fillId="0" borderId="17" xfId="93" applyFont="1" applyBorder="1"/>
    <xf numFmtId="3" fontId="4" fillId="0" borderId="87" xfId="93" applyNumberFormat="1" applyFont="1" applyBorder="1" applyAlignment="1">
      <alignment horizontal="center"/>
    </xf>
    <xf numFmtId="0" fontId="4" fillId="0" borderId="22" xfId="93" applyFont="1" applyBorder="1"/>
    <xf numFmtId="3" fontId="4" fillId="0" borderId="22" xfId="93" applyNumberFormat="1" applyFont="1" applyBorder="1"/>
    <xf numFmtId="3" fontId="4" fillId="0" borderId="80" xfId="93" applyNumberFormat="1" applyFont="1" applyBorder="1"/>
    <xf numFmtId="0" fontId="4" fillId="0" borderId="86" xfId="93" applyFont="1" applyBorder="1"/>
    <xf numFmtId="3" fontId="4" fillId="0" borderId="31" xfId="93" applyNumberFormat="1" applyFont="1" applyBorder="1" applyAlignment="1">
      <alignment horizontal="center"/>
    </xf>
    <xf numFmtId="3" fontId="5" fillId="0" borderId="86" xfId="93" applyNumberFormat="1" applyFont="1" applyBorder="1"/>
    <xf numFmtId="3" fontId="5" fillId="0" borderId="0" xfId="93" applyNumberFormat="1" applyFont="1"/>
    <xf numFmtId="3" fontId="4" fillId="0" borderId="0" xfId="93" applyNumberFormat="1" applyFont="1"/>
    <xf numFmtId="0" fontId="5" fillId="0" borderId="47" xfId="93" applyFont="1" applyBorder="1"/>
    <xf numFmtId="3" fontId="5" fillId="0" borderId="31" xfId="93" applyNumberFormat="1" applyFont="1" applyBorder="1" applyAlignment="1">
      <alignment horizontal="right"/>
    </xf>
    <xf numFmtId="0" fontId="5" fillId="0" borderId="18" xfId="93" applyFont="1" applyBorder="1" applyAlignment="1">
      <alignment horizontal="left"/>
    </xf>
    <xf numFmtId="3" fontId="4" fillId="0" borderId="87" xfId="93" applyNumberFormat="1" applyFont="1" applyBorder="1" applyAlignment="1">
      <alignment horizontal="right"/>
    </xf>
    <xf numFmtId="0" fontId="5" fillId="0" borderId="0" xfId="93" applyFont="1" applyBorder="1" applyAlignment="1">
      <alignment horizontal="right"/>
    </xf>
    <xf numFmtId="0" fontId="4" fillId="0" borderId="23" xfId="93" applyFont="1" applyBorder="1"/>
    <xf numFmtId="3" fontId="5" fillId="0" borderId="63" xfId="93" applyNumberFormat="1" applyFont="1" applyBorder="1" applyAlignment="1">
      <alignment horizontal="right"/>
    </xf>
    <xf numFmtId="0" fontId="5" fillId="0" borderId="46" xfId="93" applyFont="1" applyBorder="1"/>
    <xf numFmtId="3" fontId="5" fillId="0" borderId="46" xfId="93" applyNumberFormat="1" applyFont="1" applyBorder="1"/>
    <xf numFmtId="0" fontId="5" fillId="0" borderId="53" xfId="93" applyFont="1" applyBorder="1"/>
    <xf numFmtId="0" fontId="6" fillId="0" borderId="18" xfId="93" applyFont="1" applyBorder="1"/>
    <xf numFmtId="0" fontId="5" fillId="0" borderId="29" xfId="93" applyFont="1" applyBorder="1"/>
    <xf numFmtId="3" fontId="5" fillId="0" borderId="31" xfId="93" applyNumberFormat="1" applyFont="1" applyFill="1" applyBorder="1" applyAlignment="1">
      <alignment horizontal="right"/>
    </xf>
    <xf numFmtId="3" fontId="5" fillId="0" borderId="0" xfId="93" applyNumberFormat="1" applyFont="1" applyFill="1" applyBorder="1"/>
    <xf numFmtId="0" fontId="7" fillId="0" borderId="0" xfId="93" applyFont="1"/>
    <xf numFmtId="0" fontId="5" fillId="0" borderId="0" xfId="93" applyFont="1" applyBorder="1" applyAlignment="1">
      <alignment wrapText="1"/>
    </xf>
    <xf numFmtId="3" fontId="5" fillId="0" borderId="31" xfId="77" applyNumberFormat="1" applyFont="1" applyFill="1" applyBorder="1"/>
    <xf numFmtId="0" fontId="128" fillId="0" borderId="0" xfId="0" applyFont="1"/>
    <xf numFmtId="0" fontId="9" fillId="0" borderId="0" xfId="77" applyFont="1" applyFill="1" applyBorder="1"/>
    <xf numFmtId="3" fontId="5" fillId="0" borderId="46" xfId="93" applyNumberFormat="1" applyFont="1" applyBorder="1" applyAlignment="1">
      <alignment horizontal="right"/>
    </xf>
    <xf numFmtId="3" fontId="4" fillId="0" borderId="53" xfId="93" applyNumberFormat="1" applyFont="1" applyBorder="1"/>
    <xf numFmtId="3" fontId="5" fillId="0" borderId="0" xfId="93" applyNumberFormat="1" applyFont="1" applyFill="1" applyBorder="1" applyAlignment="1">
      <alignment horizontal="right"/>
    </xf>
    <xf numFmtId="3" fontId="4" fillId="0" borderId="86" xfId="93" applyNumberFormat="1" applyFont="1" applyBorder="1"/>
    <xf numFmtId="3" fontId="5" fillId="0" borderId="0" xfId="93" applyNumberFormat="1" applyFont="1" applyBorder="1" applyAlignment="1">
      <alignment horizontal="right"/>
    </xf>
    <xf numFmtId="0" fontId="6" fillId="0" borderId="99" xfId="93" applyFont="1" applyBorder="1"/>
    <xf numFmtId="3" fontId="5" fillId="0" borderId="92" xfId="93" applyNumberFormat="1" applyFont="1" applyBorder="1" applyAlignment="1">
      <alignment horizontal="right"/>
    </xf>
    <xf numFmtId="0" fontId="4" fillId="0" borderId="92" xfId="77" applyFont="1" applyFill="1" applyBorder="1"/>
    <xf numFmtId="3" fontId="4" fillId="0" borderId="92" xfId="93" applyNumberFormat="1" applyFont="1" applyBorder="1"/>
    <xf numFmtId="3" fontId="4" fillId="0" borderId="101" xfId="93" applyNumberFormat="1" applyFont="1" applyBorder="1"/>
    <xf numFmtId="0" fontId="4" fillId="0" borderId="19" xfId="93" applyFont="1" applyBorder="1"/>
    <xf numFmtId="3" fontId="4" fillId="0" borderId="16" xfId="93" applyNumberFormat="1" applyFont="1" applyBorder="1" applyAlignment="1">
      <alignment horizontal="right"/>
    </xf>
    <xf numFmtId="0" fontId="4" fillId="0" borderId="16" xfId="93" applyFont="1" applyBorder="1"/>
    <xf numFmtId="3" fontId="4" fillId="0" borderId="16" xfId="93" applyNumberFormat="1" applyFont="1" applyBorder="1"/>
    <xf numFmtId="3" fontId="4" fillId="0" borderId="84" xfId="93" applyNumberFormat="1" applyFont="1" applyBorder="1"/>
    <xf numFmtId="0" fontId="5" fillId="0" borderId="0" xfId="93" applyFont="1" applyFill="1" applyBorder="1" applyAlignment="1">
      <alignment wrapText="1"/>
    </xf>
    <xf numFmtId="0" fontId="5" fillId="0" borderId="0" xfId="93" applyFont="1" applyFill="1" applyBorder="1"/>
    <xf numFmtId="3" fontId="5" fillId="0" borderId="92" xfId="93" applyNumberFormat="1" applyFont="1" applyFill="1" applyBorder="1" applyAlignment="1">
      <alignment horizontal="right"/>
    </xf>
    <xf numFmtId="3" fontId="4" fillId="0" borderId="92" xfId="93" applyNumberFormat="1" applyFont="1" applyFill="1" applyBorder="1"/>
    <xf numFmtId="3" fontId="4" fillId="0" borderId="16" xfId="93" applyNumberFormat="1" applyFont="1" applyFill="1" applyBorder="1" applyAlignment="1">
      <alignment horizontal="right"/>
    </xf>
    <xf numFmtId="0" fontId="4" fillId="0" borderId="16" xfId="93" applyFont="1" applyFill="1" applyBorder="1"/>
    <xf numFmtId="3" fontId="4" fillId="0" borderId="16" xfId="93" applyNumberFormat="1" applyFont="1" applyFill="1" applyBorder="1"/>
    <xf numFmtId="3" fontId="5" fillId="0" borderId="46" xfId="93" applyNumberFormat="1" applyFont="1" applyFill="1" applyBorder="1" applyAlignment="1">
      <alignment horizontal="right"/>
    </xf>
    <xf numFmtId="0" fontId="5" fillId="0" borderId="46" xfId="93" applyFont="1" applyFill="1" applyBorder="1"/>
    <xf numFmtId="3" fontId="5" fillId="0" borderId="46" xfId="93" applyNumberFormat="1" applyFont="1" applyFill="1" applyBorder="1"/>
    <xf numFmtId="3" fontId="7" fillId="0" borderId="0" xfId="77" applyNumberFormat="1" applyFont="1" applyFill="1" applyBorder="1"/>
    <xf numFmtId="3" fontId="7" fillId="0" borderId="0" xfId="93" applyNumberFormat="1" applyFont="1" applyBorder="1"/>
    <xf numFmtId="0" fontId="8" fillId="0" borderId="0" xfId="94" applyFont="1"/>
    <xf numFmtId="3" fontId="8" fillId="0" borderId="0" xfId="94" applyNumberFormat="1" applyFont="1"/>
    <xf numFmtId="0" fontId="129" fillId="0" borderId="0" xfId="92" applyFont="1"/>
    <xf numFmtId="0" fontId="116" fillId="0" borderId="0" xfId="94" applyFont="1" applyAlignment="1">
      <alignment horizontal="center"/>
    </xf>
    <xf numFmtId="0" fontId="131" fillId="0" borderId="0" xfId="94" applyFont="1" applyAlignment="1">
      <alignment horizontal="center"/>
    </xf>
    <xf numFmtId="0" fontId="115" fillId="0" borderId="0" xfId="94" applyFont="1"/>
    <xf numFmtId="0" fontId="8" fillId="0" borderId="0" xfId="94" applyFont="1" applyBorder="1"/>
    <xf numFmtId="3" fontId="115" fillId="0" borderId="0" xfId="94" applyNumberFormat="1" applyFont="1"/>
    <xf numFmtId="0" fontId="8" fillId="0" borderId="0" xfId="94" applyFont="1" applyAlignment="1">
      <alignment horizontal="right"/>
    </xf>
    <xf numFmtId="0" fontId="77" fillId="0" borderId="23" xfId="94" applyFont="1" applyBorder="1"/>
    <xf numFmtId="0" fontId="77" fillId="0" borderId="46" xfId="94" applyFont="1" applyBorder="1" applyAlignment="1">
      <alignment horizontal="centerContinuous"/>
    </xf>
    <xf numFmtId="0" fontId="38" fillId="0" borderId="47" xfId="0" applyFont="1" applyBorder="1"/>
    <xf numFmtId="0" fontId="38" fillId="0" borderId="53" xfId="0" applyFont="1" applyBorder="1"/>
    <xf numFmtId="0" fontId="77" fillId="0" borderId="0" xfId="94" applyFont="1"/>
    <xf numFmtId="0" fontId="77" fillId="0" borderId="19" xfId="94" applyFont="1" applyBorder="1"/>
    <xf numFmtId="0" fontId="77" fillId="0" borderId="16" xfId="94" applyFont="1" applyBorder="1"/>
    <xf numFmtId="3" fontId="116" fillId="0" borderId="61" xfId="94" applyNumberFormat="1" applyFont="1" applyBorder="1" applyAlignment="1">
      <alignment horizontal="center"/>
    </xf>
    <xf numFmtId="3" fontId="116" fillId="0" borderId="28" xfId="94" applyNumberFormat="1" applyFont="1" applyBorder="1" applyAlignment="1">
      <alignment horizontal="center"/>
    </xf>
    <xf numFmtId="3" fontId="116" fillId="0" borderId="0" xfId="94" applyNumberFormat="1" applyFont="1" applyBorder="1" applyAlignment="1">
      <alignment horizontal="justify"/>
    </xf>
    <xf numFmtId="3" fontId="116" fillId="0" borderId="0" xfId="94" applyNumberFormat="1" applyFont="1"/>
    <xf numFmtId="0" fontId="77" fillId="0" borderId="26" xfId="94" applyFont="1" applyFill="1" applyBorder="1"/>
    <xf numFmtId="0" fontId="77" fillId="0" borderId="92" xfId="94" applyFont="1" applyFill="1" applyBorder="1"/>
    <xf numFmtId="0" fontId="77" fillId="0" borderId="24" xfId="94" applyFont="1" applyFill="1" applyBorder="1"/>
    <xf numFmtId="3" fontId="77" fillId="0" borderId="32" xfId="94" applyNumberFormat="1" applyFont="1" applyFill="1" applyBorder="1"/>
    <xf numFmtId="4" fontId="77" fillId="0" borderId="58" xfId="94" applyNumberFormat="1" applyFont="1" applyFill="1" applyBorder="1"/>
    <xf numFmtId="4" fontId="77" fillId="0" borderId="0" xfId="94" applyNumberFormat="1" applyFont="1" applyFill="1" applyBorder="1"/>
    <xf numFmtId="3" fontId="77" fillId="0" borderId="0" xfId="94" applyNumberFormat="1" applyFont="1" applyFill="1"/>
    <xf numFmtId="0" fontId="77" fillId="0" borderId="0" xfId="94" applyFont="1" applyFill="1"/>
    <xf numFmtId="0" fontId="116" fillId="0" borderId="19" xfId="94" applyFont="1" applyFill="1" applyBorder="1"/>
    <xf numFmtId="0" fontId="116" fillId="0" borderId="16" xfId="94" applyFont="1" applyFill="1" applyBorder="1"/>
    <xf numFmtId="3" fontId="116" fillId="0" borderId="61" xfId="94" applyNumberFormat="1" applyFont="1" applyFill="1" applyBorder="1"/>
    <xf numFmtId="4" fontId="116" fillId="0" borderId="28" xfId="94" applyNumberFormat="1" applyFont="1" applyFill="1" applyBorder="1"/>
    <xf numFmtId="0" fontId="102" fillId="0" borderId="26" xfId="94" applyFont="1" applyFill="1" applyBorder="1"/>
    <xf numFmtId="4" fontId="102" fillId="0" borderId="58" xfId="94" applyNumberFormat="1" applyFont="1" applyFill="1" applyBorder="1"/>
    <xf numFmtId="0" fontId="102" fillId="0" borderId="0" xfId="0" applyFont="1" applyFill="1" applyBorder="1" applyAlignment="1">
      <alignment vertical="center" wrapText="1"/>
    </xf>
    <xf numFmtId="0" fontId="102" fillId="0" borderId="0" xfId="94" applyFont="1" applyFill="1"/>
    <xf numFmtId="0" fontId="106" fillId="0" borderId="19" xfId="94" applyFont="1" applyFill="1" applyBorder="1"/>
    <xf numFmtId="0" fontId="106" fillId="0" borderId="22" xfId="94" applyFont="1" applyFill="1" applyBorder="1"/>
    <xf numFmtId="3" fontId="106" fillId="0" borderId="43" xfId="94" applyNumberFormat="1" applyFont="1" applyFill="1" applyBorder="1"/>
    <xf numFmtId="4" fontId="106" fillId="0" borderId="28" xfId="94" applyNumberFormat="1" applyFont="1" applyFill="1" applyBorder="1"/>
    <xf numFmtId="4" fontId="77" fillId="0" borderId="0" xfId="94" applyNumberFormat="1" applyFont="1" applyBorder="1"/>
    <xf numFmtId="3" fontId="77" fillId="0" borderId="0" xfId="94" applyNumberFormat="1" applyFont="1"/>
    <xf numFmtId="0" fontId="102" fillId="0" borderId="18" xfId="94" applyFont="1" applyFill="1" applyBorder="1"/>
    <xf numFmtId="4" fontId="77" fillId="0" borderId="120" xfId="94" applyNumberFormat="1" applyFont="1" applyFill="1" applyBorder="1"/>
    <xf numFmtId="3" fontId="102" fillId="0" borderId="0" xfId="0" applyNumberFormat="1" applyFont="1" applyFill="1" applyBorder="1" applyAlignment="1">
      <alignment vertical="center" wrapText="1"/>
    </xf>
    <xf numFmtId="4" fontId="106" fillId="0" borderId="0" xfId="94" applyNumberFormat="1" applyFont="1" applyBorder="1"/>
    <xf numFmtId="0" fontId="77" fillId="0" borderId="57" xfId="94" applyFont="1" applyBorder="1"/>
    <xf numFmtId="0" fontId="77" fillId="0" borderId="24" xfId="94" applyFont="1" applyBorder="1"/>
    <xf numFmtId="3" fontId="77" fillId="0" borderId="32" xfId="94" applyNumberFormat="1" applyFont="1" applyBorder="1"/>
    <xf numFmtId="4" fontId="77" fillId="0" borderId="120" xfId="94" applyNumberFormat="1" applyFont="1" applyBorder="1"/>
    <xf numFmtId="3" fontId="116" fillId="0" borderId="0" xfId="94" applyNumberFormat="1" applyFont="1" applyBorder="1"/>
    <xf numFmtId="3" fontId="77" fillId="0" borderId="0" xfId="94" applyNumberFormat="1" applyFont="1" applyBorder="1"/>
    <xf numFmtId="0" fontId="77" fillId="0" borderId="0" xfId="94" applyFont="1" applyBorder="1"/>
    <xf numFmtId="0" fontId="102" fillId="0" borderId="0" xfId="94" applyFont="1"/>
    <xf numFmtId="0" fontId="106" fillId="0" borderId="0" xfId="94" applyFont="1"/>
    <xf numFmtId="0" fontId="77" fillId="0" borderId="18" xfId="94" applyFont="1" applyBorder="1"/>
    <xf numFmtId="4" fontId="77" fillId="0" borderId="58" xfId="94" applyNumberFormat="1" applyFont="1" applyBorder="1"/>
    <xf numFmtId="3" fontId="77" fillId="0" borderId="99" xfId="94" applyNumberFormat="1" applyFont="1" applyBorder="1"/>
    <xf numFmtId="0" fontId="77" fillId="0" borderId="26" xfId="94" applyFont="1" applyBorder="1"/>
    <xf numFmtId="0" fontId="77" fillId="0" borderId="105" xfId="94" applyFont="1" applyBorder="1"/>
    <xf numFmtId="3" fontId="77" fillId="0" borderId="55" xfId="94" applyNumberFormat="1" applyFont="1" applyFill="1" applyBorder="1"/>
    <xf numFmtId="4" fontId="77" fillId="0" borderId="56" xfId="94" applyNumberFormat="1" applyFont="1" applyBorder="1"/>
    <xf numFmtId="0" fontId="77" fillId="0" borderId="92" xfId="94" applyFont="1" applyBorder="1"/>
    <xf numFmtId="0" fontId="116" fillId="31" borderId="19" xfId="94" applyFont="1" applyFill="1" applyBorder="1"/>
    <xf numFmtId="0" fontId="116" fillId="31" borderId="16" xfId="94" applyFont="1" applyFill="1" applyBorder="1"/>
    <xf numFmtId="3" fontId="116" fillId="31" borderId="61" xfId="94" applyNumberFormat="1" applyFont="1" applyFill="1" applyBorder="1"/>
    <xf numFmtId="4" fontId="116" fillId="31" borderId="28" xfId="94" applyNumberFormat="1" applyFont="1" applyFill="1" applyBorder="1"/>
    <xf numFmtId="4" fontId="77" fillId="0" borderId="0" xfId="94" applyNumberFormat="1" applyFont="1"/>
    <xf numFmtId="0" fontId="77" fillId="0" borderId="0" xfId="94" applyFont="1" applyFill="1" applyBorder="1"/>
    <xf numFmtId="4" fontId="115" fillId="27" borderId="0" xfId="94" applyNumberFormat="1" applyFont="1" applyFill="1" applyBorder="1"/>
    <xf numFmtId="3" fontId="8" fillId="0" borderId="0" xfId="94" applyNumberFormat="1" applyFont="1" applyBorder="1"/>
    <xf numFmtId="0" fontId="8" fillId="0" borderId="0" xfId="94" applyFont="1" applyFill="1" applyBorder="1"/>
    <xf numFmtId="4" fontId="8" fillId="27" borderId="0" xfId="94" applyNumberFormat="1" applyFont="1" applyFill="1" applyBorder="1"/>
    <xf numFmtId="3" fontId="8" fillId="0" borderId="105" xfId="94" applyNumberFormat="1" applyFont="1" applyFill="1" applyBorder="1"/>
    <xf numFmtId="4" fontId="14" fillId="27" borderId="0" xfId="94" applyNumberFormat="1" applyFont="1" applyFill="1" applyBorder="1"/>
    <xf numFmtId="3" fontId="8" fillId="0" borderId="0" xfId="94" applyNumberFormat="1" applyFont="1" applyFill="1" applyBorder="1"/>
    <xf numFmtId="3" fontId="115" fillId="27" borderId="0" xfId="94" applyNumberFormat="1" applyFont="1" applyFill="1" applyBorder="1"/>
    <xf numFmtId="3" fontId="8" fillId="0" borderId="0" xfId="94" applyNumberFormat="1" applyFont="1" applyFill="1"/>
    <xf numFmtId="0" fontId="8" fillId="0" borderId="0" xfId="94" applyFont="1" applyFill="1"/>
    <xf numFmtId="0" fontId="3" fillId="0" borderId="0" xfId="95"/>
    <xf numFmtId="0" fontId="10" fillId="0" borderId="0" xfId="95" applyFont="1" applyBorder="1" applyAlignment="1">
      <alignment horizontal="center"/>
    </xf>
    <xf numFmtId="0" fontId="3" fillId="0" borderId="0" xfId="95" applyBorder="1" applyAlignment="1">
      <alignment horizontal="center"/>
    </xf>
    <xf numFmtId="0" fontId="3" fillId="0" borderId="32" xfId="95" applyBorder="1" applyAlignment="1">
      <alignment horizontal="center"/>
    </xf>
    <xf numFmtId="0" fontId="3" fillId="0" borderId="58" xfId="95" applyBorder="1" applyAlignment="1">
      <alignment horizontal="center"/>
    </xf>
    <xf numFmtId="0" fontId="10" fillId="0" borderId="43" xfId="95" applyFont="1" applyBorder="1" applyAlignment="1">
      <alignment horizontal="center"/>
    </xf>
    <xf numFmtId="0" fontId="10" fillId="0" borderId="54" xfId="95" applyFont="1" applyBorder="1" applyAlignment="1">
      <alignment horizontal="center"/>
    </xf>
    <xf numFmtId="3" fontId="3" fillId="0" borderId="92" xfId="95" applyNumberFormat="1" applyFill="1" applyBorder="1"/>
    <xf numFmtId="3" fontId="3" fillId="0" borderId="102" xfId="95" applyNumberFormat="1" applyBorder="1"/>
    <xf numFmtId="3" fontId="3" fillId="0" borderId="92" xfId="95" applyNumberFormat="1" applyBorder="1"/>
    <xf numFmtId="3" fontId="3" fillId="0" borderId="102" xfId="95" applyNumberFormat="1" applyFill="1" applyBorder="1"/>
    <xf numFmtId="3" fontId="3" fillId="0" borderId="101" xfId="95" applyNumberFormat="1" applyBorder="1"/>
    <xf numFmtId="3" fontId="3" fillId="0" borderId="24" xfId="95" applyNumberFormat="1" applyFill="1" applyBorder="1"/>
    <xf numFmtId="3" fontId="3" fillId="0" borderId="32" xfId="95" applyNumberFormat="1" applyBorder="1"/>
    <xf numFmtId="3" fontId="3" fillId="0" borderId="24" xfId="95" applyNumberFormat="1" applyBorder="1"/>
    <xf numFmtId="3" fontId="3" fillId="0" borderId="32" xfId="95" applyNumberFormat="1" applyFill="1" applyBorder="1"/>
    <xf numFmtId="3" fontId="3" fillId="0" borderId="89" xfId="95" applyNumberFormat="1" applyBorder="1"/>
    <xf numFmtId="3" fontId="3" fillId="0" borderId="43" xfId="95" applyNumberFormat="1" applyFill="1" applyBorder="1"/>
    <xf numFmtId="3" fontId="3" fillId="0" borderId="54" xfId="95" applyNumberFormat="1" applyFill="1" applyBorder="1"/>
    <xf numFmtId="0" fontId="3" fillId="0" borderId="139" xfId="95" applyFont="1" applyBorder="1" applyAlignment="1">
      <alignment horizontal="left"/>
    </xf>
    <xf numFmtId="0" fontId="3" fillId="0" borderId="126" xfId="95" applyBorder="1" applyAlignment="1">
      <alignment horizontal="left"/>
    </xf>
    <xf numFmtId="3" fontId="3" fillId="0" borderId="139" xfId="95" applyNumberFormat="1" applyFill="1" applyBorder="1"/>
    <xf numFmtId="3" fontId="3" fillId="0" borderId="131" xfId="95" applyNumberFormat="1" applyBorder="1"/>
    <xf numFmtId="3" fontId="3" fillId="0" borderId="139" xfId="95" applyNumberFormat="1" applyBorder="1"/>
    <xf numFmtId="3" fontId="3" fillId="0" borderId="131" xfId="95" applyNumberFormat="1" applyFill="1" applyBorder="1"/>
    <xf numFmtId="3" fontId="3" fillId="0" borderId="124" xfId="95" applyNumberFormat="1" applyBorder="1"/>
    <xf numFmtId="0" fontId="3" fillId="0" borderId="0" xfId="95" applyBorder="1"/>
    <xf numFmtId="0" fontId="3" fillId="0" borderId="32" xfId="95" applyBorder="1"/>
    <xf numFmtId="0" fontId="3" fillId="0" borderId="142" xfId="95" applyBorder="1"/>
    <xf numFmtId="0" fontId="3" fillId="0" borderId="0" xfId="95" applyBorder="1" applyAlignment="1">
      <alignment vertical="center"/>
    </xf>
    <xf numFmtId="0" fontId="3" fillId="0" borderId="55" xfId="95" applyBorder="1"/>
    <xf numFmtId="3" fontId="3" fillId="0" borderId="0" xfId="95" applyNumberFormat="1" applyBorder="1"/>
    <xf numFmtId="3" fontId="3" fillId="0" borderId="15" xfId="95" applyNumberFormat="1" applyBorder="1"/>
    <xf numFmtId="3" fontId="3" fillId="0" borderId="15" xfId="95" applyNumberFormat="1" applyFill="1" applyBorder="1"/>
    <xf numFmtId="3" fontId="3" fillId="0" borderId="0" xfId="95" applyNumberFormat="1" applyFill="1" applyBorder="1"/>
    <xf numFmtId="3" fontId="3" fillId="0" borderId="86" xfId="95" applyNumberFormat="1" applyBorder="1"/>
    <xf numFmtId="0" fontId="3" fillId="0" borderId="0" xfId="95" applyBorder="1" applyAlignment="1">
      <alignment horizontal="left" vertical="center"/>
    </xf>
    <xf numFmtId="3" fontId="3" fillId="0" borderId="49" xfId="95" applyNumberFormat="1" applyBorder="1"/>
    <xf numFmtId="0" fontId="3" fillId="0" borderId="92" xfId="95" applyBorder="1" applyAlignment="1">
      <alignment horizontal="left" vertical="center"/>
    </xf>
    <xf numFmtId="0" fontId="3" fillId="0" borderId="102" xfId="95" applyBorder="1"/>
    <xf numFmtId="0" fontId="3" fillId="0" borderId="15" xfId="95" applyFont="1" applyBorder="1"/>
    <xf numFmtId="0" fontId="3" fillId="0" borderId="15" xfId="95" applyBorder="1"/>
    <xf numFmtId="0" fontId="3" fillId="0" borderId="82" xfId="95" applyBorder="1"/>
    <xf numFmtId="0" fontId="3" fillId="0" borderId="15" xfId="95" applyFill="1" applyBorder="1"/>
    <xf numFmtId="0" fontId="3" fillId="0" borderId="32" xfId="95" applyFill="1" applyBorder="1"/>
    <xf numFmtId="0" fontId="3" fillId="0" borderId="61" xfId="95" applyBorder="1"/>
    <xf numFmtId="0" fontId="3" fillId="0" borderId="100" xfId="95" applyBorder="1"/>
    <xf numFmtId="3" fontId="3" fillId="0" borderId="16" xfId="95" applyNumberFormat="1" applyBorder="1"/>
    <xf numFmtId="3" fontId="3" fillId="0" borderId="61" xfId="95" applyNumberFormat="1" applyBorder="1"/>
    <xf numFmtId="3" fontId="3" fillId="0" borderId="84" xfId="95" applyNumberFormat="1" applyBorder="1"/>
    <xf numFmtId="3" fontId="8" fillId="0" borderId="0" xfId="96" applyNumberFormat="1" applyFont="1" applyAlignment="1">
      <alignment horizontal="center"/>
    </xf>
    <xf numFmtId="3" fontId="8" fillId="0" borderId="0" xfId="96" applyNumberFormat="1" applyFont="1"/>
    <xf numFmtId="3" fontId="132" fillId="0" borderId="0" xfId="96" applyNumberFormat="1" applyFont="1"/>
    <xf numFmtId="3" fontId="77" fillId="0" borderId="0" xfId="96" applyNumberFormat="1" applyFont="1"/>
    <xf numFmtId="0" fontId="5" fillId="0" borderId="0" xfId="78" applyFont="1" applyAlignment="1">
      <alignment horizontal="right"/>
    </xf>
    <xf numFmtId="3" fontId="116" fillId="0" borderId="20" xfId="96" applyNumberFormat="1" applyFont="1" applyBorder="1" applyAlignment="1"/>
    <xf numFmtId="3" fontId="77" fillId="0" borderId="94" xfId="96" applyNumberFormat="1" applyFont="1" applyBorder="1"/>
    <xf numFmtId="3" fontId="8" fillId="0" borderId="18" xfId="96" applyNumberFormat="1" applyFont="1" applyBorder="1" applyAlignment="1">
      <alignment horizontal="center"/>
    </xf>
    <xf numFmtId="3" fontId="8" fillId="0" borderId="0" xfId="96" applyNumberFormat="1" applyFont="1" applyBorder="1"/>
    <xf numFmtId="3" fontId="115" fillId="0" borderId="43" xfId="96" applyNumberFormat="1" applyFont="1" applyBorder="1" applyAlignment="1">
      <alignment horizontal="center"/>
    </xf>
    <xf numFmtId="3" fontId="115" fillId="0" borderId="22" xfId="96" applyNumberFormat="1" applyFont="1" applyBorder="1" applyAlignment="1">
      <alignment horizontal="center"/>
    </xf>
    <xf numFmtId="3" fontId="115" fillId="0" borderId="54" xfId="96" applyNumberFormat="1" applyFont="1" applyBorder="1" applyAlignment="1">
      <alignment horizontal="center"/>
    </xf>
    <xf numFmtId="3" fontId="133" fillId="0" borderId="17" xfId="96" applyNumberFormat="1" applyFont="1" applyFill="1" applyBorder="1" applyAlignment="1">
      <alignment horizontal="center"/>
    </xf>
    <xf numFmtId="3" fontId="133" fillId="0" borderId="22" xfId="96" applyNumberFormat="1" applyFont="1" applyFill="1" applyBorder="1"/>
    <xf numFmtId="3" fontId="116" fillId="0" borderId="43" xfId="96" applyNumberFormat="1" applyFont="1" applyFill="1" applyBorder="1" applyAlignment="1">
      <alignment horizontal="center"/>
    </xf>
    <xf numFmtId="3" fontId="116" fillId="0" borderId="54" xfId="96" applyNumberFormat="1" applyFont="1" applyFill="1" applyBorder="1" applyAlignment="1">
      <alignment horizontal="center"/>
    </xf>
    <xf numFmtId="3" fontId="133" fillId="0" borderId="0" xfId="96" applyNumberFormat="1" applyFont="1" applyFill="1"/>
    <xf numFmtId="3" fontId="116" fillId="0" borderId="20" xfId="96" applyNumberFormat="1" applyFont="1" applyFill="1" applyBorder="1" applyAlignment="1">
      <alignment horizontal="center"/>
    </xf>
    <xf numFmtId="3" fontId="116" fillId="0" borderId="94" xfId="96" applyNumberFormat="1" applyFont="1" applyFill="1" applyBorder="1"/>
    <xf numFmtId="3" fontId="116" fillId="0" borderId="21" xfId="96" applyNumberFormat="1" applyFont="1" applyFill="1" applyBorder="1"/>
    <xf numFmtId="3" fontId="116" fillId="0" borderId="60" xfId="96" applyNumberFormat="1" applyFont="1" applyFill="1" applyBorder="1"/>
    <xf numFmtId="3" fontId="116" fillId="0" borderId="0" xfId="96" applyNumberFormat="1" applyFont="1" applyFill="1"/>
    <xf numFmtId="3" fontId="115" fillId="0" borderId="18" xfId="96" applyNumberFormat="1" applyFont="1" applyFill="1" applyBorder="1" applyAlignment="1">
      <alignment horizontal="center"/>
    </xf>
    <xf numFmtId="3" fontId="115" fillId="0" borderId="0" xfId="96" applyNumberFormat="1" applyFont="1" applyFill="1" applyBorder="1"/>
    <xf numFmtId="3" fontId="115" fillId="0" borderId="15" xfId="96" applyNumberFormat="1" applyFont="1" applyFill="1" applyBorder="1"/>
    <xf numFmtId="3" fontId="115" fillId="0" borderId="59" xfId="96" applyNumberFormat="1" applyFont="1" applyFill="1" applyBorder="1"/>
    <xf numFmtId="3" fontId="115" fillId="0" borderId="0" xfId="96" applyNumberFormat="1" applyFont="1" applyFill="1"/>
    <xf numFmtId="3" fontId="8" fillId="0" borderId="40" xfId="96" applyNumberFormat="1" applyFont="1" applyFill="1" applyBorder="1" applyAlignment="1">
      <alignment horizontal="center"/>
    </xf>
    <xf numFmtId="3" fontId="8" fillId="0" borderId="37" xfId="96" applyNumberFormat="1" applyFont="1" applyFill="1" applyBorder="1"/>
    <xf numFmtId="3" fontId="8" fillId="0" borderId="36" xfId="96" applyNumberFormat="1" applyFont="1" applyFill="1" applyBorder="1"/>
    <xf numFmtId="3" fontId="8" fillId="0" borderId="68" xfId="96" applyNumberFormat="1" applyFont="1" applyFill="1" applyBorder="1"/>
    <xf numFmtId="3" fontId="8" fillId="0" borderId="0" xfId="96" applyNumberFormat="1" applyFont="1" applyFill="1"/>
    <xf numFmtId="3" fontId="8" fillId="0" borderId="18" xfId="96" applyNumberFormat="1" applyFont="1" applyFill="1" applyBorder="1" applyAlignment="1">
      <alignment horizontal="center"/>
    </xf>
    <xf numFmtId="3" fontId="8" fillId="0" borderId="0" xfId="96" applyNumberFormat="1" applyFont="1" applyFill="1" applyBorder="1"/>
    <xf numFmtId="3" fontId="8" fillId="0" borderId="15" xfId="96" applyNumberFormat="1" applyFont="1" applyFill="1" applyBorder="1"/>
    <xf numFmtId="3" fontId="8" fillId="0" borderId="59" xfId="96" applyNumberFormat="1" applyFont="1" applyFill="1" applyBorder="1"/>
    <xf numFmtId="3" fontId="115" fillId="0" borderId="40" xfId="96" applyNumberFormat="1" applyFont="1" applyFill="1" applyBorder="1" applyAlignment="1">
      <alignment horizontal="center"/>
    </xf>
    <xf numFmtId="3" fontId="115" fillId="0" borderId="37" xfId="96" applyNumberFormat="1" applyFont="1" applyFill="1" applyBorder="1"/>
    <xf numFmtId="3" fontId="115" fillId="0" borderId="36" xfId="96" applyNumberFormat="1" applyFont="1" applyFill="1" applyBorder="1"/>
    <xf numFmtId="3" fontId="115" fillId="0" borderId="68" xfId="96" applyNumberFormat="1" applyFont="1" applyFill="1" applyBorder="1"/>
    <xf numFmtId="3" fontId="116" fillId="0" borderId="81" xfId="96" applyNumberFormat="1" applyFont="1" applyFill="1" applyBorder="1"/>
    <xf numFmtId="3" fontId="106" fillId="0" borderId="18" xfId="96" applyNumberFormat="1" applyFont="1" applyFill="1" applyBorder="1" applyAlignment="1">
      <alignment horizontal="center"/>
    </xf>
    <xf numFmtId="3" fontId="106" fillId="0" borderId="0" xfId="96" applyNumberFormat="1" applyFont="1" applyFill="1" applyBorder="1"/>
    <xf numFmtId="3" fontId="106" fillId="0" borderId="15" xfId="96" applyNumberFormat="1" applyFont="1" applyFill="1" applyBorder="1"/>
    <xf numFmtId="3" fontId="106" fillId="0" borderId="59" xfId="96" applyNumberFormat="1" applyFont="1" applyFill="1" applyBorder="1"/>
    <xf numFmtId="3" fontId="106" fillId="0" borderId="0" xfId="96" applyNumberFormat="1" applyFont="1" applyFill="1"/>
    <xf numFmtId="3" fontId="14" fillId="0" borderId="40" xfId="96" applyNumberFormat="1" applyFont="1" applyFill="1" applyBorder="1" applyAlignment="1">
      <alignment horizontal="center"/>
    </xf>
    <xf numFmtId="3" fontId="56" fillId="0" borderId="37" xfId="96" applyNumberFormat="1" applyFont="1" applyFill="1" applyBorder="1"/>
    <xf numFmtId="3" fontId="14" fillId="0" borderId="37" xfId="96" applyNumberFormat="1" applyFont="1" applyFill="1" applyBorder="1"/>
    <xf numFmtId="3" fontId="56" fillId="0" borderId="36" xfId="96" applyNumberFormat="1" applyFont="1" applyFill="1" applyBorder="1"/>
    <xf numFmtId="3" fontId="56" fillId="0" borderId="68" xfId="96" applyNumberFormat="1" applyFont="1" applyFill="1" applyBorder="1"/>
    <xf numFmtId="3" fontId="14" fillId="0" borderId="0" xfId="96" applyNumberFormat="1" applyFont="1" applyFill="1"/>
    <xf numFmtId="3" fontId="8" fillId="0" borderId="0" xfId="96" applyNumberFormat="1" applyFont="1" applyFill="1" applyBorder="1" applyAlignment="1">
      <alignment horizontal="center"/>
    </xf>
    <xf numFmtId="3" fontId="8" fillId="0" borderId="37" xfId="96" applyNumberFormat="1" applyFont="1" applyFill="1" applyBorder="1" applyAlignment="1">
      <alignment horizontal="center"/>
    </xf>
    <xf numFmtId="3" fontId="8" fillId="0" borderId="0" xfId="96" applyNumberFormat="1" applyFont="1" applyFill="1" applyBorder="1" applyAlignment="1">
      <alignment horizontal="center" vertical="center"/>
    </xf>
    <xf numFmtId="3" fontId="8" fillId="0" borderId="0" xfId="96" applyNumberFormat="1" applyFont="1" applyFill="1" applyBorder="1" applyAlignment="1">
      <alignment wrapText="1"/>
    </xf>
    <xf numFmtId="3" fontId="106" fillId="0" borderId="40" xfId="96" applyNumberFormat="1" applyFont="1" applyBorder="1" applyAlignment="1">
      <alignment horizontal="center"/>
    </xf>
    <xf numFmtId="3" fontId="106" fillId="0" borderId="37" xfId="96" applyNumberFormat="1" applyFont="1" applyBorder="1"/>
    <xf numFmtId="3" fontId="106" fillId="0" borderId="36" xfId="96" applyNumberFormat="1" applyFont="1" applyBorder="1"/>
    <xf numFmtId="3" fontId="106" fillId="0" borderId="68" xfId="96" applyNumberFormat="1" applyFont="1" applyBorder="1"/>
    <xf numFmtId="3" fontId="106" fillId="0" borderId="0" xfId="96" applyNumberFormat="1" applyFont="1"/>
    <xf numFmtId="3" fontId="8" fillId="0" borderId="15" xfId="96" applyNumberFormat="1" applyFont="1" applyBorder="1"/>
    <xf numFmtId="3" fontId="8" fillId="0" borderId="59" xfId="96" applyNumberFormat="1" applyFont="1" applyBorder="1"/>
    <xf numFmtId="3" fontId="8" fillId="0" borderId="40" xfId="96" applyNumberFormat="1" applyFont="1" applyBorder="1" applyAlignment="1">
      <alignment horizontal="center"/>
    </xf>
    <xf numFmtId="3" fontId="8" fillId="0" borderId="37" xfId="96" applyNumberFormat="1" applyFont="1" applyBorder="1"/>
    <xf numFmtId="3" fontId="8" fillId="0" borderId="36" xfId="96" applyNumberFormat="1" applyFont="1" applyBorder="1"/>
    <xf numFmtId="3" fontId="8" fillId="0" borderId="68" xfId="96" applyNumberFormat="1" applyFont="1" applyBorder="1"/>
    <xf numFmtId="3" fontId="8" fillId="0" borderId="41" xfId="96" applyNumberFormat="1" applyFont="1" applyBorder="1" applyAlignment="1">
      <alignment horizontal="center"/>
    </xf>
    <xf numFmtId="3" fontId="8" fillId="0" borderId="96" xfId="96" applyNumberFormat="1" applyFont="1" applyBorder="1"/>
    <xf numFmtId="3" fontId="8" fillId="0" borderId="64" xfId="96" applyNumberFormat="1" applyFont="1" applyBorder="1"/>
    <xf numFmtId="3" fontId="8" fillId="0" borderId="110" xfId="96" applyNumberFormat="1" applyFont="1" applyBorder="1"/>
    <xf numFmtId="3" fontId="106" fillId="0" borderId="112" xfId="96" applyNumberFormat="1" applyFont="1" applyBorder="1" applyAlignment="1">
      <alignment horizontal="center"/>
    </xf>
    <xf numFmtId="3" fontId="106" fillId="0" borderId="113" xfId="96" applyNumberFormat="1" applyFont="1" applyBorder="1"/>
    <xf numFmtId="3" fontId="106" fillId="0" borderId="114" xfId="96" applyNumberFormat="1" applyFont="1" applyBorder="1"/>
    <xf numFmtId="3" fontId="106" fillId="0" borderId="115" xfId="96" applyNumberFormat="1" applyFont="1" applyBorder="1"/>
    <xf numFmtId="3" fontId="106" fillId="0" borderId="18" xfId="96" applyNumberFormat="1" applyFont="1" applyBorder="1" applyAlignment="1">
      <alignment horizontal="center"/>
    </xf>
    <xf numFmtId="3" fontId="106" fillId="0" borderId="0" xfId="96" applyNumberFormat="1" applyFont="1" applyBorder="1"/>
    <xf numFmtId="3" fontId="106" fillId="0" borderId="15" xfId="96" applyNumberFormat="1" applyFont="1" applyBorder="1"/>
    <xf numFmtId="3" fontId="106" fillId="0" borderId="59" xfId="96" applyNumberFormat="1" applyFont="1" applyBorder="1"/>
    <xf numFmtId="3" fontId="8" fillId="0" borderId="37" xfId="97" applyNumberFormat="1" applyFont="1" applyBorder="1"/>
    <xf numFmtId="3" fontId="8" fillId="0" borderId="36" xfId="97" applyNumberFormat="1" applyFont="1" applyBorder="1"/>
    <xf numFmtId="3" fontId="106" fillId="0" borderId="0" xfId="97" applyNumberFormat="1" applyFont="1" applyBorder="1"/>
    <xf numFmtId="3" fontId="106" fillId="0" borderId="15" xfId="97" applyNumberFormat="1" applyFont="1" applyBorder="1"/>
    <xf numFmtId="3" fontId="116" fillId="0" borderId="20" xfId="96" applyNumberFormat="1" applyFont="1" applyBorder="1" applyAlignment="1">
      <alignment horizontal="center"/>
    </xf>
    <xf numFmtId="3" fontId="116" fillId="0" borderId="94" xfId="96" applyNumberFormat="1" applyFont="1" applyBorder="1"/>
    <xf numFmtId="3" fontId="116" fillId="0" borderId="94" xfId="97" applyNumberFormat="1" applyFont="1" applyBorder="1"/>
    <xf numFmtId="3" fontId="116" fillId="0" borderId="21" xfId="97" applyNumberFormat="1" applyFont="1" applyBorder="1"/>
    <xf numFmtId="3" fontId="116" fillId="0" borderId="60" xfId="96" applyNumberFormat="1" applyFont="1" applyBorder="1"/>
    <xf numFmtId="3" fontId="116" fillId="0" borderId="0" xfId="96" applyNumberFormat="1" applyFont="1"/>
    <xf numFmtId="3" fontId="34" fillId="0" borderId="18" xfId="96" applyNumberFormat="1" applyFont="1" applyBorder="1" applyAlignment="1">
      <alignment horizontal="center"/>
    </xf>
    <xf numFmtId="3" fontId="34" fillId="0" borderId="0" xfId="96" applyNumberFormat="1" applyFont="1" applyBorder="1"/>
    <xf numFmtId="3" fontId="34" fillId="0" borderId="0" xfId="97" applyNumberFormat="1" applyFont="1" applyBorder="1"/>
    <xf numFmtId="3" fontId="34" fillId="0" borderId="15" xfId="97" applyNumberFormat="1" applyFont="1" applyBorder="1"/>
    <xf numFmtId="3" fontId="34" fillId="0" borderId="68" xfId="96" applyNumberFormat="1" applyFont="1" applyBorder="1"/>
    <xf numFmtId="3" fontId="34" fillId="0" borderId="0" xfId="96" applyNumberFormat="1" applyFont="1"/>
    <xf numFmtId="3" fontId="34" fillId="0" borderId="40" xfId="96" applyNumberFormat="1" applyFont="1" applyBorder="1" applyAlignment="1">
      <alignment horizontal="center"/>
    </xf>
    <xf numFmtId="3" fontId="34" fillId="0" borderId="37" xfId="96" applyNumberFormat="1" applyFont="1" applyBorder="1"/>
    <xf numFmtId="3" fontId="34" fillId="0" borderId="37" xfId="97" applyNumberFormat="1" applyFont="1" applyBorder="1"/>
    <xf numFmtId="3" fontId="34" fillId="0" borderId="36" xfId="97" applyNumberFormat="1" applyFont="1" applyBorder="1"/>
    <xf numFmtId="3" fontId="34" fillId="0" borderId="59" xfId="96" applyNumberFormat="1" applyFont="1" applyBorder="1"/>
    <xf numFmtId="3" fontId="134" fillId="0" borderId="0" xfId="97" applyNumberFormat="1" applyFont="1" applyBorder="1"/>
    <xf numFmtId="3" fontId="8" fillId="0" borderId="0" xfId="97" applyNumberFormat="1" applyFont="1" applyBorder="1"/>
    <xf numFmtId="3" fontId="8" fillId="0" borderId="15" xfId="97" applyNumberFormat="1" applyFont="1" applyBorder="1"/>
    <xf numFmtId="3" fontId="34" fillId="0" borderId="59" xfId="96" applyNumberFormat="1" applyFont="1" applyBorder="1" applyAlignment="1">
      <alignment horizontal="right"/>
    </xf>
    <xf numFmtId="3" fontId="34" fillId="0" borderId="68" xfId="96" applyNumberFormat="1" applyFont="1" applyBorder="1" applyAlignment="1">
      <alignment horizontal="right"/>
    </xf>
    <xf numFmtId="3" fontId="72" fillId="0" borderId="0" xfId="97" applyNumberFormat="1" applyFont="1" applyBorder="1"/>
    <xf numFmtId="3" fontId="72" fillId="0" borderId="15" xfId="97" applyNumberFormat="1" applyFont="1" applyBorder="1"/>
    <xf numFmtId="3" fontId="72" fillId="0" borderId="37" xfId="97" applyNumberFormat="1" applyFont="1" applyBorder="1"/>
    <xf numFmtId="3" fontId="72" fillId="0" borderId="36" xfId="97" applyNumberFormat="1" applyFont="1" applyBorder="1"/>
    <xf numFmtId="3" fontId="14" fillId="0" borderId="18" xfId="96" applyNumberFormat="1" applyFont="1" applyBorder="1" applyAlignment="1">
      <alignment horizontal="center"/>
    </xf>
    <xf numFmtId="3" fontId="14" fillId="0" borderId="0" xfId="96" applyNumberFormat="1" applyFont="1" applyBorder="1"/>
    <xf numFmtId="3" fontId="56" fillId="0" borderId="0" xfId="97" applyNumberFormat="1" applyFont="1" applyBorder="1"/>
    <xf numFmtId="3" fontId="56" fillId="0" borderId="15" xfId="97" applyNumberFormat="1" applyFont="1" applyBorder="1"/>
    <xf numFmtId="3" fontId="14" fillId="0" borderId="59" xfId="96" applyNumberFormat="1" applyFont="1" applyBorder="1"/>
    <xf numFmtId="3" fontId="14" fillId="0" borderId="0" xfId="96" applyNumberFormat="1" applyFont="1"/>
    <xf numFmtId="3" fontId="8" fillId="0" borderId="0" xfId="96" applyNumberFormat="1" applyFont="1" applyBorder="1" applyAlignment="1">
      <alignment horizontal="center"/>
    </xf>
    <xf numFmtId="3" fontId="116" fillId="0" borderId="20" xfId="96" applyNumberFormat="1" applyFont="1" applyBorder="1" applyAlignment="1">
      <alignment horizontal="left"/>
    </xf>
    <xf numFmtId="3" fontId="133" fillId="0" borderId="20" xfId="96" applyNumberFormat="1" applyFont="1" applyBorder="1" applyAlignment="1">
      <alignment horizontal="center"/>
    </xf>
    <xf numFmtId="3" fontId="133" fillId="0" borderId="94" xfId="96" applyNumberFormat="1" applyFont="1" applyBorder="1"/>
    <xf numFmtId="3" fontId="133" fillId="0" borderId="94" xfId="97" applyNumberFormat="1" applyFont="1" applyBorder="1"/>
    <xf numFmtId="3" fontId="133" fillId="0" borderId="21" xfId="97" applyNumberFormat="1" applyFont="1" applyBorder="1"/>
    <xf numFmtId="3" fontId="133" fillId="0" borderId="60" xfId="96" applyNumberFormat="1" applyFont="1" applyBorder="1" applyAlignment="1">
      <alignment horizontal="right"/>
    </xf>
    <xf numFmtId="3" fontId="133" fillId="0" borderId="0" xfId="96" applyNumberFormat="1" applyFont="1"/>
    <xf numFmtId="3" fontId="8" fillId="0" borderId="23" xfId="96" applyNumberFormat="1" applyFont="1" applyBorder="1" applyAlignment="1">
      <alignment horizontal="center"/>
    </xf>
    <xf numFmtId="3" fontId="8" fillId="0" borderId="46" xfId="96" applyNumberFormat="1" applyFont="1" applyBorder="1"/>
    <xf numFmtId="3" fontId="8" fillId="0" borderId="46" xfId="97" applyNumberFormat="1" applyFont="1" applyBorder="1"/>
    <xf numFmtId="3" fontId="8" fillId="0" borderId="45" xfId="97" applyNumberFormat="1" applyFont="1" applyBorder="1"/>
    <xf numFmtId="3" fontId="8" fillId="0" borderId="27" xfId="96" applyNumberFormat="1" applyFont="1" applyBorder="1"/>
    <xf numFmtId="3" fontId="115" fillId="0" borderId="18" xfId="96" applyNumberFormat="1" applyFont="1" applyBorder="1" applyAlignment="1"/>
    <xf numFmtId="3" fontId="115" fillId="0" borderId="0" xfId="96" applyNumberFormat="1" applyFont="1" applyBorder="1"/>
    <xf numFmtId="3" fontId="115" fillId="0" borderId="15" xfId="96" applyNumberFormat="1" applyFont="1" applyBorder="1"/>
    <xf numFmtId="3" fontId="115" fillId="0" borderId="59" xfId="96" applyNumberFormat="1" applyFont="1" applyBorder="1"/>
    <xf numFmtId="3" fontId="115" fillId="0" borderId="0" xfId="96" applyNumberFormat="1" applyFont="1"/>
    <xf numFmtId="3" fontId="14" fillId="0" borderId="18" xfId="96" applyNumberFormat="1" applyFont="1" applyFill="1" applyBorder="1" applyAlignment="1">
      <alignment horizontal="center"/>
    </xf>
    <xf numFmtId="3" fontId="14" fillId="0" borderId="0" xfId="96" applyNumberFormat="1" applyFont="1" applyFill="1" applyBorder="1"/>
    <xf numFmtId="3" fontId="14" fillId="0" borderId="15" xfId="96" applyNumberFormat="1" applyFont="1" applyFill="1" applyBorder="1"/>
    <xf numFmtId="3" fontId="14" fillId="0" borderId="59" xfId="96" applyNumberFormat="1" applyFont="1" applyFill="1" applyBorder="1"/>
    <xf numFmtId="3" fontId="34" fillId="0" borderId="40" xfId="96" applyNumberFormat="1" applyFont="1" applyFill="1" applyBorder="1" applyAlignment="1">
      <alignment horizontal="center"/>
    </xf>
    <xf numFmtId="3" fontId="34" fillId="0" borderId="37" xfId="96" applyNumberFormat="1" applyFont="1" applyFill="1" applyBorder="1"/>
    <xf numFmtId="3" fontId="34" fillId="0" borderId="36" xfId="96" applyNumberFormat="1" applyFont="1" applyFill="1" applyBorder="1"/>
    <xf numFmtId="3" fontId="34" fillId="0" borderId="68" xfId="96" applyNumberFormat="1" applyFont="1" applyFill="1" applyBorder="1"/>
    <xf numFmtId="3" fontId="34" fillId="0" borderId="0" xfId="96" applyNumberFormat="1" applyFont="1" applyFill="1"/>
    <xf numFmtId="3" fontId="34" fillId="0" borderId="18" xfId="96" applyNumberFormat="1" applyFont="1" applyFill="1" applyBorder="1" applyAlignment="1">
      <alignment horizontal="center"/>
    </xf>
    <xf numFmtId="3" fontId="34" fillId="0" borderId="0" xfId="96" applyNumberFormat="1" applyFont="1" applyFill="1" applyBorder="1"/>
    <xf numFmtId="3" fontId="34" fillId="0" borderId="15" xfId="96" applyNumberFormat="1" applyFont="1" applyFill="1" applyBorder="1"/>
    <xf numFmtId="3" fontId="14" fillId="0" borderId="40" xfId="96" applyNumberFormat="1" applyFont="1" applyFill="1" applyBorder="1"/>
    <xf numFmtId="3" fontId="106" fillId="0" borderId="37" xfId="96" applyNumberFormat="1" applyFont="1" applyFill="1" applyBorder="1"/>
    <xf numFmtId="3" fontId="106" fillId="0" borderId="36" xfId="96" applyNumberFormat="1" applyFont="1" applyFill="1" applyBorder="1"/>
    <xf numFmtId="3" fontId="107" fillId="0" borderId="40" xfId="96" applyNumberFormat="1" applyFont="1" applyFill="1" applyBorder="1" applyAlignment="1">
      <alignment horizontal="center"/>
    </xf>
    <xf numFmtId="3" fontId="107" fillId="0" borderId="36" xfId="96" applyNumberFormat="1" applyFont="1" applyFill="1" applyBorder="1"/>
    <xf numFmtId="3" fontId="107" fillId="0" borderId="37" xfId="96" applyNumberFormat="1" applyFont="1" applyFill="1" applyBorder="1"/>
    <xf numFmtId="3" fontId="107" fillId="0" borderId="68" xfId="96" applyNumberFormat="1" applyFont="1" applyFill="1" applyBorder="1"/>
    <xf numFmtId="3" fontId="107" fillId="0" borderId="0" xfId="96" applyNumberFormat="1" applyFont="1" applyFill="1"/>
    <xf numFmtId="3" fontId="34" fillId="0" borderId="59" xfId="96" applyNumberFormat="1" applyFont="1" applyFill="1" applyBorder="1"/>
    <xf numFmtId="3" fontId="14" fillId="0" borderId="18" xfId="96" applyNumberFormat="1" applyFont="1" applyFill="1" applyBorder="1"/>
    <xf numFmtId="3" fontId="102" fillId="0" borderId="36" xfId="96" applyNumberFormat="1" applyFont="1" applyFill="1" applyBorder="1"/>
    <xf numFmtId="3" fontId="102" fillId="0" borderId="37" xfId="96" applyNumberFormat="1" applyFont="1" applyFill="1" applyBorder="1"/>
    <xf numFmtId="3" fontId="102" fillId="0" borderId="68" xfId="96" applyNumberFormat="1" applyFont="1" applyFill="1" applyBorder="1"/>
    <xf numFmtId="3" fontId="14" fillId="0" borderId="19" xfId="96" applyNumberFormat="1" applyFont="1" applyBorder="1" applyAlignment="1">
      <alignment horizontal="center"/>
    </xf>
    <xf numFmtId="3" fontId="14" fillId="0" borderId="61" xfId="96" applyNumberFormat="1" applyFont="1" applyBorder="1"/>
    <xf numFmtId="3" fontId="14" fillId="0" borderId="16" xfId="96" applyNumberFormat="1" applyFont="1" applyBorder="1"/>
    <xf numFmtId="3" fontId="14" fillId="0" borderId="28" xfId="96" applyNumberFormat="1" applyFont="1" applyFill="1" applyBorder="1"/>
    <xf numFmtId="0" fontId="109" fillId="0" borderId="0" xfId="98" applyFont="1"/>
    <xf numFmtId="0" fontId="136" fillId="0" borderId="0" xfId="98" applyFont="1"/>
    <xf numFmtId="3" fontId="109" fillId="0" borderId="0" xfId="98" applyNumberFormat="1" applyFont="1"/>
    <xf numFmtId="3" fontId="136" fillId="0" borderId="0" xfId="98" applyNumberFormat="1" applyFont="1"/>
    <xf numFmtId="0" fontId="108" fillId="0" borderId="0" xfId="98" applyFont="1"/>
    <xf numFmtId="3" fontId="108" fillId="0" borderId="0" xfId="98" applyNumberFormat="1" applyFont="1"/>
    <xf numFmtId="0" fontId="109" fillId="0" borderId="0" xfId="98" applyFont="1" applyAlignment="1">
      <alignment horizontal="right"/>
    </xf>
    <xf numFmtId="0" fontId="137" fillId="0" borderId="0" xfId="98" applyFont="1" applyAlignment="1">
      <alignment horizontal="center"/>
    </xf>
    <xf numFmtId="0" fontId="4" fillId="0" borderId="123" xfId="98" applyFont="1" applyBorder="1"/>
    <xf numFmtId="0" fontId="5" fillId="0" borderId="139" xfId="98" applyFont="1" applyBorder="1"/>
    <xf numFmtId="0" fontId="5" fillId="0" borderId="126" xfId="98" applyFont="1" applyBorder="1"/>
    <xf numFmtId="3" fontId="4" fillId="0" borderId="23" xfId="98" applyNumberFormat="1" applyFont="1" applyBorder="1"/>
    <xf numFmtId="0" fontId="4" fillId="0" borderId="83" xfId="98" applyFont="1" applyBorder="1"/>
    <xf numFmtId="0" fontId="108" fillId="0" borderId="0" xfId="98" applyFont="1" applyBorder="1"/>
    <xf numFmtId="0" fontId="5" fillId="0" borderId="17" xfId="98" applyFont="1" applyBorder="1"/>
    <xf numFmtId="0" fontId="5" fillId="0" borderId="22" xfId="98" applyFont="1" applyBorder="1"/>
    <xf numFmtId="0" fontId="5" fillId="0" borderId="87" xfId="98" applyFont="1" applyBorder="1"/>
    <xf numFmtId="0" fontId="4" fillId="0" borderId="44" xfId="98" applyFont="1" applyBorder="1" applyAlignment="1">
      <alignment horizontal="center" vertical="center" wrapText="1"/>
    </xf>
    <xf numFmtId="3" fontId="4" fillId="0" borderId="43" xfId="98" applyNumberFormat="1" applyFont="1" applyBorder="1" applyAlignment="1">
      <alignment horizontal="center" vertical="center" wrapText="1"/>
    </xf>
    <xf numFmtId="0" fontId="4" fillId="0" borderId="22" xfId="98" applyFont="1" applyBorder="1" applyAlignment="1">
      <alignment horizontal="center" vertical="center" wrapText="1"/>
    </xf>
    <xf numFmtId="3" fontId="4" fillId="0" borderId="19" xfId="98" applyNumberFormat="1" applyFont="1" applyBorder="1"/>
    <xf numFmtId="0" fontId="4" fillId="0" borderId="70" xfId="98" applyFont="1" applyBorder="1"/>
    <xf numFmtId="0" fontId="5" fillId="0" borderId="26" xfId="98" applyFont="1" applyFill="1" applyBorder="1"/>
    <xf numFmtId="0" fontId="5" fillId="0" borderId="24" xfId="98" applyFont="1" applyFill="1" applyBorder="1"/>
    <xf numFmtId="0" fontId="5" fillId="0" borderId="138" xfId="98" applyFont="1" applyFill="1" applyBorder="1"/>
    <xf numFmtId="2" fontId="5" fillId="0" borderId="49" xfId="98" applyNumberFormat="1" applyFont="1" applyFill="1" applyBorder="1"/>
    <xf numFmtId="3" fontId="5" fillId="0" borderId="32" xfId="98" applyNumberFormat="1" applyFont="1" applyFill="1" applyBorder="1"/>
    <xf numFmtId="3" fontId="5" fillId="0" borderId="89" xfId="98" applyNumberFormat="1" applyFont="1" applyFill="1" applyBorder="1"/>
    <xf numFmtId="3" fontId="5" fillId="0" borderId="26" xfId="98" applyNumberFormat="1" applyFont="1" applyBorder="1"/>
    <xf numFmtId="3" fontId="109" fillId="0" borderId="0" xfId="98" applyNumberFormat="1" applyFont="1" applyBorder="1"/>
    <xf numFmtId="14" fontId="109" fillId="0" borderId="0" xfId="98" applyNumberFormat="1" applyFont="1"/>
    <xf numFmtId="0" fontId="5" fillId="0" borderId="26" xfId="98" applyFont="1" applyBorder="1"/>
    <xf numFmtId="0" fontId="5" fillId="0" borderId="24" xfId="98" applyFont="1" applyBorder="1"/>
    <xf numFmtId="0" fontId="5" fillId="0" borderId="138" xfId="98" applyFont="1" applyBorder="1"/>
    <xf numFmtId="2" fontId="5" fillId="0" borderId="49" xfId="98" applyNumberFormat="1" applyFont="1" applyBorder="1"/>
    <xf numFmtId="3" fontId="5" fillId="0" borderId="78" xfId="98" applyNumberFormat="1" applyFont="1" applyBorder="1"/>
    <xf numFmtId="3" fontId="5" fillId="0" borderId="26" xfId="98" applyNumberFormat="1" applyFont="1" applyFill="1" applyBorder="1"/>
    <xf numFmtId="3" fontId="5" fillId="0" borderId="78" xfId="98" applyNumberFormat="1" applyFont="1" applyFill="1" applyBorder="1"/>
    <xf numFmtId="0" fontId="5" fillId="0" borderId="40" xfId="98" applyFont="1" applyBorder="1"/>
    <xf numFmtId="0" fontId="109" fillId="0" borderId="0" xfId="98" applyFont="1" applyFill="1"/>
    <xf numFmtId="0" fontId="5" fillId="0" borderId="57" xfId="98" applyFont="1" applyFill="1" applyBorder="1"/>
    <xf numFmtId="0" fontId="5" fillId="0" borderId="105" xfId="98" applyFont="1" applyFill="1" applyBorder="1"/>
    <xf numFmtId="0" fontId="5" fillId="0" borderId="140" xfId="98" applyFont="1" applyFill="1" applyBorder="1"/>
    <xf numFmtId="2" fontId="5" fillId="0" borderId="82" xfId="98" applyNumberFormat="1" applyFont="1" applyFill="1" applyBorder="1"/>
    <xf numFmtId="3" fontId="5" fillId="0" borderId="55" xfId="98" applyNumberFormat="1" applyFont="1" applyFill="1" applyBorder="1"/>
    <xf numFmtId="3" fontId="5" fillId="0" borderId="105" xfId="98" applyNumberFormat="1" applyFont="1" applyFill="1" applyBorder="1"/>
    <xf numFmtId="3" fontId="5" fillId="0" borderId="57" xfId="98" applyNumberFormat="1" applyFont="1" applyFill="1" applyBorder="1"/>
    <xf numFmtId="3" fontId="109" fillId="0" borderId="0" xfId="98" applyNumberFormat="1" applyFont="1" applyFill="1" applyBorder="1"/>
    <xf numFmtId="3" fontId="5" fillId="0" borderId="135" xfId="98" applyNumberFormat="1" applyFont="1" applyFill="1" applyBorder="1"/>
    <xf numFmtId="3" fontId="5" fillId="0" borderId="90" xfId="98" applyNumberFormat="1" applyFont="1" applyFill="1" applyBorder="1"/>
    <xf numFmtId="3" fontId="5" fillId="0" borderId="24" xfId="98" applyNumberFormat="1" applyFont="1" applyFill="1" applyBorder="1"/>
    <xf numFmtId="0" fontId="4" fillId="0" borderId="26" xfId="98" applyFont="1" applyFill="1" applyBorder="1" applyAlignment="1">
      <alignment horizontal="left"/>
    </xf>
    <xf numFmtId="3" fontId="4" fillId="0" borderId="89" xfId="98" applyNumberFormat="1" applyFont="1" applyFill="1" applyBorder="1"/>
    <xf numFmtId="14" fontId="109" fillId="0" borderId="0" xfId="98" applyNumberFormat="1" applyFont="1" applyFill="1"/>
    <xf numFmtId="0" fontId="119" fillId="0" borderId="30" xfId="98" applyFont="1" applyFill="1" applyBorder="1"/>
    <xf numFmtId="0" fontId="5" fillId="0" borderId="49" xfId="98" applyFont="1" applyFill="1" applyBorder="1"/>
    <xf numFmtId="3" fontId="5" fillId="0" borderId="82" xfId="98" applyNumberFormat="1" applyFont="1" applyFill="1" applyBorder="1"/>
    <xf numFmtId="164" fontId="5" fillId="0" borderId="82" xfId="98" applyNumberFormat="1" applyFont="1" applyFill="1" applyBorder="1"/>
    <xf numFmtId="3" fontId="5" fillId="0" borderId="56" xfId="98" applyNumberFormat="1" applyFont="1" applyFill="1" applyBorder="1"/>
    <xf numFmtId="0" fontId="4" fillId="0" borderId="17" xfId="98" applyFont="1" applyBorder="1"/>
    <xf numFmtId="0" fontId="4" fillId="0" borderId="22" xfId="98" applyFont="1" applyBorder="1"/>
    <xf numFmtId="165" fontId="4" fillId="0" borderId="44" xfId="98" applyNumberFormat="1" applyFont="1" applyBorder="1"/>
    <xf numFmtId="3" fontId="4" fillId="0" borderId="43" xfId="98" applyNumberFormat="1" applyFont="1" applyFill="1" applyBorder="1"/>
    <xf numFmtId="3" fontId="4" fillId="0" borderId="54" xfId="98" applyNumberFormat="1" applyFont="1" applyBorder="1"/>
    <xf numFmtId="0" fontId="4" fillId="0" borderId="20" xfId="98" applyFont="1" applyBorder="1"/>
    <xf numFmtId="0" fontId="5" fillId="0" borderId="94" xfId="98" applyFont="1" applyBorder="1"/>
    <xf numFmtId="2" fontId="5" fillId="0" borderId="94" xfId="98" applyNumberFormat="1" applyFont="1" applyBorder="1"/>
    <xf numFmtId="3" fontId="5" fillId="0" borderId="94" xfId="98" applyNumberFormat="1" applyFont="1" applyBorder="1"/>
    <xf numFmtId="3" fontId="4" fillId="0" borderId="77" xfId="98" applyNumberFormat="1" applyFont="1" applyBorder="1"/>
    <xf numFmtId="3" fontId="4" fillId="0" borderId="81" xfId="98" applyNumberFormat="1" applyFont="1" applyBorder="1"/>
    <xf numFmtId="3" fontId="138" fillId="0" borderId="0" xfId="98" applyNumberFormat="1" applyFont="1"/>
    <xf numFmtId="0" fontId="139" fillId="0" borderId="0" xfId="98" applyFont="1"/>
    <xf numFmtId="0" fontId="109" fillId="0" borderId="0" xfId="98" applyFont="1" applyBorder="1"/>
    <xf numFmtId="0" fontId="110" fillId="0" borderId="0" xfId="98" applyFont="1"/>
    <xf numFmtId="0" fontId="139" fillId="0" borderId="0" xfId="98" applyFont="1" applyBorder="1"/>
    <xf numFmtId="3" fontId="5" fillId="0" borderId="116" xfId="98" applyNumberFormat="1" applyFont="1" applyBorder="1"/>
    <xf numFmtId="3" fontId="4" fillId="0" borderId="78" xfId="98" applyNumberFormat="1" applyFont="1" applyFill="1" applyBorder="1"/>
    <xf numFmtId="0" fontId="5" fillId="0" borderId="0" xfId="0" applyFont="1" applyFill="1" applyBorder="1" applyAlignment="1">
      <alignment horizontal="left"/>
    </xf>
    <xf numFmtId="0" fontId="140" fillId="0" borderId="24" xfId="94" applyFont="1" applyBorder="1"/>
    <xf numFmtId="3" fontId="81" fillId="0" borderId="0" xfId="0" applyNumberFormat="1" applyFont="1" applyFill="1" applyBorder="1"/>
    <xf numFmtId="3" fontId="62" fillId="0" borderId="86" xfId="0" applyNumberFormat="1" applyFont="1" applyFill="1" applyBorder="1"/>
    <xf numFmtId="3" fontId="141" fillId="0" borderId="0" xfId="0" applyNumberFormat="1" applyFont="1" applyFill="1" applyBorder="1"/>
    <xf numFmtId="3" fontId="64" fillId="0" borderId="15" xfId="0" applyNumberFormat="1" applyFont="1" applyFill="1" applyBorder="1"/>
    <xf numFmtId="2" fontId="64" fillId="0" borderId="103" xfId="0" applyNumberFormat="1" applyFont="1" applyFill="1" applyBorder="1"/>
    <xf numFmtId="0" fontId="64" fillId="0" borderId="0" xfId="0" applyFont="1" applyFill="1" applyBorder="1"/>
    <xf numFmtId="3" fontId="63" fillId="0" borderId="0" xfId="0" applyNumberFormat="1" applyFont="1" applyFill="1" applyBorder="1" applyAlignment="1" applyProtection="1">
      <alignment horizontal="right"/>
    </xf>
    <xf numFmtId="3" fontId="64" fillId="0" borderId="15" xfId="0" applyNumberFormat="1" applyFont="1" applyFill="1" applyBorder="1" applyAlignment="1">
      <alignment horizontal="right"/>
    </xf>
    <xf numFmtId="4" fontId="64" fillId="0" borderId="103" xfId="0" applyNumberFormat="1" applyFont="1" applyFill="1" applyBorder="1" applyAlignment="1">
      <alignment horizontal="right"/>
    </xf>
    <xf numFmtId="0" fontId="64" fillId="0" borderId="37" xfId="0" applyFont="1" applyFill="1" applyBorder="1" applyProtection="1"/>
    <xf numFmtId="3" fontId="64" fillId="0" borderId="36" xfId="0" applyNumberFormat="1" applyFont="1" applyFill="1" applyBorder="1"/>
    <xf numFmtId="2" fontId="64" fillId="0" borderId="68" xfId="0" applyNumberFormat="1" applyFont="1" applyFill="1" applyBorder="1"/>
    <xf numFmtId="0" fontId="64" fillId="0" borderId="40" xfId="0" applyFont="1" applyFill="1" applyBorder="1"/>
    <xf numFmtId="3" fontId="63" fillId="0" borderId="37" xfId="0" applyNumberFormat="1" applyFont="1" applyFill="1" applyBorder="1"/>
    <xf numFmtId="4" fontId="64" fillId="0" borderId="68" xfId="0" applyNumberFormat="1" applyFont="1" applyFill="1" applyBorder="1" applyAlignment="1">
      <alignment horizontal="right"/>
    </xf>
    <xf numFmtId="3" fontId="64" fillId="0" borderId="36" xfId="0" applyNumberFormat="1" applyFont="1" applyFill="1" applyBorder="1" applyProtection="1"/>
    <xf numFmtId="3" fontId="141" fillId="0" borderId="37" xfId="0" applyNumberFormat="1" applyFont="1" applyFill="1" applyBorder="1" applyAlignment="1" applyProtection="1">
      <alignment horizontal="left"/>
    </xf>
    <xf numFmtId="0" fontId="64" fillId="0" borderId="37" xfId="0" applyFont="1" applyFill="1" applyBorder="1"/>
    <xf numFmtId="3" fontId="64" fillId="0" borderId="86" xfId="0" applyNumberFormat="1" applyFont="1" applyFill="1" applyBorder="1"/>
    <xf numFmtId="3" fontId="64" fillId="0" borderId="37" xfId="0" applyNumberFormat="1" applyFont="1" applyFill="1" applyBorder="1"/>
    <xf numFmtId="0" fontId="64" fillId="0" borderId="0" xfId="0" applyFont="1" applyFill="1" applyBorder="1" applyProtection="1"/>
    <xf numFmtId="3" fontId="64" fillId="0" borderId="37" xfId="0" applyNumberFormat="1" applyFont="1" applyFill="1" applyBorder="1" applyAlignment="1" applyProtection="1">
      <alignment horizontal="left"/>
    </xf>
    <xf numFmtId="0" fontId="63" fillId="0" borderId="0" xfId="0" applyFont="1" applyFill="1" applyBorder="1"/>
    <xf numFmtId="0" fontId="64" fillId="0" borderId="50" xfId="0" applyFont="1" applyFill="1" applyBorder="1"/>
    <xf numFmtId="3" fontId="64" fillId="0" borderId="0" xfId="0" applyNumberFormat="1" applyFont="1" applyFill="1" applyBorder="1"/>
    <xf numFmtId="3" fontId="64" fillId="0" borderId="0" xfId="0" applyNumberFormat="1" applyFont="1" applyFill="1"/>
    <xf numFmtId="3" fontId="64" fillId="0" borderId="52" xfId="0" applyNumberFormat="1" applyFont="1" applyFill="1" applyBorder="1"/>
    <xf numFmtId="4" fontId="64" fillId="0" borderId="84" xfId="0" applyNumberFormat="1" applyFont="1" applyFill="1" applyBorder="1" applyAlignment="1">
      <alignment horizontal="right"/>
    </xf>
    <xf numFmtId="0" fontId="80" fillId="0" borderId="18" xfId="0" applyFont="1" applyFill="1" applyBorder="1" applyAlignment="1" applyProtection="1"/>
    <xf numFmtId="3" fontId="73" fillId="0" borderId="0" xfId="0" applyNumberFormat="1" applyFont="1" applyFill="1" applyBorder="1"/>
    <xf numFmtId="0" fontId="80" fillId="0" borderId="40" xfId="0" applyFont="1" applyFill="1" applyBorder="1" applyAlignment="1" applyProtection="1"/>
    <xf numFmtId="0" fontId="80" fillId="0" borderId="37" xfId="0" applyFont="1" applyFill="1" applyBorder="1" applyProtection="1"/>
    <xf numFmtId="0" fontId="80" fillId="0" borderId="40" xfId="0" applyFont="1" applyFill="1" applyBorder="1"/>
    <xf numFmtId="0" fontId="80" fillId="0" borderId="37" xfId="0" applyFont="1" applyFill="1" applyBorder="1"/>
    <xf numFmtId="3" fontId="80" fillId="0" borderId="18" xfId="0" applyNumberFormat="1" applyFont="1" applyFill="1" applyBorder="1" applyAlignment="1">
      <alignment horizontal="left"/>
    </xf>
    <xf numFmtId="3" fontId="80" fillId="0" borderId="0" xfId="0" applyNumberFormat="1" applyFont="1" applyFill="1" applyBorder="1" applyAlignment="1">
      <alignment horizontal="left"/>
    </xf>
    <xf numFmtId="3" fontId="80" fillId="0" borderId="0" xfId="0" applyNumberFormat="1" applyFont="1" applyFill="1" applyBorder="1" applyAlignment="1">
      <alignment horizontal="centerContinuous"/>
    </xf>
    <xf numFmtId="3" fontId="80" fillId="0" borderId="40" xfId="0" applyNumberFormat="1" applyFont="1" applyFill="1" applyBorder="1" applyAlignment="1">
      <alignment horizontal="left"/>
    </xf>
    <xf numFmtId="3" fontId="80" fillId="0" borderId="37" xfId="0" applyNumberFormat="1" applyFont="1" applyFill="1" applyBorder="1" applyAlignment="1">
      <alignment horizontal="left"/>
    </xf>
    <xf numFmtId="3" fontId="80" fillId="0" borderId="37" xfId="0" applyNumberFormat="1" applyFont="1" applyFill="1" applyBorder="1" applyAlignment="1">
      <alignment horizontal="centerContinuous"/>
    </xf>
    <xf numFmtId="0" fontId="80" fillId="0" borderId="40" xfId="0" applyFont="1" applyFill="1" applyBorder="1" applyAlignment="1">
      <alignment horizontal="left"/>
    </xf>
    <xf numFmtId="3" fontId="80" fillId="0" borderId="37" xfId="0" applyNumberFormat="1" applyFont="1" applyFill="1" applyBorder="1" applyAlignment="1">
      <alignment horizontal="right"/>
    </xf>
    <xf numFmtId="0" fontId="75" fillId="0" borderId="0" xfId="0" applyFont="1" applyFill="1" applyBorder="1"/>
    <xf numFmtId="3" fontId="75" fillId="0" borderId="0" xfId="0" applyNumberFormat="1" applyFont="1" applyFill="1" applyBorder="1" applyAlignment="1" applyProtection="1">
      <alignment horizontal="right"/>
    </xf>
    <xf numFmtId="3" fontId="75" fillId="0" borderId="37" xfId="0" applyNumberFormat="1" applyFont="1" applyFill="1" applyBorder="1" applyAlignment="1" applyProtection="1">
      <alignment horizontal="right"/>
    </xf>
    <xf numFmtId="3" fontId="75" fillId="0" borderId="94" xfId="0" applyNumberFormat="1" applyFont="1" applyFill="1" applyBorder="1" applyAlignment="1" applyProtection="1">
      <alignment horizontal="right"/>
    </xf>
    <xf numFmtId="0" fontId="80" fillId="0" borderId="0" xfId="0" applyFont="1" applyFill="1" applyBorder="1"/>
    <xf numFmtId="3" fontId="80" fillId="0" borderId="0" xfId="0" applyNumberFormat="1" applyFont="1" applyFill="1" applyBorder="1" applyAlignment="1" applyProtection="1">
      <alignment horizontal="left"/>
    </xf>
    <xf numFmtId="3" fontId="80" fillId="0" borderId="37" xfId="0" applyNumberFormat="1" applyFont="1" applyFill="1" applyBorder="1" applyAlignment="1" applyProtection="1">
      <alignment horizontal="left"/>
    </xf>
    <xf numFmtId="3" fontId="80" fillId="0" borderId="37" xfId="0" applyNumberFormat="1" applyFont="1" applyFill="1" applyBorder="1"/>
    <xf numFmtId="0" fontId="75" fillId="0" borderId="49" xfId="0" applyFont="1" applyFill="1" applyBorder="1"/>
    <xf numFmtId="3" fontId="75" fillId="0" borderId="24" xfId="0" applyNumberFormat="1" applyFont="1" applyFill="1" applyBorder="1" applyAlignment="1" applyProtection="1">
      <alignment horizontal="right"/>
    </xf>
    <xf numFmtId="3" fontId="75" fillId="0" borderId="94" xfId="0" applyNumberFormat="1" applyFont="1" applyFill="1" applyBorder="1" applyAlignment="1">
      <alignment horizontal="left"/>
    </xf>
    <xf numFmtId="3" fontId="75" fillId="0" borderId="46" xfId="0" applyNumberFormat="1" applyFont="1" applyFill="1" applyBorder="1" applyAlignment="1">
      <alignment horizontal="left"/>
    </xf>
    <xf numFmtId="3" fontId="75" fillId="0" borderId="63" xfId="0" applyNumberFormat="1" applyFont="1" applyFill="1" applyBorder="1" applyAlignment="1"/>
    <xf numFmtId="3" fontId="75" fillId="0" borderId="47" xfId="0" applyNumberFormat="1" applyFont="1" applyFill="1" applyBorder="1" applyAlignment="1">
      <alignment horizontal="left"/>
    </xf>
    <xf numFmtId="3" fontId="75" fillId="0" borderId="37" xfId="0" applyNumberFormat="1" applyFont="1" applyFill="1" applyBorder="1" applyAlignment="1">
      <alignment horizontal="left"/>
    </xf>
    <xf numFmtId="3" fontId="75" fillId="30" borderId="37" xfId="0" applyNumberFormat="1" applyFont="1" applyFill="1" applyBorder="1" applyAlignment="1">
      <alignment horizontal="left"/>
    </xf>
    <xf numFmtId="3" fontId="75" fillId="0" borderId="0" xfId="0" applyNumberFormat="1" applyFont="1" applyFill="1" applyBorder="1" applyAlignment="1">
      <alignment horizontal="left"/>
    </xf>
    <xf numFmtId="3" fontId="73" fillId="0" borderId="94" xfId="0" applyNumberFormat="1" applyFont="1" applyFill="1" applyBorder="1" applyAlignment="1">
      <alignment horizontal="centerContinuous"/>
    </xf>
    <xf numFmtId="3" fontId="75" fillId="0" borderId="94" xfId="0" applyNumberFormat="1" applyFont="1" applyFill="1" applyBorder="1" applyAlignment="1">
      <alignment horizontal="centerContinuous"/>
    </xf>
    <xf numFmtId="3" fontId="75" fillId="0" borderId="23" xfId="0" applyNumberFormat="1" applyFont="1" applyFill="1" applyBorder="1" applyAlignment="1">
      <alignment horizontal="left"/>
    </xf>
    <xf numFmtId="0" fontId="80" fillId="0" borderId="19" xfId="0" applyFont="1" applyFill="1" applyBorder="1" applyAlignment="1" applyProtection="1">
      <alignment horizontal="left"/>
    </xf>
    <xf numFmtId="3" fontId="80" fillId="0" borderId="16" xfId="0" applyNumberFormat="1" applyFont="1" applyFill="1" applyBorder="1"/>
    <xf numFmtId="3" fontId="73" fillId="0" borderId="20" xfId="0" applyNumberFormat="1" applyFont="1" applyFill="1" applyBorder="1" applyAlignment="1">
      <alignment horizontal="centerContinuous"/>
    </xf>
    <xf numFmtId="3" fontId="58" fillId="0" borderId="46" xfId="0" applyNumberFormat="1" applyFont="1" applyFill="1" applyBorder="1" applyAlignment="1">
      <alignment horizontal="left"/>
    </xf>
    <xf numFmtId="0" fontId="58" fillId="27" borderId="45" xfId="0" applyFont="1" applyFill="1" applyBorder="1" applyAlignment="1">
      <alignment horizontal="center"/>
    </xf>
    <xf numFmtId="0" fontId="58" fillId="27" borderId="63" xfId="0" applyFont="1" applyFill="1" applyBorder="1" applyAlignment="1">
      <alignment horizontal="center"/>
    </xf>
    <xf numFmtId="3" fontId="62" fillId="0" borderId="46" xfId="0" applyNumberFormat="1" applyFont="1" applyFill="1" applyBorder="1"/>
    <xf numFmtId="3" fontId="58" fillId="0" borderId="16" xfId="0" applyNumberFormat="1" applyFont="1" applyFill="1" applyBorder="1" applyAlignment="1">
      <alignment horizontal="left"/>
    </xf>
    <xf numFmtId="0" fontId="58" fillId="0" borderId="43" xfId="0" applyFont="1" applyBorder="1" applyAlignment="1">
      <alignment horizontal="center"/>
    </xf>
    <xf numFmtId="0" fontId="58" fillId="27" borderId="61" xfId="0" applyFont="1" applyFill="1" applyBorder="1" applyAlignment="1">
      <alignment horizontal="center"/>
    </xf>
    <xf numFmtId="0" fontId="58" fillId="27" borderId="100" xfId="0" applyFont="1" applyFill="1" applyBorder="1" applyAlignment="1">
      <alignment horizontal="center"/>
    </xf>
    <xf numFmtId="3" fontId="62" fillId="0" borderId="16" xfId="0" applyNumberFormat="1" applyFont="1" applyFill="1" applyBorder="1"/>
    <xf numFmtId="0" fontId="58" fillId="0" borderId="92" xfId="0" applyFont="1" applyFill="1" applyBorder="1" applyProtection="1"/>
    <xf numFmtId="3" fontId="58" fillId="0" borderId="92" xfId="0" applyNumberFormat="1" applyFont="1" applyFill="1" applyBorder="1"/>
    <xf numFmtId="3" fontId="58" fillId="0" borderId="102" xfId="0" applyNumberFormat="1" applyFont="1" applyFill="1" applyBorder="1"/>
    <xf numFmtId="3" fontId="58" fillId="0" borderId="101" xfId="0" applyNumberFormat="1" applyFont="1" applyFill="1" applyBorder="1"/>
    <xf numFmtId="3" fontId="75" fillId="0" borderId="94" xfId="0" applyNumberFormat="1" applyFont="1" applyFill="1" applyBorder="1"/>
    <xf numFmtId="3" fontId="58" fillId="0" borderId="22" xfId="0" applyNumberFormat="1" applyFont="1" applyFill="1" applyBorder="1" applyAlignment="1">
      <alignment horizontal="centerContinuous"/>
    </xf>
    <xf numFmtId="3" fontId="58" fillId="0" borderId="44" xfId="0" applyNumberFormat="1" applyFont="1" applyFill="1" applyBorder="1" applyAlignment="1">
      <alignment horizontal="center"/>
    </xf>
    <xf numFmtId="3" fontId="58" fillId="0" borderId="16" xfId="0" applyNumberFormat="1" applyFont="1" applyFill="1" applyBorder="1" applyAlignment="1">
      <alignment horizontal="centerContinuous"/>
    </xf>
    <xf numFmtId="3" fontId="58" fillId="0" borderId="16" xfId="0" applyNumberFormat="1" applyFont="1" applyFill="1" applyBorder="1" applyAlignment="1">
      <alignment horizontal="center"/>
    </xf>
    <xf numFmtId="3" fontId="58" fillId="0" borderId="0" xfId="0" applyNumberFormat="1" applyFont="1" applyFill="1" applyBorder="1" applyAlignment="1">
      <alignment horizontal="center"/>
    </xf>
    <xf numFmtId="4" fontId="62" fillId="0" borderId="0" xfId="0" applyNumberFormat="1" applyFont="1" applyFill="1" applyBorder="1" applyAlignment="1">
      <alignment horizontal="right"/>
    </xf>
    <xf numFmtId="4" fontId="58" fillId="27" borderId="27" xfId="0" applyNumberFormat="1" applyFont="1" applyFill="1" applyBorder="1" applyAlignment="1">
      <alignment horizontal="center"/>
    </xf>
    <xf numFmtId="3" fontId="58" fillId="0" borderId="0" xfId="0" applyNumberFormat="1" applyFont="1" applyFill="1" applyBorder="1" applyAlignment="1">
      <alignment horizontal="left"/>
    </xf>
    <xf numFmtId="0" fontId="58" fillId="0" borderId="55" xfId="0" applyFont="1" applyBorder="1" applyAlignment="1">
      <alignment horizontal="center"/>
    </xf>
    <xf numFmtId="0" fontId="58" fillId="27" borderId="15" xfId="0" applyFont="1" applyFill="1" applyBorder="1" applyAlignment="1">
      <alignment horizontal="center"/>
    </xf>
    <xf numFmtId="4" fontId="58" fillId="27" borderId="59" xfId="0" applyNumberFormat="1" applyFont="1" applyFill="1" applyBorder="1" applyAlignment="1">
      <alignment horizontal="center"/>
    </xf>
    <xf numFmtId="0" fontId="63" fillId="0" borderId="61" xfId="0" applyFont="1" applyFill="1" applyBorder="1" applyAlignment="1">
      <alignment horizontal="center"/>
    </xf>
    <xf numFmtId="3" fontId="58" fillId="0" borderId="16" xfId="0" applyNumberFormat="1" applyFont="1" applyFill="1" applyBorder="1" applyAlignment="1" applyProtection="1">
      <alignment horizontal="right"/>
    </xf>
    <xf numFmtId="4" fontId="63" fillId="0" borderId="84" xfId="0" applyNumberFormat="1" applyFont="1" applyFill="1" applyBorder="1" applyAlignment="1">
      <alignment horizontal="center"/>
    </xf>
    <xf numFmtId="0" fontId="63" fillId="0" borderId="86" xfId="0" applyFont="1" applyFill="1" applyBorder="1" applyAlignment="1">
      <alignment horizontal="center"/>
    </xf>
    <xf numFmtId="3" fontId="58" fillId="0" borderId="0" xfId="0" applyNumberFormat="1" applyFont="1" applyFill="1" applyBorder="1" applyAlignment="1">
      <alignment horizontal="centerContinuous"/>
    </xf>
    <xf numFmtId="0" fontId="63" fillId="0" borderId="0" xfId="0" applyFont="1" applyFill="1" applyBorder="1" applyAlignment="1">
      <alignment horizontal="center"/>
    </xf>
    <xf numFmtId="0" fontId="62" fillId="0" borderId="0" xfId="77" applyFont="1" applyFill="1" applyBorder="1"/>
    <xf numFmtId="3" fontId="62" fillId="0" borderId="0" xfId="0" applyNumberFormat="1" applyFont="1" applyFill="1" applyBorder="1" applyAlignment="1">
      <alignment horizontal="center"/>
    </xf>
    <xf numFmtId="3" fontId="58" fillId="0" borderId="20" xfId="0" applyNumberFormat="1" applyFont="1" applyFill="1" applyBorder="1" applyAlignment="1"/>
    <xf numFmtId="3" fontId="58" fillId="0" borderId="94" xfId="0" applyNumberFormat="1" applyFont="1" applyFill="1" applyBorder="1" applyAlignment="1"/>
    <xf numFmtId="3" fontId="58" fillId="0" borderId="0" xfId="0" applyNumberFormat="1" applyFont="1" applyFill="1" applyBorder="1" applyAlignment="1"/>
    <xf numFmtId="3" fontId="58" fillId="0" borderId="46" xfId="0" applyNumberFormat="1" applyFont="1" applyFill="1" applyBorder="1" applyAlignment="1"/>
    <xf numFmtId="3" fontId="58" fillId="0" borderId="46" xfId="0" applyNumberFormat="1" applyFont="1" applyFill="1" applyBorder="1"/>
    <xf numFmtId="3" fontId="58" fillId="0" borderId="45" xfId="0" applyNumberFormat="1" applyFont="1" applyFill="1" applyBorder="1" applyAlignment="1"/>
    <xf numFmtId="3" fontId="58" fillId="0" borderId="47" xfId="0" applyNumberFormat="1" applyFont="1" applyFill="1" applyBorder="1" applyAlignment="1"/>
    <xf numFmtId="3" fontId="58" fillId="0" borderId="27" xfId="0" applyNumberFormat="1" applyFont="1" applyFill="1" applyBorder="1"/>
    <xf numFmtId="0" fontId="62" fillId="0" borderId="37" xfId="77" applyFont="1" applyFill="1" applyBorder="1" applyAlignment="1">
      <alignment horizontal="justify" wrapText="1"/>
    </xf>
    <xf numFmtId="3" fontId="81" fillId="0" borderId="0" xfId="0" applyNumberFormat="1" applyFont="1" applyFill="1" applyBorder="1" applyAlignment="1">
      <alignment horizontal="centerContinuous"/>
    </xf>
    <xf numFmtId="3" fontId="58" fillId="0" borderId="0" xfId="0" applyNumberFormat="1" applyFont="1"/>
    <xf numFmtId="3" fontId="62" fillId="0" borderId="0" xfId="0" applyNumberFormat="1" applyFont="1"/>
    <xf numFmtId="3" fontId="65" fillId="0" borderId="0" xfId="0" applyNumberFormat="1" applyFont="1" applyFill="1" applyBorder="1"/>
    <xf numFmtId="3" fontId="65" fillId="0" borderId="0" xfId="0" applyNumberFormat="1" applyFont="1" applyFill="1"/>
    <xf numFmtId="3" fontId="62" fillId="0" borderId="0" xfId="0" applyNumberFormat="1" applyFont="1" applyFill="1" applyBorder="1" applyAlignment="1">
      <alignment horizontal="right"/>
    </xf>
    <xf numFmtId="0" fontId="58" fillId="27" borderId="46" xfId="0" applyFont="1" applyFill="1" applyBorder="1" applyAlignment="1">
      <alignment horizontal="center"/>
    </xf>
    <xf numFmtId="0" fontId="58" fillId="27" borderId="0" xfId="0" applyFont="1" applyFill="1" applyBorder="1" applyAlignment="1">
      <alignment horizontal="center"/>
    </xf>
    <xf numFmtId="0" fontId="63" fillId="0" borderId="16" xfId="0" applyFont="1" applyFill="1" applyBorder="1" applyAlignment="1">
      <alignment horizontal="center"/>
    </xf>
    <xf numFmtId="0" fontId="58" fillId="0" borderId="18" xfId="0" applyFont="1" applyFill="1" applyBorder="1" applyAlignment="1" applyProtection="1">
      <alignment horizontal="left"/>
    </xf>
    <xf numFmtId="3" fontId="58" fillId="0" borderId="25" xfId="0" applyNumberFormat="1" applyFont="1" applyFill="1" applyBorder="1" applyAlignment="1"/>
    <xf numFmtId="0" fontId="62" fillId="0" borderId="37" xfId="77" applyFont="1" applyFill="1" applyBorder="1" applyAlignment="1">
      <alignment horizontal="left"/>
    </xf>
    <xf numFmtId="0" fontId="62" fillId="0" borderId="37" xfId="0" applyFont="1" applyFill="1" applyBorder="1" applyAlignment="1">
      <alignment horizontal="left"/>
    </xf>
    <xf numFmtId="0" fontId="4" fillId="0" borderId="23" xfId="0" applyFont="1" applyFill="1" applyBorder="1" applyAlignment="1">
      <alignment horizontal="center"/>
    </xf>
    <xf numFmtId="3" fontId="92" fillId="0" borderId="0" xfId="0" applyNumberFormat="1" applyFont="1" applyFill="1" applyBorder="1"/>
    <xf numFmtId="3" fontId="33" fillId="0" borderId="0" xfId="0" applyNumberFormat="1" applyFont="1" applyFill="1" applyBorder="1"/>
    <xf numFmtId="3" fontId="89" fillId="0" borderId="0" xfId="0" applyNumberFormat="1" applyFont="1" applyFill="1" applyBorder="1"/>
    <xf numFmtId="3" fontId="102" fillId="0" borderId="0" xfId="0" applyNumberFormat="1" applyFont="1" applyFill="1" applyBorder="1"/>
    <xf numFmtId="3" fontId="35" fillId="0" borderId="0" xfId="0" quotePrefix="1" applyNumberFormat="1" applyFont="1" applyFill="1" applyBorder="1"/>
    <xf numFmtId="3" fontId="102" fillId="0" borderId="0" xfId="0" applyNumberFormat="1" applyFont="1" applyFill="1" applyBorder="1" applyAlignment="1">
      <alignment horizontal="right"/>
    </xf>
    <xf numFmtId="3" fontId="142" fillId="0" borderId="0" xfId="0" applyNumberFormat="1" applyFont="1" applyFill="1" applyBorder="1"/>
    <xf numFmtId="4" fontId="62" fillId="0" borderId="108" xfId="0" applyNumberFormat="1" applyFont="1" applyFill="1" applyBorder="1" applyProtection="1"/>
    <xf numFmtId="4" fontId="62" fillId="0" borderId="70" xfId="0" applyNumberFormat="1" applyFont="1" applyFill="1" applyBorder="1" applyProtection="1"/>
    <xf numFmtId="4" fontId="58" fillId="0" borderId="77" xfId="0" applyNumberFormat="1" applyFont="1" applyFill="1" applyBorder="1" applyProtection="1"/>
    <xf numFmtId="4" fontId="58" fillId="0" borderId="69" xfId="0" applyNumberFormat="1" applyFont="1" applyFill="1" applyBorder="1" applyProtection="1"/>
    <xf numFmtId="4" fontId="58" fillId="0" borderId="70" xfId="0" applyNumberFormat="1" applyFont="1" applyFill="1" applyBorder="1" applyProtection="1"/>
    <xf numFmtId="0" fontId="5" fillId="0" borderId="40" xfId="0" applyFont="1" applyFill="1" applyBorder="1" applyAlignment="1">
      <alignment horizontal="left" wrapText="1"/>
    </xf>
    <xf numFmtId="0" fontId="71" fillId="28" borderId="50" xfId="0" applyFont="1" applyFill="1" applyBorder="1" applyAlignment="1"/>
    <xf numFmtId="0" fontId="71" fillId="28" borderId="143" xfId="0" applyFont="1" applyFill="1" applyBorder="1" applyAlignment="1"/>
    <xf numFmtId="0" fontId="5" fillId="28" borderId="37" xfId="0" applyFont="1" applyFill="1" applyBorder="1" applyAlignment="1"/>
    <xf numFmtId="0" fontId="4" fillId="0" borderId="79" xfId="77" applyFont="1" applyFill="1" applyBorder="1" applyAlignment="1">
      <alignment horizontal="justify"/>
    </xf>
    <xf numFmtId="0" fontId="37" fillId="0" borderId="105" xfId="77" applyFont="1" applyFill="1" applyBorder="1" applyAlignment="1">
      <alignment horizontal="left"/>
    </xf>
    <xf numFmtId="3" fontId="56" fillId="0" borderId="90" xfId="0" applyNumberFormat="1" applyFont="1" applyFill="1" applyBorder="1" applyAlignment="1">
      <alignment horizontal="right"/>
    </xf>
    <xf numFmtId="4" fontId="6" fillId="0" borderId="90" xfId="77" applyNumberFormat="1" applyFont="1" applyFill="1" applyBorder="1" applyAlignment="1">
      <alignment horizontal="right"/>
    </xf>
    <xf numFmtId="0" fontId="5" fillId="0" borderId="85" xfId="77" applyFont="1" applyFill="1" applyBorder="1" applyAlignment="1">
      <alignment horizontal="left" wrapText="1"/>
    </xf>
    <xf numFmtId="3" fontId="56" fillId="0" borderId="75" xfId="0" applyNumberFormat="1" applyFont="1" applyFill="1" applyBorder="1" applyAlignment="1">
      <alignment horizontal="right"/>
    </xf>
    <xf numFmtId="3" fontId="34" fillId="0" borderId="75" xfId="0" applyNumberFormat="1" applyFont="1" applyFill="1" applyBorder="1" applyAlignment="1">
      <alignment horizontal="right"/>
    </xf>
    <xf numFmtId="4" fontId="5" fillId="0" borderId="75" xfId="77" applyNumberFormat="1" applyFont="1" applyFill="1" applyBorder="1" applyAlignment="1">
      <alignment horizontal="right"/>
    </xf>
    <xf numFmtId="0" fontId="4" fillId="0" borderId="24" xfId="77" applyFont="1" applyFill="1" applyBorder="1" applyAlignment="1">
      <alignment horizontal="justify"/>
    </xf>
    <xf numFmtId="2" fontId="5" fillId="0" borderId="72" xfId="77" applyNumberFormat="1" applyFont="1" applyFill="1" applyBorder="1"/>
    <xf numFmtId="3" fontId="4" fillId="0" borderId="77" xfId="77" applyNumberFormat="1" applyFont="1" applyFill="1" applyBorder="1"/>
    <xf numFmtId="0" fontId="4" fillId="0" borderId="20" xfId="77" applyFont="1" applyFill="1" applyBorder="1" applyAlignment="1">
      <alignment horizontal="left"/>
    </xf>
    <xf numFmtId="0" fontId="4" fillId="0" borderId="81" xfId="77" applyFont="1" applyFill="1" applyBorder="1" applyAlignment="1">
      <alignment horizontal="left"/>
    </xf>
    <xf numFmtId="4" fontId="4" fillId="0" borderId="77" xfId="77" applyNumberFormat="1" applyFont="1" applyFill="1" applyBorder="1"/>
    <xf numFmtId="3" fontId="8" fillId="0" borderId="0" xfId="92" applyNumberFormat="1" applyFont="1"/>
    <xf numFmtId="0" fontId="109" fillId="0" borderId="77" xfId="78" applyFont="1" applyBorder="1"/>
    <xf numFmtId="0" fontId="108" fillId="0" borderId="94" xfId="78" applyFont="1" applyBorder="1"/>
    <xf numFmtId="3" fontId="108" fillId="0" borderId="77" xfId="78" applyNumberFormat="1" applyFont="1" applyBorder="1"/>
    <xf numFmtId="0" fontId="4" fillId="0" borderId="0" xfId="77" applyFont="1" applyFill="1" applyBorder="1" applyAlignment="1">
      <alignment horizontal="right"/>
    </xf>
    <xf numFmtId="0" fontId="4" fillId="0" borderId="46" xfId="77" applyFont="1" applyFill="1" applyBorder="1"/>
    <xf numFmtId="0" fontId="35" fillId="0" borderId="92" xfId="77" applyFont="1" applyFill="1" applyBorder="1"/>
    <xf numFmtId="3" fontId="4" fillId="0" borderId="19" xfId="77" applyNumberFormat="1" applyFont="1" applyFill="1" applyBorder="1" applyAlignment="1">
      <alignment horizontal="right"/>
    </xf>
    <xf numFmtId="3" fontId="4" fillId="0" borderId="61" xfId="77" applyNumberFormat="1" applyFont="1" applyFill="1" applyBorder="1" applyAlignment="1">
      <alignment horizontal="right"/>
    </xf>
    <xf numFmtId="3" fontId="4" fillId="0" borderId="28" xfId="77" applyNumberFormat="1" applyFont="1" applyFill="1" applyBorder="1" applyAlignment="1">
      <alignment horizontal="right"/>
    </xf>
    <xf numFmtId="3" fontId="4" fillId="0" borderId="44" xfId="77" applyNumberFormat="1" applyFont="1" applyFill="1" applyBorder="1" applyAlignment="1">
      <alignment horizontal="right"/>
    </xf>
    <xf numFmtId="3" fontId="5" fillId="0" borderId="47" xfId="77" applyNumberFormat="1" applyFont="1" applyFill="1" applyBorder="1" applyAlignment="1">
      <alignment horizontal="center"/>
    </xf>
    <xf numFmtId="3" fontId="5" fillId="0" borderId="29" xfId="77" applyNumberFormat="1" applyFont="1" applyFill="1" applyBorder="1" applyAlignment="1">
      <alignment horizontal="right"/>
    </xf>
    <xf numFmtId="3" fontId="5" fillId="0" borderId="47" xfId="77" applyNumberFormat="1" applyFont="1" applyFill="1" applyBorder="1" applyAlignment="1">
      <alignment horizontal="right"/>
    </xf>
    <xf numFmtId="3" fontId="5" fillId="0" borderId="27" xfId="77" applyNumberFormat="1" applyFont="1" applyFill="1" applyBorder="1" applyAlignment="1">
      <alignment horizontal="right"/>
    </xf>
    <xf numFmtId="3" fontId="5" fillId="0" borderId="59" xfId="77" applyNumberFormat="1" applyFont="1" applyFill="1" applyBorder="1" applyAlignment="1">
      <alignment horizontal="right"/>
    </xf>
    <xf numFmtId="3" fontId="4" fillId="0" borderId="54" xfId="77" applyNumberFormat="1" applyFont="1" applyFill="1" applyBorder="1" applyAlignment="1">
      <alignment horizontal="right"/>
    </xf>
    <xf numFmtId="3" fontId="34" fillId="0" borderId="49" xfId="0" applyNumberFormat="1" applyFont="1" applyFill="1" applyBorder="1" applyProtection="1"/>
    <xf numFmtId="3" fontId="5" fillId="0" borderId="58" xfId="0" applyNumberFormat="1" applyFont="1" applyFill="1" applyBorder="1"/>
    <xf numFmtId="0" fontId="143" fillId="0" borderId="0" xfId="77" applyFont="1" applyFill="1"/>
    <xf numFmtId="3" fontId="143" fillId="0" borderId="135" xfId="0" applyNumberFormat="1" applyFont="1" applyFill="1" applyBorder="1"/>
    <xf numFmtId="0" fontId="144" fillId="0" borderId="0" xfId="101" applyFont="1"/>
    <xf numFmtId="0" fontId="145" fillId="0" borderId="0" xfId="102" applyFont="1"/>
    <xf numFmtId="0" fontId="144" fillId="0" borderId="0" xfId="101" applyFont="1" applyBorder="1"/>
    <xf numFmtId="0" fontId="78" fillId="0" borderId="0" xfId="101" applyFont="1" applyBorder="1" applyAlignment="1">
      <alignment horizontal="center"/>
    </xf>
    <xf numFmtId="0" fontId="15" fillId="0" borderId="0" xfId="101" applyFont="1"/>
    <xf numFmtId="0" fontId="119" fillId="0" borderId="0" xfId="102"/>
    <xf numFmtId="0" fontId="144" fillId="0" borderId="83" xfId="101" applyFont="1" applyBorder="1"/>
    <xf numFmtId="0" fontId="147" fillId="0" borderId="0" xfId="102" applyFont="1"/>
    <xf numFmtId="3" fontId="144" fillId="0" borderId="69" xfId="103" applyNumberFormat="1" applyFont="1" applyBorder="1" applyAlignment="1">
      <alignment horizontal="center"/>
    </xf>
    <xf numFmtId="4" fontId="144" fillId="0" borderId="86" xfId="101" applyNumberFormat="1" applyFont="1" applyBorder="1" applyAlignment="1">
      <alignment horizontal="center"/>
    </xf>
    <xf numFmtId="3" fontId="144" fillId="0" borderId="70" xfId="103" applyNumberFormat="1" applyFont="1" applyBorder="1" applyAlignment="1">
      <alignment horizontal="left"/>
    </xf>
    <xf numFmtId="4" fontId="58" fillId="0" borderId="83" xfId="101" applyNumberFormat="1" applyFont="1" applyBorder="1" applyAlignment="1">
      <alignment horizontal="justify"/>
    </xf>
    <xf numFmtId="4" fontId="58" fillId="0" borderId="53" xfId="101" applyNumberFormat="1" applyFont="1" applyBorder="1" applyAlignment="1">
      <alignment horizontal="justify"/>
    </xf>
    <xf numFmtId="0" fontId="58" fillId="0" borderId="0" xfId="101" applyFont="1" applyAlignment="1">
      <alignment horizontal="justify"/>
    </xf>
    <xf numFmtId="0" fontId="119" fillId="0" borderId="0" xfId="102" applyAlignment="1">
      <alignment horizontal="justify"/>
    </xf>
    <xf numFmtId="4" fontId="146" fillId="0" borderId="69" xfId="101" applyNumberFormat="1" applyFont="1" applyBorder="1"/>
    <xf numFmtId="3" fontId="146" fillId="0" borderId="86" xfId="101" applyNumberFormat="1" applyFont="1" applyBorder="1"/>
    <xf numFmtId="4" fontId="146" fillId="0" borderId="86" xfId="101" applyNumberFormat="1" applyFont="1" applyBorder="1"/>
    <xf numFmtId="0" fontId="58" fillId="0" borderId="0" xfId="101" applyFont="1"/>
    <xf numFmtId="4" fontId="146" fillId="0" borderId="78" xfId="101" applyNumberFormat="1" applyFont="1" applyBorder="1"/>
    <xf numFmtId="3" fontId="146" fillId="0" borderId="89" xfId="101" applyNumberFormat="1" applyFont="1" applyBorder="1"/>
    <xf numFmtId="4" fontId="146" fillId="0" borderId="77" xfId="101" applyNumberFormat="1" applyFont="1" applyBorder="1"/>
    <xf numFmtId="3" fontId="146" fillId="0" borderId="77" xfId="101" applyNumberFormat="1" applyFont="1" applyBorder="1"/>
    <xf numFmtId="0" fontId="58" fillId="0" borderId="0" xfId="101" applyFont="1" applyFill="1"/>
    <xf numFmtId="0" fontId="119" fillId="0" borderId="0" xfId="102" applyFill="1"/>
    <xf numFmtId="3" fontId="146" fillId="0" borderId="81" xfId="101" applyNumberFormat="1" applyFont="1" applyBorder="1"/>
    <xf numFmtId="4" fontId="146" fillId="0" borderId="101" xfId="101" applyNumberFormat="1" applyFont="1" applyBorder="1"/>
    <xf numFmtId="3" fontId="146" fillId="0" borderId="101" xfId="101" applyNumberFormat="1" applyFont="1" applyBorder="1"/>
    <xf numFmtId="4" fontId="146" fillId="0" borderId="89" xfId="101" applyNumberFormat="1" applyFont="1" applyBorder="1"/>
    <xf numFmtId="4" fontId="146" fillId="0" borderId="81" xfId="101" applyNumberFormat="1" applyFont="1" applyBorder="1"/>
    <xf numFmtId="4" fontId="146" fillId="0" borderId="53" xfId="101" applyNumberFormat="1" applyFont="1" applyBorder="1"/>
    <xf numFmtId="4" fontId="146" fillId="0" borderId="116" xfId="101" applyNumberFormat="1" applyFont="1" applyBorder="1"/>
    <xf numFmtId="4" fontId="146" fillId="0" borderId="84" xfId="101" applyNumberFormat="1" applyFont="1" applyBorder="1"/>
    <xf numFmtId="3" fontId="146" fillId="0" borderId="84" xfId="101" applyNumberFormat="1" applyFont="1" applyBorder="1"/>
    <xf numFmtId="49" fontId="148" fillId="0" borderId="0" xfId="101" applyNumberFormat="1" applyFont="1"/>
    <xf numFmtId="4" fontId="149" fillId="0" borderId="0" xfId="101" applyNumberFormat="1" applyFont="1"/>
    <xf numFmtId="3" fontId="150" fillId="0" borderId="0" xfId="101" applyNumberFormat="1" applyFont="1" applyBorder="1"/>
    <xf numFmtId="0" fontId="149" fillId="0" borderId="0" xfId="101" applyFont="1"/>
    <xf numFmtId="0" fontId="151" fillId="0" borderId="0" xfId="102" applyFont="1"/>
    <xf numFmtId="49" fontId="144" fillId="0" borderId="0" xfId="101" applyNumberFormat="1" applyFont="1"/>
    <xf numFmtId="4" fontId="149" fillId="0" borderId="0" xfId="101" applyNumberFormat="1" applyFont="1" applyFill="1"/>
    <xf numFmtId="0" fontId="74" fillId="0" borderId="0" xfId="102" applyFont="1"/>
    <xf numFmtId="0" fontId="148" fillId="0" borderId="0" xfId="101" applyFont="1"/>
    <xf numFmtId="4" fontId="152" fillId="0" borderId="0" xfId="101" applyNumberFormat="1" applyFont="1" applyBorder="1"/>
    <xf numFmtId="0" fontId="153" fillId="0" borderId="0" xfId="101" applyFont="1"/>
    <xf numFmtId="0" fontId="149" fillId="0" borderId="0" xfId="101" applyFont="1" applyFill="1"/>
    <xf numFmtId="3" fontId="149" fillId="0" borderId="0" xfId="101" applyNumberFormat="1" applyFont="1" applyFill="1"/>
    <xf numFmtId="0" fontId="154" fillId="0" borderId="0" xfId="101" applyFont="1"/>
    <xf numFmtId="0" fontId="155" fillId="0" borderId="0" xfId="101" applyFont="1"/>
    <xf numFmtId="0" fontId="148" fillId="0" borderId="0" xfId="101" applyFont="1" applyAlignment="1">
      <alignment horizontal="left"/>
    </xf>
    <xf numFmtId="49" fontId="149" fillId="0" borderId="0" xfId="101" applyNumberFormat="1" applyFont="1"/>
    <xf numFmtId="49" fontId="58" fillId="0" borderId="0" xfId="101" applyNumberFormat="1" applyFont="1" applyFill="1"/>
    <xf numFmtId="4" fontId="152" fillId="0" borderId="0" xfId="101" applyNumberFormat="1" applyFont="1" applyFill="1" applyBorder="1"/>
    <xf numFmtId="49" fontId="149" fillId="0" borderId="0" xfId="101" applyNumberFormat="1" applyFont="1" applyFill="1"/>
    <xf numFmtId="3" fontId="156" fillId="0" borderId="69" xfId="103" applyNumberFormat="1" applyFont="1" applyBorder="1" applyAlignment="1">
      <alignment horizontal="center"/>
    </xf>
    <xf numFmtId="4" fontId="144" fillId="0" borderId="77" xfId="101" applyNumberFormat="1" applyFont="1" applyBorder="1" applyAlignment="1">
      <alignment horizontal="center"/>
    </xf>
    <xf numFmtId="3" fontId="144" fillId="0" borderId="77" xfId="101" applyNumberFormat="1" applyFont="1" applyFill="1" applyBorder="1" applyAlignment="1">
      <alignment horizontal="center"/>
    </xf>
    <xf numFmtId="4" fontId="157" fillId="0" borderId="69" xfId="101" applyNumberFormat="1" applyFont="1" applyBorder="1" applyAlignment="1">
      <alignment horizontal="center"/>
    </xf>
    <xf numFmtId="3" fontId="156" fillId="0" borderId="116" xfId="0" applyNumberFormat="1" applyFont="1" applyFill="1" applyBorder="1" applyAlignment="1">
      <alignment horizontal="left"/>
    </xf>
    <xf numFmtId="3" fontId="156" fillId="0" borderId="78" xfId="0" applyNumberFormat="1" applyFont="1" applyFill="1" applyBorder="1" applyAlignment="1">
      <alignment horizontal="left"/>
    </xf>
    <xf numFmtId="3" fontId="156" fillId="0" borderId="69" xfId="0" applyNumberFormat="1" applyFont="1" applyFill="1" applyBorder="1" applyAlignment="1">
      <alignment horizontal="left"/>
    </xf>
    <xf numFmtId="4" fontId="156" fillId="0" borderId="77" xfId="101" applyNumberFormat="1" applyFont="1" applyBorder="1"/>
    <xf numFmtId="4" fontId="156" fillId="0" borderId="77" xfId="101" applyNumberFormat="1" applyFont="1" applyFill="1" applyBorder="1"/>
    <xf numFmtId="4" fontId="157" fillId="0" borderId="83" xfId="101" applyNumberFormat="1" applyFont="1" applyBorder="1" applyAlignment="1">
      <alignment horizontal="center"/>
    </xf>
    <xf numFmtId="3" fontId="156" fillId="0" borderId="76" xfId="0" applyNumberFormat="1" applyFont="1" applyFill="1" applyBorder="1" applyAlignment="1">
      <alignment horizontal="left"/>
    </xf>
    <xf numFmtId="3" fontId="156" fillId="0" borderId="75" xfId="0" applyNumberFormat="1" applyFont="1" applyFill="1" applyBorder="1" applyAlignment="1">
      <alignment horizontal="left" wrapText="1"/>
    </xf>
    <xf numFmtId="3" fontId="156" fillId="0" borderId="75" xfId="0" applyNumberFormat="1" applyFont="1" applyFill="1" applyBorder="1" applyAlignment="1">
      <alignment horizontal="left"/>
    </xf>
    <xf numFmtId="0" fontId="156" fillId="0" borderId="78" xfId="0" applyFont="1" applyBorder="1" applyAlignment="1">
      <alignment horizontal="left"/>
    </xf>
    <xf numFmtId="4" fontId="156" fillId="0" borderId="70" xfId="101" applyNumberFormat="1" applyFont="1" applyBorder="1"/>
    <xf numFmtId="4" fontId="156" fillId="0" borderId="70" xfId="101" applyNumberFormat="1" applyFont="1" applyBorder="1" applyAlignment="1">
      <alignment horizontal="left"/>
    </xf>
    <xf numFmtId="3" fontId="156" fillId="0" borderId="78" xfId="0" applyNumberFormat="1" applyFont="1" applyFill="1" applyBorder="1" applyAlignment="1">
      <alignment horizontal="left" wrapText="1"/>
    </xf>
    <xf numFmtId="4" fontId="5" fillId="0" borderId="0" xfId="0" applyNumberFormat="1" applyFont="1" applyFill="1"/>
    <xf numFmtId="4" fontId="36" fillId="0" borderId="77" xfId="0" applyNumberFormat="1" applyFont="1" applyFill="1" applyBorder="1"/>
    <xf numFmtId="0" fontId="9" fillId="28" borderId="109" xfId="0" applyFont="1" applyFill="1" applyBorder="1" applyAlignment="1">
      <alignment horizontal="justify"/>
    </xf>
    <xf numFmtId="3" fontId="9" fillId="28" borderId="117" xfId="0" applyNumberFormat="1" applyFont="1" applyFill="1" applyBorder="1" applyAlignment="1">
      <alignment horizontal="right"/>
    </xf>
    <xf numFmtId="3" fontId="5" fillId="28" borderId="119" xfId="0" applyNumberFormat="1" applyFont="1" applyFill="1" applyBorder="1" applyAlignment="1">
      <alignment horizontal="right"/>
    </xf>
    <xf numFmtId="3" fontId="3" fillId="0" borderId="0" xfId="95" applyNumberFormat="1"/>
    <xf numFmtId="0" fontId="5" fillId="0" borderId="0" xfId="104" applyFont="1" applyBorder="1"/>
    <xf numFmtId="0" fontId="5" fillId="0" borderId="0" xfId="104" applyFont="1" applyAlignment="1">
      <alignment horizontal="center"/>
    </xf>
    <xf numFmtId="0" fontId="5" fillId="0" borderId="0" xfId="104" applyFont="1" applyFill="1" applyBorder="1"/>
    <xf numFmtId="0" fontId="5" fillId="0" borderId="0" xfId="104" applyFont="1"/>
    <xf numFmtId="0" fontId="5" fillId="0" borderId="0" xfId="104" applyFont="1" applyFill="1" applyBorder="1" applyAlignment="1">
      <alignment horizontal="right"/>
    </xf>
    <xf numFmtId="0" fontId="4" fillId="0" borderId="0" xfId="104" applyFont="1" applyBorder="1"/>
    <xf numFmtId="3" fontId="4" fillId="0" borderId="0" xfId="104" applyNumberFormat="1" applyFont="1" applyBorder="1"/>
    <xf numFmtId="3" fontId="5" fillId="0" borderId="0" xfId="104" applyNumberFormat="1" applyFont="1" applyFill="1" applyBorder="1"/>
    <xf numFmtId="3" fontId="5" fillId="0" borderId="0" xfId="104" applyNumberFormat="1" applyFont="1" applyBorder="1"/>
    <xf numFmtId="0" fontId="37" fillId="0" borderId="0" xfId="104" applyFont="1"/>
    <xf numFmtId="3" fontId="159" fillId="0" borderId="0" xfId="104" applyNumberFormat="1" applyFont="1" applyFill="1" applyBorder="1"/>
    <xf numFmtId="0" fontId="16" fillId="0" borderId="0" xfId="104" applyFont="1"/>
    <xf numFmtId="3" fontId="16" fillId="0" borderId="0" xfId="104" applyNumberFormat="1" applyFont="1" applyFill="1" applyBorder="1"/>
    <xf numFmtId="3" fontId="16" fillId="0" borderId="0" xfId="104" applyNumberFormat="1" applyFont="1" applyBorder="1"/>
    <xf numFmtId="3" fontId="35" fillId="0" borderId="83" xfId="105" applyNumberFormat="1" applyFont="1" applyFill="1" applyBorder="1" applyAlignment="1">
      <alignment horizontal="right"/>
    </xf>
    <xf numFmtId="0" fontId="5" fillId="0" borderId="0" xfId="104" applyFont="1" applyFill="1" applyAlignment="1">
      <alignment wrapText="1"/>
    </xf>
    <xf numFmtId="0" fontId="5" fillId="0" borderId="0" xfId="104" applyFont="1" applyFill="1" applyBorder="1" applyAlignment="1">
      <alignment wrapText="1"/>
    </xf>
    <xf numFmtId="0" fontId="37" fillId="0" borderId="0" xfId="104" applyFont="1" applyFill="1" applyBorder="1"/>
    <xf numFmtId="3" fontId="37" fillId="0" borderId="0" xfId="104" applyNumberFormat="1" applyFont="1" applyFill="1" applyBorder="1"/>
    <xf numFmtId="0" fontId="5" fillId="0" borderId="0" xfId="104" applyFont="1" applyFill="1"/>
    <xf numFmtId="0" fontId="16" fillId="0" borderId="0" xfId="104" applyFont="1" applyBorder="1"/>
    <xf numFmtId="0" fontId="82" fillId="0" borderId="23" xfId="104" applyFont="1" applyBorder="1" applyAlignment="1">
      <alignment horizontal="center"/>
    </xf>
    <xf numFmtId="0" fontId="82" fillId="0" borderId="83" xfId="104" applyFont="1" applyFill="1" applyBorder="1" applyAlignment="1">
      <alignment horizontal="center"/>
    </xf>
    <xf numFmtId="0" fontId="83" fillId="0" borderId="18" xfId="104" applyFont="1" applyBorder="1"/>
    <xf numFmtId="3" fontId="82" fillId="0" borderId="69" xfId="105" applyNumberFormat="1" applyFont="1" applyBorder="1" applyAlignment="1">
      <alignment horizontal="center"/>
    </xf>
    <xf numFmtId="3" fontId="82" fillId="0" borderId="69" xfId="105" applyNumberFormat="1" applyFont="1" applyFill="1" applyBorder="1" applyAlignment="1">
      <alignment horizontal="center"/>
    </xf>
    <xf numFmtId="0" fontId="83" fillId="0" borderId="19" xfId="104" applyFont="1" applyBorder="1"/>
    <xf numFmtId="14" fontId="82" fillId="0" borderId="70" xfId="105" applyNumberFormat="1" applyFont="1" applyBorder="1" applyAlignment="1">
      <alignment horizontal="center"/>
    </xf>
    <xf numFmtId="0" fontId="85" fillId="0" borderId="18" xfId="104" applyFont="1" applyBorder="1"/>
    <xf numFmtId="0" fontId="82" fillId="0" borderId="20" xfId="104" applyFont="1" applyFill="1" applyBorder="1" applyAlignment="1">
      <alignment horizontal="justify"/>
    </xf>
    <xf numFmtId="3" fontId="82" fillId="0" borderId="77" xfId="104" applyNumberFormat="1" applyFont="1" applyFill="1" applyBorder="1" applyAlignment="1">
      <alignment horizontal="right"/>
    </xf>
    <xf numFmtId="0" fontId="85" fillId="0" borderId="23" xfId="104" applyFont="1" applyBorder="1" applyAlignment="1">
      <alignment horizontal="justify"/>
    </xf>
    <xf numFmtId="3" fontId="83" fillId="0" borderId="83" xfId="104" applyNumberFormat="1" applyFont="1" applyFill="1" applyBorder="1" applyAlignment="1">
      <alignment horizontal="right"/>
    </xf>
    <xf numFmtId="0" fontId="82" fillId="32" borderId="20" xfId="104" applyFont="1" applyFill="1" applyBorder="1" applyAlignment="1">
      <alignment horizontal="justify"/>
    </xf>
    <xf numFmtId="3" fontId="82" fillId="32" borderId="77" xfId="104" applyNumberFormat="1" applyFont="1" applyFill="1" applyBorder="1" applyAlignment="1">
      <alignment horizontal="right"/>
    </xf>
    <xf numFmtId="0" fontId="85" fillId="0" borderId="83" xfId="104" applyFont="1" applyBorder="1" applyAlignment="1">
      <alignment horizontal="justify"/>
    </xf>
    <xf numFmtId="3" fontId="82" fillId="0" borderId="83" xfId="104" applyNumberFormat="1" applyFont="1" applyFill="1" applyBorder="1" applyAlignment="1">
      <alignment horizontal="right"/>
    </xf>
    <xf numFmtId="0" fontId="85" fillId="32" borderId="69" xfId="104" applyFont="1" applyFill="1" applyBorder="1" applyAlignment="1">
      <alignment horizontal="justify"/>
    </xf>
    <xf numFmtId="3" fontId="82" fillId="32" borderId="69" xfId="104" applyNumberFormat="1" applyFont="1" applyFill="1" applyBorder="1" applyAlignment="1">
      <alignment horizontal="right"/>
    </xf>
    <xf numFmtId="0" fontId="85" fillId="0" borderId="69" xfId="104" applyFont="1" applyFill="1" applyBorder="1" applyAlignment="1">
      <alignment horizontal="justify"/>
    </xf>
    <xf numFmtId="3" fontId="82" fillId="0" borderId="69" xfId="104" applyNumberFormat="1" applyFont="1" applyFill="1" applyBorder="1" applyAlignment="1">
      <alignment horizontal="right"/>
    </xf>
    <xf numFmtId="0" fontId="82" fillId="32" borderId="78" xfId="104" applyFont="1" applyFill="1" applyBorder="1" applyAlignment="1">
      <alignment horizontal="left"/>
    </xf>
    <xf numFmtId="3" fontId="82" fillId="32" borderId="116" xfId="104" applyNumberFormat="1" applyFont="1" applyFill="1" applyBorder="1" applyAlignment="1">
      <alignment horizontal="right"/>
    </xf>
    <xf numFmtId="0" fontId="85" fillId="0" borderId="57" xfId="104" applyFont="1" applyFill="1" applyBorder="1" applyAlignment="1">
      <alignment horizontal="justify"/>
    </xf>
    <xf numFmtId="3" fontId="83" fillId="0" borderId="69" xfId="104" applyNumberFormat="1" applyFont="1" applyFill="1" applyBorder="1" applyAlignment="1">
      <alignment horizontal="right"/>
    </xf>
    <xf numFmtId="0" fontId="82" fillId="32" borderId="18" xfId="104" applyFont="1" applyFill="1" applyBorder="1" applyAlignment="1">
      <alignment horizontal="left"/>
    </xf>
    <xf numFmtId="0" fontId="82" fillId="0" borderId="57" xfId="104" applyFont="1" applyFill="1" applyBorder="1" applyAlignment="1">
      <alignment horizontal="justify"/>
    </xf>
    <xf numFmtId="0" fontId="82" fillId="0" borderId="99" xfId="104" applyFont="1" applyFill="1" applyBorder="1" applyAlignment="1">
      <alignment horizontal="justify"/>
    </xf>
    <xf numFmtId="0" fontId="82" fillId="32" borderId="57" xfId="104" applyFont="1" applyFill="1" applyBorder="1" applyAlignment="1">
      <alignment horizontal="left" wrapText="1"/>
    </xf>
    <xf numFmtId="3" fontId="82" fillId="32" borderId="76" xfId="104" applyNumberFormat="1" applyFont="1" applyFill="1" applyBorder="1" applyAlignment="1">
      <alignment horizontal="right"/>
    </xf>
    <xf numFmtId="0" fontId="82" fillId="32" borderId="83" xfId="104" applyFont="1" applyFill="1" applyBorder="1" applyAlignment="1">
      <alignment horizontal="left" wrapText="1"/>
    </xf>
    <xf numFmtId="3" fontId="82" fillId="32" borderId="83" xfId="104" applyNumberFormat="1" applyFont="1" applyFill="1" applyBorder="1" applyAlignment="1">
      <alignment horizontal="right"/>
    </xf>
    <xf numFmtId="0" fontId="85" fillId="33" borderId="20" xfId="104" applyFont="1" applyFill="1" applyBorder="1" applyAlignment="1">
      <alignment horizontal="justify"/>
    </xf>
    <xf numFmtId="3" fontId="85" fillId="34" borderId="77" xfId="104" applyNumberFormat="1" applyFont="1" applyFill="1" applyBorder="1" applyAlignment="1">
      <alignment horizontal="right"/>
    </xf>
    <xf numFmtId="0" fontId="85" fillId="33" borderId="123" xfId="104" applyFont="1" applyFill="1" applyBorder="1" applyAlignment="1">
      <alignment horizontal="justify"/>
    </xf>
    <xf numFmtId="3" fontId="85" fillId="34" borderId="133" xfId="104" applyNumberFormat="1" applyFont="1" applyFill="1" applyBorder="1" applyAlignment="1">
      <alignment horizontal="right"/>
    </xf>
    <xf numFmtId="49" fontId="85" fillId="33" borderId="19" xfId="104" applyNumberFormat="1" applyFont="1" applyFill="1" applyBorder="1" applyAlignment="1">
      <alignment horizontal="justify"/>
    </xf>
    <xf numFmtId="3" fontId="85" fillId="34" borderId="70" xfId="104" applyNumberFormat="1" applyFont="1" applyFill="1" applyBorder="1" applyAlignment="1">
      <alignment horizontal="right"/>
    </xf>
    <xf numFmtId="0" fontId="82" fillId="33" borderId="19" xfId="104" applyFont="1" applyFill="1" applyBorder="1" applyAlignment="1">
      <alignment horizontal="justify"/>
    </xf>
    <xf numFmtId="3" fontId="85" fillId="33" borderId="77" xfId="104" applyNumberFormat="1" applyFont="1" applyFill="1" applyBorder="1" applyAlignment="1">
      <alignment horizontal="right"/>
    </xf>
    <xf numFmtId="0" fontId="85" fillId="32" borderId="20" xfId="104" applyFont="1" applyFill="1" applyBorder="1" applyAlignment="1">
      <alignment horizontal="justify"/>
    </xf>
    <xf numFmtId="3" fontId="85" fillId="32" borderId="77" xfId="104" applyNumberFormat="1" applyFont="1" applyFill="1" applyBorder="1" applyAlignment="1">
      <alignment horizontal="right"/>
    </xf>
    <xf numFmtId="0" fontId="69" fillId="32" borderId="18" xfId="104" applyFont="1" applyFill="1" applyBorder="1" applyAlignment="1">
      <alignment horizontal="justify"/>
    </xf>
    <xf numFmtId="3" fontId="69" fillId="32" borderId="69" xfId="104" applyNumberFormat="1" applyFont="1" applyFill="1" applyBorder="1" applyAlignment="1">
      <alignment horizontal="right"/>
    </xf>
    <xf numFmtId="0" fontId="160" fillId="0" borderId="18" xfId="104" applyFont="1" applyBorder="1" applyAlignment="1">
      <alignment horizontal="justify"/>
    </xf>
    <xf numFmtId="3" fontId="69" fillId="0" borderId="69" xfId="104" applyNumberFormat="1" applyFont="1" applyFill="1" applyBorder="1" applyAlignment="1">
      <alignment horizontal="right"/>
    </xf>
    <xf numFmtId="0" fontId="69" fillId="0" borderId="99" xfId="104" applyFont="1" applyFill="1" applyBorder="1" applyAlignment="1">
      <alignment horizontal="justify"/>
    </xf>
    <xf numFmtId="3" fontId="69" fillId="0" borderId="116" xfId="104" applyNumberFormat="1" applyFont="1" applyFill="1" applyBorder="1" applyAlignment="1">
      <alignment horizontal="right"/>
    </xf>
    <xf numFmtId="0" fontId="69" fillId="0" borderId="78" xfId="104" applyNumberFormat="1" applyFont="1" applyFill="1" applyBorder="1" applyAlignment="1">
      <alignment wrapText="1"/>
    </xf>
    <xf numFmtId="0" fontId="160" fillId="0" borderId="99" xfId="104" applyFont="1" applyFill="1" applyBorder="1" applyAlignment="1">
      <alignment horizontal="justify"/>
    </xf>
    <xf numFmtId="0" fontId="160" fillId="0" borderId="99" xfId="104" applyFont="1" applyFill="1" applyBorder="1" applyAlignment="1">
      <alignment wrapText="1"/>
    </xf>
    <xf numFmtId="0" fontId="160" fillId="0" borderId="18" xfId="104" applyFont="1" applyFill="1" applyBorder="1" applyAlignment="1">
      <alignment wrapText="1"/>
    </xf>
    <xf numFmtId="0" fontId="69" fillId="0" borderId="116" xfId="104" applyFont="1" applyFill="1" applyBorder="1" applyAlignment="1">
      <alignment horizontal="justify"/>
    </xf>
    <xf numFmtId="0" fontId="69" fillId="0" borderId="26" xfId="104" applyFont="1" applyFill="1" applyBorder="1" applyAlignment="1">
      <alignment horizontal="justify"/>
    </xf>
    <xf numFmtId="0" fontId="69" fillId="0" borderId="18" xfId="104" applyFont="1" applyFill="1" applyBorder="1" applyAlignment="1">
      <alignment horizontal="justify"/>
    </xf>
    <xf numFmtId="3" fontId="69" fillId="0" borderId="78" xfId="104" applyNumberFormat="1" applyFont="1" applyFill="1" applyBorder="1" applyAlignment="1">
      <alignment horizontal="right"/>
    </xf>
    <xf numFmtId="0" fontId="70" fillId="32" borderId="69" xfId="104" applyFont="1" applyFill="1" applyBorder="1" applyAlignment="1">
      <alignment horizontal="left" wrapText="1"/>
    </xf>
    <xf numFmtId="3" fontId="70" fillId="32" borderId="69" xfId="104" applyNumberFormat="1" applyFont="1" applyFill="1" applyBorder="1" applyAlignment="1">
      <alignment horizontal="right"/>
    </xf>
    <xf numFmtId="0" fontId="69" fillId="32" borderId="116" xfId="104" applyFont="1" applyFill="1" applyBorder="1" applyAlignment="1">
      <alignment horizontal="left" wrapText="1"/>
    </xf>
    <xf numFmtId="3" fontId="70" fillId="32" borderId="116" xfId="104" applyNumberFormat="1" applyFont="1" applyFill="1" applyBorder="1" applyAlignment="1">
      <alignment horizontal="right"/>
    </xf>
    <xf numFmtId="0" fontId="69" fillId="32" borderId="76" xfId="104" applyFont="1" applyFill="1" applyBorder="1" applyAlignment="1">
      <alignment horizontal="left" wrapText="1"/>
    </xf>
    <xf numFmtId="3" fontId="70" fillId="32" borderId="76" xfId="104" applyNumberFormat="1" applyFont="1" applyFill="1" applyBorder="1" applyAlignment="1">
      <alignment horizontal="right"/>
    </xf>
    <xf numFmtId="3" fontId="161" fillId="0" borderId="0" xfId="76" applyNumberFormat="1" applyFont="1" applyFill="1"/>
    <xf numFmtId="3" fontId="161" fillId="0" borderId="0" xfId="76" applyNumberFormat="1" applyFont="1" applyFill="1" applyBorder="1" applyAlignment="1">
      <alignment horizontal="right"/>
    </xf>
    <xf numFmtId="3" fontId="162" fillId="0" borderId="0" xfId="76" applyNumberFormat="1" applyFont="1" applyFill="1"/>
    <xf numFmtId="3" fontId="161" fillId="0" borderId="0" xfId="76" applyNumberFormat="1" applyFont="1" applyFill="1" applyBorder="1" applyAlignment="1">
      <alignment horizontal="center"/>
    </xf>
    <xf numFmtId="3" fontId="161" fillId="0" borderId="0" xfId="76" applyNumberFormat="1" applyFont="1" applyFill="1" applyBorder="1"/>
    <xf numFmtId="3" fontId="163" fillId="0" borderId="0" xfId="76" applyNumberFormat="1" applyFont="1" applyFill="1" applyBorder="1"/>
    <xf numFmtId="3" fontId="164" fillId="0" borderId="23" xfId="76" applyNumberFormat="1" applyFont="1" applyFill="1" applyBorder="1" applyAlignment="1">
      <alignment horizontal="center"/>
    </xf>
    <xf numFmtId="3" fontId="164" fillId="0" borderId="0" xfId="76" applyNumberFormat="1" applyFont="1" applyFill="1" applyBorder="1" applyAlignment="1">
      <alignment horizontal="center"/>
    </xf>
    <xf numFmtId="3" fontId="164" fillId="0" borderId="18" xfId="76" applyNumberFormat="1" applyFont="1" applyFill="1" applyBorder="1" applyAlignment="1">
      <alignment horizontal="center" vertical="center"/>
    </xf>
    <xf numFmtId="3" fontId="165" fillId="0" borderId="0" xfId="76" applyNumberFormat="1" applyFont="1" applyFill="1" applyBorder="1" applyAlignment="1">
      <alignment horizontal="justify"/>
    </xf>
    <xf numFmtId="3" fontId="164" fillId="0" borderId="0" xfId="76" applyNumberFormat="1" applyFont="1" applyFill="1" applyBorder="1" applyAlignment="1">
      <alignment horizontal="justify"/>
    </xf>
    <xf numFmtId="3" fontId="164" fillId="0" borderId="70" xfId="76" applyNumberFormat="1" applyFont="1" applyFill="1" applyBorder="1" applyAlignment="1">
      <alignment horizontal="center" vertical="center"/>
    </xf>
    <xf numFmtId="3" fontId="164" fillId="0" borderId="70" xfId="76" applyNumberFormat="1" applyFont="1" applyFill="1" applyBorder="1" applyAlignment="1">
      <alignment horizontal="center" vertical="center" wrapText="1"/>
    </xf>
    <xf numFmtId="3" fontId="164" fillId="0" borderId="83" xfId="76" applyNumberFormat="1" applyFont="1" applyFill="1" applyBorder="1" applyAlignment="1">
      <alignment horizontal="center" vertical="center"/>
    </xf>
    <xf numFmtId="3" fontId="164" fillId="0" borderId="83" xfId="76" applyNumberFormat="1" applyFont="1" applyFill="1" applyBorder="1" applyAlignment="1">
      <alignment horizontal="right"/>
    </xf>
    <xf numFmtId="3" fontId="164" fillId="0" borderId="83" xfId="76" applyNumberFormat="1" applyFont="1" applyFill="1" applyBorder="1" applyAlignment="1">
      <alignment horizontal="center"/>
    </xf>
    <xf numFmtId="3" fontId="164" fillId="0" borderId="0" xfId="76" applyNumberFormat="1" applyFont="1" applyFill="1" applyBorder="1"/>
    <xf numFmtId="3" fontId="161" fillId="0" borderId="116" xfId="76" applyNumberFormat="1" applyFont="1" applyFill="1" applyBorder="1" applyAlignment="1">
      <alignment horizontal="left"/>
    </xf>
    <xf numFmtId="3" fontId="161" fillId="0" borderId="70" xfId="76" applyNumberFormat="1" applyFont="1" applyBorder="1" applyAlignment="1" applyProtection="1">
      <alignment horizontal="left"/>
    </xf>
    <xf numFmtId="3" fontId="161" fillId="0" borderId="17" xfId="76" applyNumberFormat="1" applyFont="1" applyFill="1" applyBorder="1" applyAlignment="1" applyProtection="1">
      <alignment horizontal="left"/>
    </xf>
    <xf numFmtId="3" fontId="161" fillId="0" borderId="69" xfId="76" applyNumberFormat="1" applyFont="1" applyFill="1" applyBorder="1" applyAlignment="1" applyProtection="1">
      <alignment horizontal="center" vertical="center"/>
    </xf>
    <xf numFmtId="3" fontId="166" fillId="0" borderId="69" xfId="76" applyNumberFormat="1" applyFont="1" applyFill="1" applyBorder="1" applyAlignment="1" applyProtection="1">
      <alignment horizontal="center"/>
    </xf>
    <xf numFmtId="3" fontId="161" fillId="0" borderId="75" xfId="76" applyNumberFormat="1" applyFont="1" applyFill="1" applyBorder="1" applyProtection="1"/>
    <xf numFmtId="3" fontId="161" fillId="0" borderId="78" xfId="76" applyNumberFormat="1" applyFont="1" applyFill="1" applyBorder="1" applyAlignment="1">
      <alignment horizontal="left"/>
    </xf>
    <xf numFmtId="3" fontId="161" fillId="0" borderId="90" xfId="76" applyNumberFormat="1" applyFont="1" applyFill="1" applyBorder="1" applyAlignment="1">
      <alignment horizontal="left"/>
    </xf>
    <xf numFmtId="3" fontId="161" fillId="0" borderId="77" xfId="76" applyNumberFormat="1" applyFont="1" applyFill="1" applyBorder="1" applyAlignment="1" applyProtection="1">
      <alignment horizontal="left"/>
    </xf>
    <xf numFmtId="3" fontId="166" fillId="0" borderId="83" xfId="76" applyNumberFormat="1" applyFont="1" applyFill="1" applyBorder="1" applyAlignment="1" applyProtection="1">
      <alignment horizontal="center"/>
    </xf>
    <xf numFmtId="3" fontId="161" fillId="0" borderId="69" xfId="76" applyNumberFormat="1" applyFont="1" applyFill="1" applyBorder="1" applyAlignment="1" applyProtection="1">
      <alignment horizontal="justify"/>
    </xf>
    <xf numFmtId="3" fontId="161" fillId="0" borderId="0" xfId="76" applyNumberFormat="1" applyFont="1" applyFill="1" applyBorder="1" applyAlignment="1">
      <alignment horizontal="justify"/>
    </xf>
    <xf numFmtId="3" fontId="161" fillId="0" borderId="75" xfId="76" applyNumberFormat="1" applyFont="1" applyFill="1" applyBorder="1" applyAlignment="1" applyProtection="1">
      <alignment wrapText="1"/>
    </xf>
    <xf numFmtId="3" fontId="161" fillId="0" borderId="116" xfId="76" applyNumberFormat="1" applyFont="1" applyFill="1" applyBorder="1" applyAlignment="1" applyProtection="1">
      <alignment horizontal="justify"/>
    </xf>
    <xf numFmtId="3" fontId="161" fillId="0" borderId="116" xfId="76" applyNumberFormat="1" applyFont="1" applyFill="1" applyBorder="1" applyProtection="1"/>
    <xf numFmtId="3" fontId="161" fillId="0" borderId="78" xfId="76" applyNumberFormat="1" applyFont="1" applyFill="1" applyBorder="1" applyAlignment="1" applyProtection="1">
      <alignment horizontal="justify"/>
    </xf>
    <xf numFmtId="3" fontId="161" fillId="0" borderId="70" xfId="76" applyNumberFormat="1" applyFont="1" applyFill="1" applyBorder="1" applyAlignment="1" applyProtection="1">
      <alignment horizontal="justify"/>
    </xf>
    <xf numFmtId="3" fontId="161" fillId="0" borderId="70" xfId="76" applyNumberFormat="1" applyFont="1" applyFill="1" applyBorder="1" applyAlignment="1" applyProtection="1">
      <alignment horizontal="left"/>
    </xf>
    <xf numFmtId="0" fontId="161" fillId="0" borderId="0" xfId="76" applyFont="1" applyBorder="1" applyAlignment="1">
      <alignment horizontal="left"/>
    </xf>
    <xf numFmtId="3" fontId="167" fillId="0" borderId="0" xfId="76" applyNumberFormat="1" applyFont="1" applyFill="1" applyBorder="1" applyAlignment="1">
      <alignment horizontal="right"/>
    </xf>
    <xf numFmtId="0" fontId="162" fillId="0" borderId="0" xfId="76" applyFont="1" applyBorder="1" applyAlignment="1">
      <alignment horizontal="left"/>
    </xf>
    <xf numFmtId="3" fontId="167" fillId="0" borderId="0" xfId="76" applyNumberFormat="1" applyFont="1" applyFill="1" applyBorder="1" applyAlignment="1">
      <alignment horizontal="center"/>
    </xf>
    <xf numFmtId="3" fontId="167" fillId="0" borderId="0" xfId="76" applyNumberFormat="1" applyFont="1" applyFill="1" applyBorder="1"/>
    <xf numFmtId="3" fontId="168" fillId="0" borderId="0" xfId="76" applyNumberFormat="1" applyFont="1" applyFill="1" applyBorder="1"/>
    <xf numFmtId="0" fontId="168" fillId="0" borderId="0" xfId="76" applyFont="1" applyBorder="1" applyProtection="1"/>
    <xf numFmtId="0" fontId="167" fillId="0" borderId="0" xfId="76" applyFont="1" applyBorder="1" applyProtection="1"/>
    <xf numFmtId="3" fontId="167" fillId="0" borderId="0" xfId="76" applyNumberFormat="1" applyFont="1" applyBorder="1" applyProtection="1"/>
    <xf numFmtId="0" fontId="161" fillId="0" borderId="0" xfId="76" applyFont="1"/>
    <xf numFmtId="3" fontId="162" fillId="0" borderId="0" xfId="76" applyNumberFormat="1" applyFont="1" applyFill="1" applyBorder="1" applyAlignment="1">
      <alignment horizontal="right"/>
    </xf>
    <xf numFmtId="0" fontId="162" fillId="0" borderId="0" xfId="76" applyFont="1"/>
    <xf numFmtId="3" fontId="162" fillId="0" borderId="0" xfId="76" applyNumberFormat="1" applyFont="1" applyFill="1" applyBorder="1" applyAlignment="1">
      <alignment horizontal="center"/>
    </xf>
    <xf numFmtId="3" fontId="58" fillId="0" borderId="0" xfId="76" applyNumberFormat="1" applyFont="1" applyFill="1"/>
    <xf numFmtId="3" fontId="5" fillId="0" borderId="0" xfId="76" applyNumberFormat="1" applyFont="1" applyFill="1" applyBorder="1" applyAlignment="1">
      <alignment horizontal="right"/>
    </xf>
    <xf numFmtId="3" fontId="80" fillId="0" borderId="0" xfId="76" applyNumberFormat="1" applyFont="1" applyFill="1" applyAlignment="1">
      <alignment horizontal="left"/>
    </xf>
    <xf numFmtId="3" fontId="75" fillId="0" borderId="0" xfId="76" applyNumberFormat="1" applyFont="1" applyFill="1"/>
    <xf numFmtId="3" fontId="5" fillId="0" borderId="0" xfId="76" applyNumberFormat="1" applyFont="1" applyFill="1" applyBorder="1"/>
    <xf numFmtId="3" fontId="169" fillId="0" borderId="0" xfId="76" applyNumberFormat="1" applyFont="1" applyFill="1" applyBorder="1" applyAlignment="1">
      <alignment horizontal="center"/>
    </xf>
    <xf numFmtId="3" fontId="170" fillId="0" borderId="0" xfId="76" applyNumberFormat="1" applyFont="1" applyFill="1" applyBorder="1"/>
    <xf numFmtId="3" fontId="162" fillId="0" borderId="23" xfId="76" applyNumberFormat="1" applyFont="1" applyFill="1" applyBorder="1" applyAlignment="1">
      <alignment horizontal="center"/>
    </xf>
    <xf numFmtId="3" fontId="171" fillId="0" borderId="53" xfId="76" applyNumberFormat="1" applyFont="1" applyFill="1" applyBorder="1" applyAlignment="1">
      <alignment horizontal="center" vertical="center"/>
    </xf>
    <xf numFmtId="3" fontId="16" fillId="0" borderId="0" xfId="76" applyNumberFormat="1" applyFont="1" applyFill="1" applyBorder="1" applyAlignment="1">
      <alignment horizontal="center"/>
    </xf>
    <xf numFmtId="3" fontId="162" fillId="0" borderId="18" xfId="76" applyNumberFormat="1" applyFont="1" applyFill="1" applyBorder="1" applyAlignment="1">
      <alignment horizontal="center"/>
    </xf>
    <xf numFmtId="3" fontId="171" fillId="0" borderId="86" xfId="76" applyNumberFormat="1" applyFont="1" applyFill="1" applyBorder="1" applyAlignment="1">
      <alignment horizontal="center" vertical="center"/>
    </xf>
    <xf numFmtId="3" fontId="162" fillId="0" borderId="18" xfId="76" applyNumberFormat="1" applyFont="1" applyFill="1" applyBorder="1" applyAlignment="1">
      <alignment horizontal="center" vertical="center"/>
    </xf>
    <xf numFmtId="3" fontId="16" fillId="0" borderId="0" xfId="76" applyNumberFormat="1" applyFont="1" applyFill="1" applyBorder="1" applyAlignment="1">
      <alignment horizontal="justify"/>
    </xf>
    <xf numFmtId="3" fontId="162" fillId="0" borderId="19" xfId="76" applyNumberFormat="1" applyFont="1" applyFill="1" applyBorder="1" applyAlignment="1">
      <alignment horizontal="center" vertical="center"/>
    </xf>
    <xf numFmtId="3" fontId="162" fillId="0" borderId="77" xfId="76" applyNumberFormat="1" applyFont="1" applyFill="1" applyBorder="1" applyAlignment="1">
      <alignment horizontal="center"/>
    </xf>
    <xf numFmtId="3" fontId="162" fillId="0" borderId="0" xfId="76" applyNumberFormat="1" applyFont="1" applyFill="1" applyBorder="1" applyAlignment="1">
      <alignment horizontal="justify"/>
    </xf>
    <xf numFmtId="3" fontId="162" fillId="0" borderId="83" xfId="76" applyNumberFormat="1" applyFont="1" applyFill="1" applyBorder="1" applyAlignment="1">
      <alignment horizontal="center" vertical="center"/>
    </xf>
    <xf numFmtId="3" fontId="16" fillId="0" borderId="0" xfId="76" applyNumberFormat="1" applyFont="1" applyFill="1" applyBorder="1"/>
    <xf numFmtId="3" fontId="162" fillId="0" borderId="116" xfId="76" applyNumberFormat="1" applyFont="1" applyFill="1" applyBorder="1" applyAlignment="1">
      <alignment horizontal="left"/>
    </xf>
    <xf numFmtId="3" fontId="162" fillId="0" borderId="116" xfId="76" applyNumberFormat="1" applyFont="1" applyFill="1" applyBorder="1" applyAlignment="1">
      <alignment horizontal="right"/>
    </xf>
    <xf numFmtId="3" fontId="162" fillId="0" borderId="70" xfId="76" applyNumberFormat="1" applyFont="1" applyBorder="1" applyAlignment="1" applyProtection="1">
      <alignment horizontal="left"/>
    </xf>
    <xf numFmtId="3" fontId="162" fillId="0" borderId="17" xfId="76" applyNumberFormat="1" applyFont="1" applyFill="1" applyBorder="1" applyAlignment="1" applyProtection="1">
      <alignment horizontal="left"/>
    </xf>
    <xf numFmtId="3" fontId="162" fillId="0" borderId="69" xfId="76" applyNumberFormat="1" applyFont="1" applyFill="1" applyBorder="1" applyAlignment="1" applyProtection="1">
      <alignment horizontal="center" vertical="center"/>
    </xf>
    <xf numFmtId="3" fontId="172" fillId="0" borderId="69" xfId="76" applyNumberFormat="1" applyFont="1" applyFill="1" applyBorder="1" applyAlignment="1" applyProtection="1">
      <alignment horizontal="center"/>
    </xf>
    <xf numFmtId="3" fontId="162" fillId="0" borderId="75" xfId="76" applyNumberFormat="1" applyFont="1" applyFill="1" applyBorder="1" applyProtection="1"/>
    <xf numFmtId="3" fontId="162" fillId="0" borderId="78" xfId="76" applyNumberFormat="1" applyFont="1" applyFill="1" applyBorder="1" applyAlignment="1">
      <alignment horizontal="left"/>
    </xf>
    <xf numFmtId="3" fontId="162" fillId="0" borderId="90" xfId="76" applyNumberFormat="1" applyFont="1" applyFill="1" applyBorder="1" applyAlignment="1">
      <alignment horizontal="left"/>
    </xf>
    <xf numFmtId="3" fontId="162" fillId="0" borderId="77" xfId="76" applyNumberFormat="1" applyFont="1" applyFill="1" applyBorder="1" applyAlignment="1" applyProtection="1">
      <alignment horizontal="left"/>
    </xf>
    <xf numFmtId="3" fontId="172" fillId="0" borderId="83" xfId="76" applyNumberFormat="1" applyFont="1" applyFill="1" applyBorder="1" applyAlignment="1" applyProtection="1">
      <alignment horizontal="center"/>
    </xf>
    <xf numFmtId="3" fontId="162" fillId="0" borderId="69" xfId="76" applyNumberFormat="1" applyFont="1" applyFill="1" applyBorder="1" applyAlignment="1" applyProtection="1">
      <alignment horizontal="justify"/>
    </xf>
    <xf numFmtId="3" fontId="162" fillId="0" borderId="116" xfId="76" applyNumberFormat="1" applyFont="1" applyFill="1" applyBorder="1" applyAlignment="1" applyProtection="1">
      <alignment horizontal="justify"/>
    </xf>
    <xf numFmtId="3" fontId="162" fillId="0" borderId="116" xfId="76" applyNumberFormat="1" applyFont="1" applyFill="1" applyBorder="1" applyProtection="1"/>
    <xf numFmtId="3" fontId="162" fillId="0" borderId="78" xfId="76" applyNumberFormat="1" applyFont="1" applyFill="1" applyBorder="1" applyAlignment="1" applyProtection="1">
      <alignment horizontal="justify"/>
    </xf>
    <xf numFmtId="3" fontId="162" fillId="0" borderId="78" xfId="76" applyNumberFormat="1" applyFont="1" applyFill="1" applyBorder="1" applyAlignment="1" applyProtection="1">
      <alignment horizontal="right"/>
    </xf>
    <xf numFmtId="3" fontId="162" fillId="0" borderId="76" xfId="76" applyNumberFormat="1" applyFont="1" applyFill="1" applyBorder="1" applyAlignment="1" applyProtection="1">
      <alignment horizontal="justify"/>
    </xf>
    <xf numFmtId="3" fontId="162" fillId="0" borderId="116" xfId="76" applyNumberFormat="1" applyFont="1" applyFill="1" applyBorder="1" applyAlignment="1" applyProtection="1">
      <alignment horizontal="right"/>
    </xf>
    <xf numFmtId="3" fontId="162" fillId="0" borderId="70" xfId="76" applyNumberFormat="1" applyFont="1" applyFill="1" applyBorder="1" applyAlignment="1" applyProtection="1">
      <alignment horizontal="left"/>
    </xf>
    <xf numFmtId="3" fontId="162" fillId="0" borderId="77" xfId="76" applyNumberFormat="1" applyFont="1" applyFill="1" applyBorder="1" applyAlignment="1" applyProtection="1">
      <alignment horizontal="left" vertical="center"/>
    </xf>
    <xf numFmtId="0" fontId="75" fillId="0" borderId="0" xfId="76" applyFont="1" applyBorder="1" applyAlignment="1">
      <alignment horizontal="left"/>
    </xf>
    <xf numFmtId="3" fontId="7" fillId="0" borderId="0" xfId="76" applyNumberFormat="1" applyFont="1" applyFill="1" applyBorder="1" applyAlignment="1">
      <alignment horizontal="right"/>
    </xf>
    <xf numFmtId="0" fontId="80" fillId="0" borderId="0" xfId="76" applyFont="1" applyBorder="1" applyAlignment="1">
      <alignment horizontal="left"/>
    </xf>
    <xf numFmtId="3" fontId="75" fillId="0" borderId="0" xfId="76" applyNumberFormat="1" applyFont="1" applyBorder="1" applyAlignment="1">
      <alignment horizontal="left"/>
    </xf>
    <xf numFmtId="3" fontId="7" fillId="0" borderId="0" xfId="76" applyNumberFormat="1" applyFont="1" applyFill="1" applyBorder="1"/>
    <xf numFmtId="0" fontId="173" fillId="0" borderId="0" xfId="76" applyFont="1" applyBorder="1" applyProtection="1"/>
    <xf numFmtId="3" fontId="173" fillId="0" borderId="0" xfId="76" applyNumberFormat="1" applyFont="1" applyFill="1" applyBorder="1" applyAlignment="1">
      <alignment horizontal="right"/>
    </xf>
    <xf numFmtId="0" fontId="173" fillId="0" borderId="0" xfId="76" applyFont="1" applyBorder="1" applyAlignment="1" applyProtection="1">
      <alignment horizontal="left"/>
    </xf>
    <xf numFmtId="3" fontId="173" fillId="0" borderId="0" xfId="76" applyNumberFormat="1" applyFont="1" applyBorder="1" applyProtection="1"/>
    <xf numFmtId="3" fontId="173" fillId="0" borderId="77" xfId="76" applyNumberFormat="1" applyFont="1" applyBorder="1" applyProtection="1"/>
    <xf numFmtId="3" fontId="173" fillId="0" borderId="0" xfId="76" applyNumberFormat="1" applyFont="1" applyFill="1" applyBorder="1"/>
    <xf numFmtId="0" fontId="173" fillId="0" borderId="0" xfId="76" applyFont="1"/>
    <xf numFmtId="0" fontId="174" fillId="0" borderId="0" xfId="76" applyFont="1"/>
    <xf numFmtId="0" fontId="175" fillId="0" borderId="0" xfId="76" applyFont="1" applyAlignment="1">
      <alignment horizontal="left"/>
    </xf>
    <xf numFmtId="3" fontId="174" fillId="0" borderId="0" xfId="76" applyNumberFormat="1" applyFont="1"/>
    <xf numFmtId="3" fontId="120" fillId="0" borderId="37" xfId="96" applyNumberFormat="1" applyFont="1" applyFill="1" applyBorder="1"/>
    <xf numFmtId="3" fontId="176" fillId="0" borderId="116" xfId="76" applyNumberFormat="1" applyFont="1" applyFill="1" applyBorder="1" applyAlignment="1">
      <alignment horizontal="right"/>
    </xf>
    <xf numFmtId="10" fontId="176" fillId="0" borderId="116" xfId="76" applyNumberFormat="1" applyFont="1" applyFill="1" applyBorder="1" applyAlignment="1">
      <alignment horizontal="right"/>
    </xf>
    <xf numFmtId="3" fontId="176" fillId="0" borderId="116" xfId="76" applyNumberFormat="1" applyFont="1" applyFill="1" applyBorder="1" applyAlignment="1">
      <alignment horizontal="left"/>
    </xf>
    <xf numFmtId="3" fontId="176" fillId="0" borderId="69" xfId="76" applyNumberFormat="1" applyFont="1" applyFill="1" applyBorder="1" applyAlignment="1">
      <alignment horizontal="right"/>
    </xf>
    <xf numFmtId="10" fontId="176" fillId="0" borderId="69" xfId="76" applyNumberFormat="1" applyFont="1" applyFill="1" applyBorder="1" applyAlignment="1">
      <alignment horizontal="right"/>
    </xf>
    <xf numFmtId="3" fontId="176" fillId="0" borderId="70" xfId="76" applyNumberFormat="1" applyFont="1" applyBorder="1" applyAlignment="1" applyProtection="1">
      <alignment horizontal="left"/>
    </xf>
    <xf numFmtId="10" fontId="176" fillId="0" borderId="76" xfId="76" applyNumberFormat="1" applyFont="1" applyFill="1" applyBorder="1" applyAlignment="1">
      <alignment horizontal="right"/>
    </xf>
    <xf numFmtId="3" fontId="176" fillId="0" borderId="77" xfId="76" applyNumberFormat="1" applyFont="1" applyFill="1" applyBorder="1" applyAlignment="1">
      <alignment horizontal="right"/>
    </xf>
    <xf numFmtId="10" fontId="176" fillId="0" borderId="77" xfId="76" applyNumberFormat="1" applyFont="1" applyFill="1" applyBorder="1" applyAlignment="1">
      <alignment horizontal="right"/>
    </xf>
    <xf numFmtId="3" fontId="176" fillId="0" borderId="17" xfId="76" applyNumberFormat="1" applyFont="1" applyFill="1" applyBorder="1" applyAlignment="1" applyProtection="1">
      <alignment horizontal="left"/>
    </xf>
    <xf numFmtId="10" fontId="176" fillId="0" borderId="70" xfId="76" applyNumberFormat="1" applyFont="1" applyFill="1" applyBorder="1" applyAlignment="1">
      <alignment horizontal="right"/>
    </xf>
    <xf numFmtId="3" fontId="176" fillId="0" borderId="69" xfId="76" applyNumberFormat="1" applyFont="1" applyFill="1" applyBorder="1" applyAlignment="1" applyProtection="1">
      <alignment horizontal="center" vertical="center"/>
    </xf>
    <xf numFmtId="3" fontId="177" fillId="0" borderId="69" xfId="76" applyNumberFormat="1" applyFont="1" applyFill="1" applyBorder="1" applyAlignment="1" applyProtection="1">
      <alignment horizontal="center"/>
    </xf>
    <xf numFmtId="3" fontId="176" fillId="0" borderId="75" xfId="76" applyNumberFormat="1" applyFont="1" applyFill="1" applyBorder="1" applyProtection="1"/>
    <xf numFmtId="3" fontId="176" fillId="0" borderId="78" xfId="76" applyNumberFormat="1" applyFont="1" applyFill="1" applyBorder="1" applyAlignment="1">
      <alignment horizontal="right"/>
    </xf>
    <xf numFmtId="3" fontId="176" fillId="0" borderId="78" xfId="76" applyNumberFormat="1" applyFont="1" applyFill="1" applyBorder="1" applyAlignment="1">
      <alignment horizontal="left"/>
    </xf>
    <xf numFmtId="10" fontId="176" fillId="30" borderId="116" xfId="76" applyNumberFormat="1" applyFont="1" applyFill="1" applyBorder="1" applyAlignment="1">
      <alignment horizontal="right"/>
    </xf>
    <xf numFmtId="10" fontId="176" fillId="0" borderId="78" xfId="76" applyNumberFormat="1" applyFont="1" applyFill="1" applyBorder="1" applyAlignment="1">
      <alignment horizontal="right"/>
    </xf>
    <xf numFmtId="3" fontId="176" fillId="0" borderId="90" xfId="76" applyNumberFormat="1" applyFont="1" applyFill="1" applyBorder="1" applyAlignment="1">
      <alignment horizontal="right"/>
    </xf>
    <xf numFmtId="3" fontId="176" fillId="0" borderId="90" xfId="76" applyNumberFormat="1" applyFont="1" applyFill="1" applyBorder="1" applyAlignment="1">
      <alignment horizontal="left"/>
    </xf>
    <xf numFmtId="3" fontId="176" fillId="0" borderId="77" xfId="76" applyNumberFormat="1" applyFont="1" applyFill="1" applyBorder="1" applyAlignment="1" applyProtection="1">
      <alignment horizontal="left"/>
    </xf>
    <xf numFmtId="3" fontId="176" fillId="0" borderId="83" xfId="76" applyNumberFormat="1" applyFont="1" applyFill="1" applyBorder="1" applyAlignment="1">
      <alignment horizontal="right"/>
    </xf>
    <xf numFmtId="3" fontId="177" fillId="0" borderId="83" xfId="76" applyNumberFormat="1" applyFont="1" applyFill="1" applyBorder="1" applyAlignment="1" applyProtection="1">
      <alignment horizontal="center"/>
    </xf>
    <xf numFmtId="3" fontId="176" fillId="0" borderId="69" xfId="76" applyNumberFormat="1" applyFont="1" applyFill="1" applyBorder="1" applyAlignment="1" applyProtection="1">
      <alignment horizontal="justify"/>
    </xf>
    <xf numFmtId="10" fontId="176" fillId="0" borderId="70" xfId="76" applyNumberFormat="1" applyFont="1" applyFill="1" applyBorder="1" applyAlignment="1"/>
    <xf numFmtId="3" fontId="176" fillId="0" borderId="75" xfId="76" applyNumberFormat="1" applyFont="1" applyFill="1" applyBorder="1" applyAlignment="1">
      <alignment horizontal="right"/>
    </xf>
    <xf numFmtId="3" fontId="176" fillId="0" borderId="120" xfId="76" applyNumberFormat="1" applyFont="1" applyFill="1" applyBorder="1" applyAlignment="1">
      <alignment horizontal="right"/>
    </xf>
    <xf numFmtId="3" fontId="176" fillId="0" borderId="116" xfId="76" applyNumberFormat="1" applyFont="1" applyFill="1" applyBorder="1" applyAlignment="1" applyProtection="1">
      <alignment horizontal="justify"/>
    </xf>
    <xf numFmtId="3" fontId="176" fillId="0" borderId="116" xfId="76" applyNumberFormat="1" applyFont="1" applyFill="1" applyBorder="1" applyProtection="1"/>
    <xf numFmtId="3" fontId="176" fillId="0" borderId="78" xfId="76" applyNumberFormat="1" applyFont="1" applyFill="1" applyBorder="1" applyAlignment="1" applyProtection="1">
      <alignment horizontal="justify"/>
    </xf>
    <xf numFmtId="10" fontId="176" fillId="0" borderId="78" xfId="76" applyNumberFormat="1" applyFont="1" applyFill="1" applyBorder="1" applyAlignment="1"/>
    <xf numFmtId="3" fontId="176" fillId="0" borderId="70" xfId="76" applyNumberFormat="1" applyFont="1" applyFill="1" applyBorder="1" applyAlignment="1">
      <alignment horizontal="right"/>
    </xf>
    <xf numFmtId="3" fontId="176" fillId="0" borderId="28" xfId="76" applyNumberFormat="1" applyFont="1" applyFill="1" applyBorder="1" applyAlignment="1">
      <alignment horizontal="right"/>
    </xf>
    <xf numFmtId="3" fontId="176" fillId="0" borderId="70" xfId="76" applyNumberFormat="1" applyFont="1" applyFill="1" applyBorder="1" applyAlignment="1" applyProtection="1">
      <alignment horizontal="justify"/>
    </xf>
    <xf numFmtId="3" fontId="176" fillId="0" borderId="70" xfId="76" applyNumberFormat="1" applyFont="1" applyFill="1" applyBorder="1" applyAlignment="1" applyProtection="1">
      <alignment horizontal="left"/>
    </xf>
    <xf numFmtId="3" fontId="176" fillId="0" borderId="76" xfId="76" applyNumberFormat="1" applyFont="1" applyFill="1" applyBorder="1" applyAlignment="1">
      <alignment horizontal="right"/>
    </xf>
    <xf numFmtId="3" fontId="176" fillId="0" borderId="77" xfId="76" applyNumberFormat="1" applyFont="1" applyFill="1" applyBorder="1" applyAlignment="1" applyProtection="1">
      <alignment horizontal="left" vertical="center"/>
    </xf>
    <xf numFmtId="0" fontId="69" fillId="0" borderId="0" xfId="104" applyFont="1" applyFill="1" applyBorder="1" applyAlignment="1">
      <alignment horizontal="right"/>
    </xf>
    <xf numFmtId="3" fontId="178" fillId="0" borderId="116" xfId="76" applyNumberFormat="1" applyFont="1" applyFill="1" applyBorder="1" applyAlignment="1">
      <alignment horizontal="right"/>
    </xf>
    <xf numFmtId="10" fontId="178" fillId="0" borderId="116" xfId="76" applyNumberFormat="1" applyFont="1" applyFill="1" applyBorder="1" applyAlignment="1">
      <alignment horizontal="right"/>
    </xf>
    <xf numFmtId="3" fontId="178" fillId="0" borderId="116" xfId="76" applyNumberFormat="1" applyFont="1" applyFill="1" applyBorder="1" applyAlignment="1">
      <alignment horizontal="left"/>
    </xf>
    <xf numFmtId="3" fontId="178" fillId="0" borderId="69" xfId="76" applyNumberFormat="1" applyFont="1" applyFill="1" applyBorder="1" applyAlignment="1">
      <alignment horizontal="right"/>
    </xf>
    <xf numFmtId="10" fontId="178" fillId="0" borderId="69" xfId="76" applyNumberFormat="1" applyFont="1" applyFill="1" applyBorder="1" applyAlignment="1">
      <alignment horizontal="right"/>
    </xf>
    <xf numFmtId="3" fontId="178" fillId="0" borderId="70" xfId="76" applyNumberFormat="1" applyFont="1" applyBorder="1" applyAlignment="1" applyProtection="1">
      <alignment horizontal="left"/>
    </xf>
    <xf numFmtId="3" fontId="178" fillId="0" borderId="77" xfId="76" applyNumberFormat="1" applyFont="1" applyFill="1" applyBorder="1" applyAlignment="1">
      <alignment horizontal="right"/>
    </xf>
    <xf numFmtId="10" fontId="178" fillId="0" borderId="77" xfId="76" applyNumberFormat="1" applyFont="1" applyFill="1" applyBorder="1" applyAlignment="1">
      <alignment horizontal="right"/>
    </xf>
    <xf numFmtId="3" fontId="178" fillId="0" borderId="17" xfId="76" applyNumberFormat="1" applyFont="1" applyFill="1" applyBorder="1" applyAlignment="1" applyProtection="1">
      <alignment horizontal="left"/>
    </xf>
    <xf numFmtId="10" fontId="178" fillId="0" borderId="70" xfId="76" applyNumberFormat="1" applyFont="1" applyFill="1" applyBorder="1" applyAlignment="1">
      <alignment horizontal="right"/>
    </xf>
    <xf numFmtId="3" fontId="178" fillId="0" borderId="69" xfId="76" applyNumberFormat="1" applyFont="1" applyFill="1" applyBorder="1" applyAlignment="1" applyProtection="1">
      <alignment horizontal="center" vertical="center"/>
    </xf>
    <xf numFmtId="3" fontId="179" fillId="0" borderId="69" xfId="76" applyNumberFormat="1" applyFont="1" applyFill="1" applyBorder="1" applyAlignment="1" applyProtection="1">
      <alignment horizontal="center"/>
    </xf>
    <xf numFmtId="3" fontId="178" fillId="0" borderId="75" xfId="76" applyNumberFormat="1" applyFont="1" applyFill="1" applyBorder="1" applyProtection="1"/>
    <xf numFmtId="3" fontId="178" fillId="0" borderId="78" xfId="76" applyNumberFormat="1" applyFont="1" applyFill="1" applyBorder="1" applyAlignment="1">
      <alignment horizontal="right"/>
    </xf>
    <xf numFmtId="3" fontId="178" fillId="0" borderId="78" xfId="76" applyNumberFormat="1" applyFont="1" applyFill="1" applyBorder="1" applyAlignment="1">
      <alignment horizontal="left"/>
    </xf>
    <xf numFmtId="3" fontId="178" fillId="0" borderId="90" xfId="76" applyNumberFormat="1" applyFont="1" applyFill="1" applyBorder="1" applyAlignment="1">
      <alignment horizontal="left"/>
    </xf>
    <xf numFmtId="3" fontId="178" fillId="0" borderId="77" xfId="76" applyNumberFormat="1" applyFont="1" applyFill="1" applyBorder="1" applyAlignment="1" applyProtection="1">
      <alignment horizontal="left"/>
    </xf>
    <xf numFmtId="3" fontId="178" fillId="0" borderId="83" xfId="76" applyNumberFormat="1" applyFont="1" applyFill="1" applyBorder="1" applyAlignment="1">
      <alignment horizontal="right"/>
    </xf>
    <xf numFmtId="3" fontId="179" fillId="0" borderId="83" xfId="76" applyNumberFormat="1" applyFont="1" applyFill="1" applyBorder="1" applyAlignment="1" applyProtection="1">
      <alignment horizontal="center"/>
    </xf>
    <xf numFmtId="3" fontId="178" fillId="0" borderId="69" xfId="76" applyNumberFormat="1" applyFont="1" applyFill="1" applyBorder="1" applyAlignment="1" applyProtection="1">
      <alignment horizontal="justify"/>
    </xf>
    <xf numFmtId="3" fontId="178" fillId="0" borderId="75" xfId="76" applyNumberFormat="1" applyFont="1" applyFill="1" applyBorder="1" applyAlignment="1">
      <alignment horizontal="right"/>
    </xf>
    <xf numFmtId="3" fontId="178" fillId="0" borderId="116" xfId="76" applyNumberFormat="1" applyFont="1" applyFill="1" applyBorder="1" applyAlignment="1" applyProtection="1">
      <alignment horizontal="justify"/>
    </xf>
    <xf numFmtId="3" fontId="178" fillId="0" borderId="116" xfId="76" applyNumberFormat="1" applyFont="1" applyFill="1" applyBorder="1" applyProtection="1"/>
    <xf numFmtId="3" fontId="178" fillId="0" borderId="78" xfId="76" applyNumberFormat="1" applyFont="1" applyFill="1" applyBorder="1" applyAlignment="1" applyProtection="1">
      <alignment horizontal="right"/>
    </xf>
    <xf numFmtId="3" fontId="178" fillId="0" borderId="78" xfId="76" applyNumberFormat="1" applyFont="1" applyFill="1" applyBorder="1" applyAlignment="1" applyProtection="1">
      <alignment horizontal="justify"/>
    </xf>
    <xf numFmtId="10" fontId="178" fillId="0" borderId="78" xfId="76" applyNumberFormat="1" applyFont="1" applyFill="1" applyBorder="1" applyAlignment="1">
      <alignment horizontal="right"/>
    </xf>
    <xf numFmtId="3" fontId="178" fillId="0" borderId="76" xfId="76" applyNumberFormat="1" applyFont="1" applyFill="1" applyBorder="1" applyAlignment="1" applyProtection="1">
      <alignment horizontal="right"/>
    </xf>
    <xf numFmtId="3" fontId="178" fillId="0" borderId="76" xfId="76" applyNumberFormat="1" applyFont="1" applyFill="1" applyBorder="1" applyAlignment="1" applyProtection="1">
      <alignment horizontal="justify"/>
    </xf>
    <xf numFmtId="10" fontId="178" fillId="0" borderId="76" xfId="76" applyNumberFormat="1" applyFont="1" applyFill="1" applyBorder="1" applyAlignment="1">
      <alignment horizontal="right"/>
    </xf>
    <xf numFmtId="3" fontId="178" fillId="0" borderId="70" xfId="76" applyNumberFormat="1" applyFont="1" applyFill="1" applyBorder="1" applyAlignment="1">
      <alignment horizontal="right"/>
    </xf>
    <xf numFmtId="3" fontId="178" fillId="0" borderId="70" xfId="76" applyNumberFormat="1" applyFont="1" applyFill="1" applyBorder="1" applyAlignment="1" applyProtection="1">
      <alignment horizontal="left"/>
    </xf>
    <xf numFmtId="3" fontId="178" fillId="0" borderId="76" xfId="76" applyNumberFormat="1" applyFont="1" applyFill="1" applyBorder="1" applyAlignment="1">
      <alignment horizontal="right"/>
    </xf>
    <xf numFmtId="3" fontId="178" fillId="0" borderId="77" xfId="76" applyNumberFormat="1" applyFont="1" applyFill="1" applyBorder="1" applyAlignment="1" applyProtection="1">
      <alignment horizontal="left" vertical="center"/>
    </xf>
    <xf numFmtId="3" fontId="178" fillId="0" borderId="23" xfId="76" applyNumberFormat="1" applyFont="1" applyFill="1" applyBorder="1" applyAlignment="1">
      <alignment horizontal="center"/>
    </xf>
    <xf numFmtId="3" fontId="180" fillId="0" borderId="23" xfId="76" applyNumberFormat="1" applyFont="1" applyFill="1" applyBorder="1" applyAlignment="1">
      <alignment horizontal="left"/>
    </xf>
    <xf numFmtId="3" fontId="178" fillId="0" borderId="18" xfId="76" applyNumberFormat="1" applyFont="1" applyFill="1" applyBorder="1" applyAlignment="1">
      <alignment horizontal="center"/>
    </xf>
    <xf numFmtId="3" fontId="180" fillId="0" borderId="18" xfId="76" applyNumberFormat="1" applyFont="1" applyFill="1" applyBorder="1" applyAlignment="1">
      <alignment horizontal="left"/>
    </xf>
    <xf numFmtId="3" fontId="178" fillId="0" borderId="18" xfId="76" applyNumberFormat="1" applyFont="1" applyFill="1" applyBorder="1" applyAlignment="1">
      <alignment horizontal="center" vertical="center"/>
    </xf>
    <xf numFmtId="3" fontId="181" fillId="0" borderId="70" xfId="76" applyNumberFormat="1" applyFont="1" applyFill="1" applyBorder="1" applyAlignment="1">
      <alignment horizontal="center" vertical="center" wrapText="1"/>
    </xf>
    <xf numFmtId="3" fontId="178" fillId="0" borderId="19" xfId="76" applyNumberFormat="1" applyFont="1" applyFill="1" applyBorder="1" applyAlignment="1">
      <alignment horizontal="center" vertical="center"/>
    </xf>
    <xf numFmtId="3" fontId="178" fillId="0" borderId="83" xfId="76" applyNumberFormat="1" applyFont="1" applyFill="1" applyBorder="1" applyAlignment="1">
      <alignment horizontal="center" vertical="center"/>
    </xf>
    <xf numFmtId="0" fontId="183" fillId="0" borderId="0" xfId="106" applyFont="1"/>
    <xf numFmtId="3" fontId="184" fillId="0" borderId="0" xfId="107" applyNumberFormat="1" applyFont="1" applyBorder="1" applyAlignment="1">
      <alignment horizontal="right"/>
    </xf>
    <xf numFmtId="0" fontId="182" fillId="0" borderId="0" xfId="108" applyBorder="1"/>
    <xf numFmtId="0" fontId="183" fillId="0" borderId="0" xfId="108" applyFont="1"/>
    <xf numFmtId="0" fontId="144" fillId="0" borderId="0" xfId="106" applyFont="1" applyFill="1"/>
    <xf numFmtId="0" fontId="144" fillId="0" borderId="0" xfId="106" applyFont="1" applyFill="1" applyAlignment="1">
      <alignment horizontal="left"/>
    </xf>
    <xf numFmtId="3" fontId="183" fillId="0" borderId="0" xfId="107" applyNumberFormat="1" applyFont="1" applyBorder="1" applyAlignment="1">
      <alignment horizontal="right"/>
    </xf>
    <xf numFmtId="0" fontId="78" fillId="0" borderId="83" xfId="108" applyFont="1" applyBorder="1" applyAlignment="1">
      <alignment horizontal="center"/>
    </xf>
    <xf numFmtId="0" fontId="186" fillId="0" borderId="0" xfId="108" applyFont="1" applyBorder="1"/>
    <xf numFmtId="0" fontId="78" fillId="0" borderId="69" xfId="108" applyFont="1" applyBorder="1" applyAlignment="1">
      <alignment horizontal="center"/>
    </xf>
    <xf numFmtId="0" fontId="190" fillId="0" borderId="0" xfId="108" applyFont="1" applyBorder="1"/>
    <xf numFmtId="0" fontId="182" fillId="0" borderId="92" xfId="108" applyBorder="1"/>
    <xf numFmtId="0" fontId="182" fillId="0" borderId="0" xfId="108" applyFill="1" applyBorder="1"/>
    <xf numFmtId="0" fontId="192" fillId="0" borderId="69" xfId="106" applyFont="1" applyFill="1" applyBorder="1" applyAlignment="1" applyProtection="1">
      <alignment horizontal="left" vertical="top" wrapText="1"/>
    </xf>
    <xf numFmtId="3" fontId="189" fillId="0" borderId="0" xfId="107" applyNumberFormat="1" applyFont="1" applyBorder="1" applyAlignment="1"/>
    <xf numFmtId="0" fontId="185" fillId="0" borderId="83" xfId="106" applyFont="1" applyBorder="1" applyAlignment="1">
      <alignment horizontal="center" vertical="center"/>
    </xf>
    <xf numFmtId="0" fontId="78" fillId="0" borderId="23" xfId="108" applyFont="1" applyBorder="1" applyAlignment="1">
      <alignment horizontal="center"/>
    </xf>
    <xf numFmtId="0" fontId="187" fillId="0" borderId="69" xfId="106" applyFont="1" applyBorder="1" applyAlignment="1">
      <alignment horizontal="center" vertical="center"/>
    </xf>
    <xf numFmtId="0" fontId="78" fillId="0" borderId="18" xfId="108" applyFont="1" applyBorder="1" applyAlignment="1">
      <alignment horizontal="center"/>
    </xf>
    <xf numFmtId="0" fontId="188" fillId="0" borderId="83" xfId="109" applyFont="1" applyFill="1" applyBorder="1" applyAlignment="1">
      <alignment horizontal="center" vertical="center"/>
    </xf>
    <xf numFmtId="3" fontId="191" fillId="0" borderId="53" xfId="107" applyNumberFormat="1" applyFont="1" applyBorder="1" applyAlignment="1">
      <alignment horizontal="left"/>
    </xf>
    <xf numFmtId="3" fontId="191" fillId="0" borderId="83" xfId="107" applyNumberFormat="1" applyFont="1" applyBorder="1" applyAlignment="1">
      <alignment horizontal="left"/>
    </xf>
    <xf numFmtId="0" fontId="4" fillId="0" borderId="0" xfId="0" applyFont="1" applyFill="1" applyAlignment="1">
      <alignment horizontal="center"/>
    </xf>
    <xf numFmtId="3" fontId="64" fillId="0" borderId="29" xfId="0" applyNumberFormat="1" applyFont="1" applyFill="1" applyBorder="1"/>
    <xf numFmtId="2" fontId="64" fillId="0" borderId="71" xfId="0" applyNumberFormat="1" applyFont="1" applyFill="1" applyBorder="1"/>
    <xf numFmtId="3" fontId="64" fillId="0" borderId="59" xfId="0" applyNumberFormat="1" applyFont="1" applyFill="1" applyBorder="1"/>
    <xf numFmtId="2" fontId="9" fillId="0" borderId="110" xfId="0" applyNumberFormat="1" applyFont="1" applyFill="1" applyBorder="1"/>
    <xf numFmtId="3" fontId="194" fillId="0" borderId="0" xfId="96" applyNumberFormat="1" applyFont="1"/>
    <xf numFmtId="3" fontId="195" fillId="0" borderId="0" xfId="96" applyNumberFormat="1" applyFont="1"/>
    <xf numFmtId="3" fontId="196" fillId="0" borderId="0" xfId="96" applyNumberFormat="1" applyFont="1" applyFill="1"/>
    <xf numFmtId="3" fontId="197" fillId="0" borderId="0" xfId="96" applyNumberFormat="1" applyFont="1" applyFill="1"/>
    <xf numFmtId="3" fontId="198" fillId="0" borderId="0" xfId="96" applyNumberFormat="1" applyFont="1" applyFill="1"/>
    <xf numFmtId="3" fontId="197" fillId="0" borderId="0" xfId="96" applyNumberFormat="1" applyFont="1"/>
    <xf numFmtId="3" fontId="198" fillId="0" borderId="0" xfId="96" applyNumberFormat="1" applyFont="1"/>
    <xf numFmtId="3" fontId="194" fillId="0" borderId="0" xfId="96" applyNumberFormat="1" applyFont="1" applyFill="1"/>
    <xf numFmtId="3" fontId="200" fillId="0" borderId="116" xfId="107" applyNumberFormat="1" applyFont="1" applyFill="1" applyBorder="1" applyAlignment="1">
      <alignment horizontal="right"/>
    </xf>
    <xf numFmtId="3" fontId="200" fillId="0" borderId="76" xfId="107" applyNumberFormat="1" applyFont="1" applyFill="1" applyBorder="1" applyAlignment="1">
      <alignment horizontal="right"/>
    </xf>
    <xf numFmtId="0" fontId="199" fillId="0" borderId="133" xfId="109" applyFont="1" applyFill="1" applyBorder="1" applyAlignment="1" applyProtection="1">
      <alignment horizontal="left"/>
    </xf>
    <xf numFmtId="3" fontId="200" fillId="0" borderId="133" xfId="107" applyNumberFormat="1" applyFont="1" applyFill="1" applyBorder="1" applyAlignment="1">
      <alignment horizontal="right"/>
    </xf>
    <xf numFmtId="0" fontId="199" fillId="0" borderId="76" xfId="109" applyFont="1" applyFill="1" applyBorder="1" applyAlignment="1" applyProtection="1">
      <alignment horizontal="left"/>
    </xf>
    <xf numFmtId="3" fontId="200" fillId="0" borderId="77" xfId="107" applyNumberFormat="1" applyFont="1" applyFill="1" applyBorder="1" applyAlignment="1">
      <alignment horizontal="right"/>
    </xf>
    <xf numFmtId="0" fontId="199" fillId="0" borderId="69" xfId="109" applyFont="1" applyFill="1" applyBorder="1" applyAlignment="1" applyProtection="1">
      <alignment horizontal="left"/>
    </xf>
    <xf numFmtId="3" fontId="200" fillId="0" borderId="69" xfId="107" applyNumberFormat="1" applyFont="1" applyFill="1" applyBorder="1" applyAlignment="1">
      <alignment horizontal="right"/>
    </xf>
    <xf numFmtId="3" fontId="200" fillId="0" borderId="78" xfId="107" applyNumberFormat="1" applyFont="1" applyFill="1" applyBorder="1" applyAlignment="1">
      <alignment horizontal="right"/>
    </xf>
    <xf numFmtId="3" fontId="201" fillId="0" borderId="77" xfId="107" applyNumberFormat="1" applyFont="1" applyFill="1" applyBorder="1" applyAlignment="1">
      <alignment horizontal="left"/>
    </xf>
    <xf numFmtId="3" fontId="185" fillId="0" borderId="70" xfId="107" applyNumberFormat="1" applyFont="1" applyFill="1" applyBorder="1" applyAlignment="1">
      <alignment horizontal="right"/>
    </xf>
    <xf numFmtId="3" fontId="185" fillId="0" borderId="77" xfId="107" applyNumberFormat="1" applyFont="1" applyFill="1" applyBorder="1" applyAlignment="1">
      <alignment horizontal="right"/>
    </xf>
    <xf numFmtId="3" fontId="185" fillId="0" borderId="83" xfId="107" applyNumberFormat="1" applyFont="1" applyFill="1" applyBorder="1" applyAlignment="1">
      <alignment horizontal="right"/>
    </xf>
    <xf numFmtId="3" fontId="200" fillId="0" borderId="83" xfId="107" applyNumberFormat="1" applyFont="1" applyFill="1" applyBorder="1" applyAlignment="1">
      <alignment horizontal="right"/>
    </xf>
    <xf numFmtId="3" fontId="200" fillId="0" borderId="123" xfId="107" applyNumberFormat="1" applyFont="1" applyFill="1" applyBorder="1" applyAlignment="1">
      <alignment horizontal="left"/>
    </xf>
    <xf numFmtId="3" fontId="200" fillId="0" borderId="26" xfId="107" applyNumberFormat="1" applyFont="1" applyFill="1" applyBorder="1" applyAlignment="1">
      <alignment horizontal="left"/>
    </xf>
    <xf numFmtId="3" fontId="200" fillId="0" borderId="20" xfId="107" applyNumberFormat="1" applyFont="1" applyFill="1" applyBorder="1" applyAlignment="1">
      <alignment horizontal="left"/>
    </xf>
    <xf numFmtId="0" fontId="201" fillId="0" borderId="77" xfId="106" applyFont="1" applyFill="1" applyBorder="1" applyProtection="1"/>
    <xf numFmtId="3" fontId="200" fillId="0" borderId="77" xfId="107" applyNumberFormat="1" applyFont="1" applyFill="1" applyBorder="1" applyAlignment="1">
      <alignment horizontal="left"/>
    </xf>
    <xf numFmtId="0" fontId="200" fillId="0" borderId="69" xfId="106" applyFont="1" applyFill="1" applyBorder="1" applyAlignment="1" applyProtection="1">
      <alignment horizontal="left" vertical="top" wrapText="1"/>
    </xf>
    <xf numFmtId="3" fontId="200" fillId="0" borderId="116" xfId="107" applyNumberFormat="1" applyFont="1" applyFill="1" applyBorder="1" applyAlignment="1">
      <alignment horizontal="left"/>
    </xf>
    <xf numFmtId="0" fontId="200" fillId="0" borderId="69" xfId="106" applyFont="1" applyFill="1" applyBorder="1" applyAlignment="1" applyProtection="1">
      <alignment horizontal="left" vertical="top"/>
    </xf>
    <xf numFmtId="3" fontId="200" fillId="0" borderId="78" xfId="107" applyNumberFormat="1" applyFont="1" applyFill="1" applyBorder="1" applyAlignment="1">
      <alignment horizontal="left"/>
    </xf>
    <xf numFmtId="0" fontId="200" fillId="0" borderId="18" xfId="106" applyFont="1" applyFill="1" applyBorder="1" applyAlignment="1" applyProtection="1">
      <alignment horizontal="left" vertical="top"/>
    </xf>
    <xf numFmtId="3" fontId="200" fillId="0" borderId="78" xfId="107" applyNumberFormat="1" applyFont="1" applyFill="1" applyBorder="1" applyAlignment="1">
      <alignment horizontal="left" wrapText="1"/>
    </xf>
    <xf numFmtId="3" fontId="200" fillId="0" borderId="90" xfId="107" applyNumberFormat="1" applyFont="1" applyFill="1" applyBorder="1" applyAlignment="1">
      <alignment horizontal="left" wrapText="1"/>
    </xf>
    <xf numFmtId="3" fontId="200" fillId="0" borderId="116" xfId="107" applyNumberFormat="1" applyFont="1" applyFill="1" applyBorder="1" applyAlignment="1">
      <alignment horizontal="left" wrapText="1"/>
    </xf>
    <xf numFmtId="3" fontId="200" fillId="0" borderId="90" xfId="107" applyNumberFormat="1" applyFont="1" applyFill="1" applyBorder="1" applyAlignment="1">
      <alignment horizontal="left"/>
    </xf>
    <xf numFmtId="0" fontId="201" fillId="0" borderId="77" xfId="106" applyFont="1" applyFill="1" applyBorder="1" applyAlignment="1" applyProtection="1">
      <alignment horizontal="left"/>
    </xf>
    <xf numFmtId="0" fontId="185" fillId="0" borderId="77" xfId="106" applyFont="1" applyFill="1" applyBorder="1" applyAlignment="1" applyProtection="1">
      <alignment horizontal="center" vertical="center"/>
    </xf>
    <xf numFmtId="0" fontId="199" fillId="0" borderId="69" xfId="109" applyFont="1" applyFill="1" applyBorder="1" applyAlignment="1" applyProtection="1"/>
    <xf numFmtId="0" fontId="199" fillId="0" borderId="83" xfId="109" applyFont="1" applyFill="1" applyBorder="1" applyAlignment="1" applyProtection="1"/>
    <xf numFmtId="0" fontId="200" fillId="0" borderId="83" xfId="0" applyFont="1" applyFill="1" applyBorder="1" applyAlignment="1"/>
    <xf numFmtId="3" fontId="200" fillId="0" borderId="83" xfId="107" applyNumberFormat="1" applyFont="1" applyFill="1" applyBorder="1" applyAlignment="1">
      <alignment horizontal="left"/>
    </xf>
    <xf numFmtId="0" fontId="200" fillId="0" borderId="69" xfId="106" applyFont="1" applyFill="1" applyBorder="1" applyAlignment="1" applyProtection="1">
      <alignment horizontal="left" wrapText="1"/>
    </xf>
    <xf numFmtId="0" fontId="204" fillId="0" borderId="69" xfId="109" applyFont="1" applyFill="1" applyBorder="1" applyAlignment="1" applyProtection="1"/>
    <xf numFmtId="3" fontId="192" fillId="0" borderId="101" xfId="107" applyNumberFormat="1" applyFont="1" applyFill="1" applyBorder="1" applyAlignment="1">
      <alignment horizontal="left"/>
    </xf>
    <xf numFmtId="3" fontId="192" fillId="0" borderId="116" xfId="107" applyNumberFormat="1" applyFont="1" applyFill="1" applyBorder="1" applyAlignment="1">
      <alignment horizontal="right"/>
    </xf>
    <xf numFmtId="0" fontId="204" fillId="0" borderId="70" xfId="109" applyFont="1" applyFill="1" applyBorder="1" applyAlignment="1" applyProtection="1"/>
    <xf numFmtId="0" fontId="204" fillId="0" borderId="16" xfId="109" applyFont="1" applyFill="1" applyBorder="1" applyAlignment="1" applyProtection="1">
      <alignment horizontal="left"/>
    </xf>
    <xf numFmtId="3" fontId="192" fillId="0" borderId="76" xfId="107" applyNumberFormat="1" applyFont="1" applyFill="1" applyBorder="1" applyAlignment="1">
      <alignment horizontal="right"/>
    </xf>
    <xf numFmtId="0" fontId="204" fillId="0" borderId="83" xfId="109" applyFont="1" applyFill="1" applyBorder="1" applyAlignment="1" applyProtection="1"/>
    <xf numFmtId="0" fontId="204" fillId="0" borderId="133" xfId="109" applyFont="1" applyFill="1" applyBorder="1" applyAlignment="1" applyProtection="1">
      <alignment horizontal="left"/>
    </xf>
    <xf numFmtId="0" fontId="204" fillId="0" borderId="19" xfId="109" applyFont="1" applyFill="1" applyBorder="1" applyAlignment="1" applyProtection="1">
      <alignment horizontal="left"/>
    </xf>
    <xf numFmtId="0" fontId="204" fillId="0" borderId="123" xfId="109" applyFont="1" applyFill="1" applyBorder="1" applyAlignment="1" applyProtection="1">
      <alignment horizontal="left"/>
    </xf>
    <xf numFmtId="3" fontId="192" fillId="0" borderId="133" xfId="107" applyNumberFormat="1" applyFont="1" applyFill="1" applyBorder="1" applyAlignment="1">
      <alignment horizontal="right"/>
    </xf>
    <xf numFmtId="0" fontId="204" fillId="0" borderId="26" xfId="109" applyFont="1" applyFill="1" applyBorder="1" applyAlignment="1" applyProtection="1">
      <alignment horizontal="left" wrapText="1"/>
    </xf>
    <xf numFmtId="0" fontId="204" fillId="0" borderId="76" xfId="109" applyFont="1" applyFill="1" applyBorder="1" applyAlignment="1" applyProtection="1">
      <alignment horizontal="left"/>
    </xf>
    <xf numFmtId="3" fontId="192" fillId="0" borderId="77" xfId="107" applyNumberFormat="1" applyFont="1" applyFill="1" applyBorder="1" applyAlignment="1">
      <alignment horizontal="right"/>
    </xf>
    <xf numFmtId="0" fontId="204" fillId="0" borderId="77" xfId="109" applyFont="1" applyFill="1" applyBorder="1" applyAlignment="1" applyProtection="1">
      <alignment horizontal="left"/>
    </xf>
    <xf numFmtId="3" fontId="192" fillId="0" borderId="81" xfId="107" applyNumberFormat="1" applyFont="1" applyFill="1" applyBorder="1" applyAlignment="1">
      <alignment horizontal="right"/>
    </xf>
    <xf numFmtId="0" fontId="192" fillId="0" borderId="83" xfId="0" applyFont="1" applyFill="1" applyBorder="1" applyAlignment="1"/>
    <xf numFmtId="0" fontId="204" fillId="0" borderId="69" xfId="109" applyFont="1" applyFill="1" applyBorder="1" applyAlignment="1" applyProtection="1">
      <alignment horizontal="left"/>
    </xf>
    <xf numFmtId="3" fontId="192" fillId="0" borderId="69" xfId="107" applyNumberFormat="1" applyFont="1" applyFill="1" applyBorder="1" applyAlignment="1">
      <alignment horizontal="right"/>
    </xf>
    <xf numFmtId="0" fontId="204" fillId="0" borderId="69" xfId="109" applyFont="1" applyFill="1" applyBorder="1" applyAlignment="1" applyProtection="1">
      <alignment vertical="top"/>
    </xf>
    <xf numFmtId="0" fontId="204" fillId="0" borderId="26" xfId="109" applyFont="1" applyFill="1" applyBorder="1" applyAlignment="1" applyProtection="1">
      <alignment horizontal="left"/>
    </xf>
    <xf numFmtId="3" fontId="192" fillId="0" borderId="78" xfId="107" applyNumberFormat="1" applyFont="1" applyFill="1" applyBorder="1" applyAlignment="1">
      <alignment horizontal="right"/>
    </xf>
    <xf numFmtId="0" fontId="204" fillId="0" borderId="70" xfId="109" applyFont="1" applyFill="1" applyBorder="1" applyAlignment="1" applyProtection="1">
      <alignment vertical="top"/>
    </xf>
    <xf numFmtId="3" fontId="205" fillId="0" borderId="77" xfId="107" applyNumberFormat="1" applyFont="1" applyFill="1" applyBorder="1" applyAlignment="1">
      <alignment horizontal="left"/>
    </xf>
    <xf numFmtId="3" fontId="206" fillId="0" borderId="70" xfId="107" applyNumberFormat="1" applyFont="1" applyFill="1" applyBorder="1" applyAlignment="1">
      <alignment horizontal="left"/>
    </xf>
    <xf numFmtId="3" fontId="206" fillId="0" borderId="70" xfId="107" applyNumberFormat="1" applyFont="1" applyFill="1" applyBorder="1" applyAlignment="1">
      <alignment horizontal="right"/>
    </xf>
    <xf numFmtId="3" fontId="192" fillId="0" borderId="83" xfId="107" applyNumberFormat="1" applyFont="1" applyFill="1" applyBorder="1" applyAlignment="1">
      <alignment horizontal="left"/>
    </xf>
    <xf numFmtId="0" fontId="204" fillId="0" borderId="124" xfId="109" applyFont="1" applyFill="1" applyBorder="1" applyAlignment="1" applyProtection="1">
      <alignment horizontal="left"/>
    </xf>
    <xf numFmtId="3" fontId="192" fillId="0" borderId="69" xfId="107" applyNumberFormat="1" applyFont="1" applyFill="1" applyBorder="1" applyAlignment="1">
      <alignment horizontal="left" vertical="top"/>
    </xf>
    <xf numFmtId="0" fontId="204" fillId="0" borderId="89" xfId="109" applyFont="1" applyFill="1" applyBorder="1" applyAlignment="1" applyProtection="1">
      <alignment horizontal="left"/>
    </xf>
    <xf numFmtId="0" fontId="207" fillId="0" borderId="69" xfId="0" applyFont="1" applyFill="1" applyBorder="1" applyAlignment="1">
      <alignment horizontal="left" vertical="top"/>
    </xf>
    <xf numFmtId="0" fontId="204" fillId="0" borderId="135" xfId="109" applyFont="1" applyFill="1" applyBorder="1" applyAlignment="1" applyProtection="1">
      <alignment horizontal="left"/>
    </xf>
    <xf numFmtId="3" fontId="192" fillId="0" borderId="90" xfId="107" applyNumberFormat="1" applyFont="1" applyFill="1" applyBorder="1" applyAlignment="1">
      <alignment horizontal="right"/>
    </xf>
    <xf numFmtId="0" fontId="205" fillId="0" borderId="20" xfId="106" applyFont="1" applyFill="1" applyBorder="1" applyAlignment="1" applyProtection="1">
      <alignment horizontal="left"/>
    </xf>
    <xf numFmtId="3" fontId="206" fillId="0" borderId="77" xfId="107" applyNumberFormat="1" applyFont="1" applyFill="1" applyBorder="1" applyAlignment="1">
      <alignment horizontal="left"/>
    </xf>
    <xf numFmtId="3" fontId="206" fillId="0" borderId="77" xfId="107" applyNumberFormat="1" applyFont="1" applyFill="1" applyBorder="1" applyAlignment="1">
      <alignment horizontal="right"/>
    </xf>
    <xf numFmtId="3" fontId="205" fillId="0" borderId="23" xfId="106" applyNumberFormat="1" applyFont="1" applyFill="1" applyBorder="1" applyAlignment="1">
      <alignment horizontal="left"/>
    </xf>
    <xf numFmtId="0" fontId="192" fillId="0" borderId="83" xfId="109" applyFont="1" applyFill="1" applyBorder="1" applyAlignment="1">
      <alignment horizontal="left"/>
    </xf>
    <xf numFmtId="3" fontId="206" fillId="0" borderId="83" xfId="107" applyNumberFormat="1" applyFont="1" applyFill="1" applyBorder="1" applyAlignment="1">
      <alignment horizontal="right"/>
    </xf>
    <xf numFmtId="0" fontId="208" fillId="0" borderId="23" xfId="106" applyFont="1" applyFill="1" applyBorder="1" applyAlignment="1" applyProtection="1">
      <alignment horizontal="center" vertical="center"/>
    </xf>
    <xf numFmtId="3" fontId="192" fillId="0" borderId="83" xfId="107" applyNumberFormat="1" applyFont="1" applyFill="1" applyBorder="1" applyAlignment="1">
      <alignment horizontal="right"/>
    </xf>
    <xf numFmtId="0" fontId="205" fillId="0" borderId="18" xfId="106" applyFont="1" applyFill="1" applyBorder="1" applyProtection="1"/>
    <xf numFmtId="0" fontId="192" fillId="0" borderId="69" xfId="0" applyFont="1" applyFill="1" applyBorder="1" applyAlignment="1">
      <alignment horizontal="left"/>
    </xf>
    <xf numFmtId="0" fontId="192" fillId="0" borderId="23" xfId="0" applyFont="1" applyFill="1" applyBorder="1" applyAlignment="1">
      <alignment horizontal="left"/>
    </xf>
    <xf numFmtId="3" fontId="192" fillId="0" borderId="123" xfId="107" applyNumberFormat="1" applyFont="1" applyFill="1" applyBorder="1" applyAlignment="1">
      <alignment horizontal="left"/>
    </xf>
    <xf numFmtId="0" fontId="192" fillId="0" borderId="18" xfId="0" applyFont="1" applyFill="1" applyBorder="1"/>
    <xf numFmtId="3" fontId="192" fillId="0" borderId="26" xfId="107" applyNumberFormat="1" applyFont="1" applyFill="1" applyBorder="1" applyAlignment="1">
      <alignment horizontal="left"/>
    </xf>
    <xf numFmtId="3" fontId="192" fillId="0" borderId="57" xfId="107" applyNumberFormat="1" applyFont="1" applyFill="1" applyBorder="1" applyAlignment="1">
      <alignment horizontal="left"/>
    </xf>
    <xf numFmtId="3" fontId="192" fillId="0" borderId="20" xfId="107" applyNumberFormat="1" applyFont="1" applyFill="1" applyBorder="1" applyAlignment="1">
      <alignment horizontal="left"/>
    </xf>
    <xf numFmtId="0" fontId="205" fillId="0" borderId="77" xfId="106" applyFont="1" applyFill="1" applyBorder="1" applyProtection="1"/>
    <xf numFmtId="3" fontId="192" fillId="0" borderId="77" xfId="107" applyNumberFormat="1" applyFont="1" applyFill="1" applyBorder="1" applyAlignment="1">
      <alignment horizontal="left"/>
    </xf>
    <xf numFmtId="0" fontId="192" fillId="0" borderId="69" xfId="106" applyFont="1" applyFill="1" applyBorder="1" applyAlignment="1" applyProtection="1">
      <alignment horizontal="left" wrapText="1"/>
    </xf>
    <xf numFmtId="3" fontId="192" fillId="0" borderId="116" xfId="107" applyNumberFormat="1" applyFont="1" applyFill="1" applyBorder="1" applyAlignment="1">
      <alignment horizontal="left"/>
    </xf>
    <xf numFmtId="0" fontId="192" fillId="0" borderId="69" xfId="106" applyFont="1" applyFill="1" applyBorder="1" applyAlignment="1" applyProtection="1">
      <alignment horizontal="left" vertical="top"/>
    </xf>
    <xf numFmtId="3" fontId="192" fillId="0" borderId="78" xfId="107" applyNumberFormat="1" applyFont="1" applyFill="1" applyBorder="1" applyAlignment="1">
      <alignment horizontal="left"/>
    </xf>
    <xf numFmtId="0" fontId="192" fillId="0" borderId="18" xfId="106" applyFont="1" applyFill="1" applyBorder="1" applyAlignment="1" applyProtection="1">
      <alignment horizontal="left" vertical="top"/>
    </xf>
    <xf numFmtId="3" fontId="192" fillId="0" borderId="78" xfId="107" applyNumberFormat="1" applyFont="1" applyFill="1" applyBorder="1" applyAlignment="1">
      <alignment horizontal="left" wrapText="1"/>
    </xf>
    <xf numFmtId="3" fontId="192" fillId="0" borderId="90" xfId="107" applyNumberFormat="1" applyFont="1" applyFill="1" applyBorder="1" applyAlignment="1">
      <alignment horizontal="left" wrapText="1"/>
    </xf>
    <xf numFmtId="0" fontId="192" fillId="0" borderId="77" xfId="109" applyFont="1" applyFill="1" applyBorder="1" applyAlignment="1">
      <alignment horizontal="left"/>
    </xf>
    <xf numFmtId="3" fontId="192" fillId="0" borderId="116" xfId="107" applyNumberFormat="1" applyFont="1" applyFill="1" applyBorder="1" applyAlignment="1">
      <alignment horizontal="left" wrapText="1"/>
    </xf>
    <xf numFmtId="3" fontId="192" fillId="0" borderId="90" xfId="107" applyNumberFormat="1" applyFont="1" applyFill="1" applyBorder="1" applyAlignment="1">
      <alignment horizontal="left"/>
    </xf>
    <xf numFmtId="0" fontId="192" fillId="0" borderId="116" xfId="0" applyFont="1" applyFill="1" applyBorder="1" applyAlignment="1">
      <alignment horizontal="left" wrapText="1"/>
    </xf>
    <xf numFmtId="3" fontId="192" fillId="0" borderId="101" xfId="107" applyNumberFormat="1" applyFont="1" applyFill="1" applyBorder="1" applyAlignment="1">
      <alignment horizontal="right"/>
    </xf>
    <xf numFmtId="0" fontId="192" fillId="0" borderId="69" xfId="0" applyFont="1" applyFill="1" applyBorder="1" applyAlignment="1">
      <alignment horizontal="left" wrapText="1"/>
    </xf>
    <xf numFmtId="3" fontId="192" fillId="0" borderId="86" xfId="107" applyNumberFormat="1" applyFont="1" applyFill="1" applyBorder="1" applyAlignment="1">
      <alignment horizontal="right"/>
    </xf>
    <xf numFmtId="0" fontId="192" fillId="0" borderId="77" xfId="0" applyFont="1" applyFill="1" applyBorder="1" applyAlignment="1">
      <alignment horizontal="left"/>
    </xf>
    <xf numFmtId="3" fontId="206" fillId="0" borderId="81" xfId="107" applyNumberFormat="1" applyFont="1" applyFill="1" applyBorder="1" applyAlignment="1">
      <alignment horizontal="right"/>
    </xf>
    <xf numFmtId="0" fontId="205" fillId="0" borderId="77" xfId="106" applyFont="1" applyFill="1" applyBorder="1" applyAlignment="1" applyProtection="1">
      <alignment horizontal="left"/>
    </xf>
    <xf numFmtId="0" fontId="206" fillId="0" borderId="77" xfId="106" applyFont="1" applyFill="1" applyBorder="1" applyAlignment="1" applyProtection="1">
      <alignment horizontal="center" vertical="center"/>
    </xf>
    <xf numFmtId="0" fontId="209" fillId="0" borderId="18" xfId="109" applyFont="1" applyFill="1" applyBorder="1" applyAlignment="1">
      <alignment horizontal="center" vertical="center"/>
    </xf>
    <xf numFmtId="3" fontId="210" fillId="0" borderId="69" xfId="107" applyNumberFormat="1" applyFont="1" applyBorder="1" applyAlignment="1">
      <alignment horizontal="right"/>
    </xf>
    <xf numFmtId="0" fontId="199" fillId="0" borderId="18" xfId="109" applyFont="1" applyFill="1" applyBorder="1" applyAlignment="1" applyProtection="1">
      <alignment horizontal="left"/>
    </xf>
    <xf numFmtId="3" fontId="200" fillId="0" borderId="70" xfId="107" applyNumberFormat="1" applyFont="1" applyFill="1" applyBorder="1" applyAlignment="1">
      <alignment horizontal="left" wrapText="1"/>
    </xf>
    <xf numFmtId="0" fontId="199" fillId="0" borderId="83" xfId="109" applyFont="1" applyFill="1" applyBorder="1" applyAlignment="1" applyProtection="1">
      <alignment horizontal="left"/>
    </xf>
    <xf numFmtId="0" fontId="199" fillId="0" borderId="116" xfId="109" applyFont="1" applyFill="1" applyBorder="1" applyAlignment="1" applyProtection="1">
      <alignment horizontal="left"/>
    </xf>
    <xf numFmtId="3" fontId="200" fillId="0" borderId="70" xfId="107" applyNumberFormat="1" applyFont="1" applyFill="1" applyBorder="1" applyAlignment="1">
      <alignment horizontal="right"/>
    </xf>
    <xf numFmtId="0" fontId="199" fillId="0" borderId="23" xfId="109" applyFont="1" applyFill="1" applyBorder="1" applyAlignment="1" applyProtection="1"/>
    <xf numFmtId="0" fontId="199" fillId="0" borderId="18" xfId="109" applyFont="1" applyFill="1" applyBorder="1" applyAlignment="1" applyProtection="1"/>
    <xf numFmtId="0" fontId="199" fillId="0" borderId="116" xfId="109" applyFont="1" applyFill="1" applyBorder="1" applyAlignment="1" applyProtection="1">
      <alignment horizontal="left" wrapText="1"/>
    </xf>
    <xf numFmtId="0" fontId="199" fillId="0" borderId="20" xfId="109" applyFont="1" applyFill="1" applyBorder="1" applyAlignment="1" applyProtection="1"/>
    <xf numFmtId="0" fontId="199" fillId="0" borderId="77" xfId="109" applyFont="1" applyFill="1" applyBorder="1" applyAlignment="1" applyProtection="1">
      <alignment horizontal="left" wrapText="1"/>
    </xf>
    <xf numFmtId="0" fontId="202" fillId="0" borderId="18" xfId="0" applyFont="1" applyFill="1" applyBorder="1" applyAlignment="1"/>
    <xf numFmtId="0" fontId="199" fillId="0" borderId="78" xfId="109" applyFont="1" applyFill="1" applyBorder="1" applyAlignment="1" applyProtection="1">
      <alignment horizontal="left"/>
    </xf>
    <xf numFmtId="0" fontId="199" fillId="0" borderId="76" xfId="109" applyFont="1" applyFill="1" applyBorder="1" applyAlignment="1" applyProtection="1">
      <alignment horizontal="left" wrapText="1"/>
    </xf>
    <xf numFmtId="0" fontId="202" fillId="0" borderId="19" xfId="0" applyFont="1" applyFill="1" applyBorder="1" applyAlignment="1"/>
    <xf numFmtId="0" fontId="199" fillId="0" borderId="70" xfId="109" applyFont="1" applyFill="1" applyBorder="1" applyAlignment="1" applyProtection="1">
      <alignment horizontal="left" wrapText="1"/>
    </xf>
    <xf numFmtId="0" fontId="199" fillId="0" borderId="23" xfId="109" applyFont="1" applyFill="1" applyBorder="1" applyAlignment="1" applyProtection="1">
      <alignment horizontal="left"/>
    </xf>
    <xf numFmtId="3" fontId="211" fillId="0" borderId="77" xfId="107" applyNumberFormat="1" applyFont="1" applyFill="1" applyBorder="1" applyAlignment="1">
      <alignment horizontal="left"/>
    </xf>
    <xf numFmtId="0" fontId="200" fillId="0" borderId="133" xfId="110" applyFont="1" applyFill="1" applyBorder="1" applyAlignment="1">
      <alignment horizontal="left" wrapText="1"/>
    </xf>
    <xf numFmtId="0" fontId="200" fillId="0" borderId="78" xfId="110" applyFont="1" applyFill="1" applyBorder="1" applyAlignment="1">
      <alignment horizontal="left" wrapText="1"/>
    </xf>
    <xf numFmtId="0" fontId="200" fillId="0" borderId="78" xfId="110" applyNumberFormat="1" applyFont="1" applyFill="1" applyBorder="1" applyAlignment="1">
      <alignment horizontal="left" wrapText="1"/>
    </xf>
    <xf numFmtId="0" fontId="200" fillId="0" borderId="116" xfId="110" applyFont="1" applyFill="1" applyBorder="1" applyAlignment="1">
      <alignment horizontal="left" wrapText="1"/>
    </xf>
    <xf numFmtId="0" fontId="202" fillId="0" borderId="70" xfId="0" applyFont="1" applyFill="1" applyBorder="1" applyAlignment="1"/>
    <xf numFmtId="3" fontId="200" fillId="0" borderId="76" xfId="107" applyNumberFormat="1" applyFont="1" applyFill="1" applyBorder="1" applyAlignment="1">
      <alignment horizontal="left" wrapText="1"/>
    </xf>
    <xf numFmtId="3" fontId="210" fillId="0" borderId="70" xfId="107" applyNumberFormat="1" applyFont="1" applyFill="1" applyBorder="1" applyAlignment="1">
      <alignment horizontal="left"/>
    </xf>
    <xf numFmtId="3" fontId="201" fillId="0" borderId="76" xfId="106" applyNumberFormat="1" applyFont="1" applyFill="1" applyBorder="1" applyAlignment="1">
      <alignment horizontal="left"/>
    </xf>
    <xf numFmtId="3" fontId="210" fillId="0" borderId="77" xfId="107" applyNumberFormat="1" applyFont="1" applyFill="1" applyBorder="1" applyAlignment="1">
      <alignment horizontal="left"/>
    </xf>
    <xf numFmtId="3" fontId="185" fillId="0" borderId="76" xfId="107" applyNumberFormat="1" applyFont="1" applyFill="1" applyBorder="1" applyAlignment="1">
      <alignment horizontal="right"/>
    </xf>
    <xf numFmtId="0" fontId="203" fillId="0" borderId="83" xfId="106" applyFont="1" applyFill="1" applyBorder="1" applyAlignment="1" applyProtection="1">
      <alignment horizontal="center" vertical="center"/>
    </xf>
    <xf numFmtId="3" fontId="210" fillId="0" borderId="83" xfId="107" applyNumberFormat="1" applyFont="1" applyFill="1" applyBorder="1" applyAlignment="1">
      <alignment horizontal="left"/>
    </xf>
    <xf numFmtId="0" fontId="201" fillId="0" borderId="69" xfId="106" applyFont="1" applyFill="1" applyBorder="1" applyProtection="1"/>
    <xf numFmtId="0" fontId="200" fillId="0" borderId="23" xfId="0" applyFont="1" applyFill="1" applyBorder="1" applyAlignment="1"/>
    <xf numFmtId="0" fontId="200" fillId="0" borderId="18" xfId="0" applyFont="1" applyFill="1" applyBorder="1" applyAlignment="1">
      <alignment vertical="top"/>
    </xf>
    <xf numFmtId="0" fontId="212" fillId="0" borderId="77" xfId="0" applyFont="1" applyBorder="1" applyAlignment="1">
      <alignment vertical="center"/>
    </xf>
    <xf numFmtId="3" fontId="200" fillId="0" borderId="69" xfId="107" applyNumberFormat="1" applyFont="1" applyFill="1" applyBorder="1" applyAlignment="1">
      <alignment horizontal="left"/>
    </xf>
    <xf numFmtId="0" fontId="200" fillId="0" borderId="69" xfId="0" applyFont="1" applyFill="1" applyBorder="1" applyAlignment="1">
      <alignment vertical="top"/>
    </xf>
    <xf numFmtId="0" fontId="200" fillId="0" borderId="77" xfId="108" applyFont="1" applyFill="1" applyBorder="1"/>
    <xf numFmtId="3" fontId="200" fillId="0" borderId="23" xfId="107" applyNumberFormat="1" applyFont="1" applyFill="1" applyBorder="1" applyAlignment="1">
      <alignment horizontal="left"/>
    </xf>
    <xf numFmtId="3" fontId="200" fillId="0" borderId="18" xfId="107" applyNumberFormat="1" applyFont="1" applyFill="1" applyBorder="1" applyAlignment="1">
      <alignment horizontal="left" vertical="top"/>
    </xf>
    <xf numFmtId="3" fontId="200" fillId="0" borderId="19" xfId="107" applyNumberFormat="1" applyFont="1" applyFill="1" applyBorder="1" applyAlignment="1">
      <alignment horizontal="left" vertical="top"/>
    </xf>
    <xf numFmtId="3" fontId="200" fillId="0" borderId="76" xfId="107" applyNumberFormat="1" applyFont="1" applyFill="1" applyBorder="1" applyAlignment="1">
      <alignment horizontal="left"/>
    </xf>
    <xf numFmtId="3" fontId="200" fillId="0" borderId="133" xfId="107" applyNumberFormat="1" applyFont="1" applyFill="1" applyBorder="1" applyAlignment="1">
      <alignment horizontal="left"/>
    </xf>
    <xf numFmtId="0" fontId="200" fillId="0" borderId="19" xfId="0" applyFont="1" applyFill="1" applyBorder="1" applyAlignment="1">
      <alignment vertical="top"/>
    </xf>
    <xf numFmtId="0" fontId="200" fillId="0" borderId="77" xfId="0" applyFont="1" applyFill="1" applyBorder="1"/>
    <xf numFmtId="3" fontId="200" fillId="0" borderId="116" xfId="107" applyNumberFormat="1" applyFont="1" applyFill="1" applyBorder="1" applyAlignment="1"/>
    <xf numFmtId="0" fontId="200" fillId="0" borderId="69" xfId="106" applyFont="1" applyFill="1" applyBorder="1" applyAlignment="1" applyProtection="1">
      <alignment horizontal="left"/>
    </xf>
    <xf numFmtId="0" fontId="200" fillId="0" borderId="18" xfId="106" applyFont="1" applyFill="1" applyBorder="1" applyAlignment="1" applyProtection="1">
      <alignment horizontal="right" vertical="top"/>
    </xf>
    <xf numFmtId="0" fontId="200" fillId="0" borderId="18" xfId="106" applyFont="1" applyFill="1" applyBorder="1" applyAlignment="1" applyProtection="1">
      <alignment vertical="top"/>
    </xf>
    <xf numFmtId="3" fontId="200" fillId="0" borderId="18" xfId="107" applyNumberFormat="1" applyFont="1" applyFill="1" applyBorder="1" applyAlignment="1">
      <alignment horizontal="left"/>
    </xf>
    <xf numFmtId="3" fontId="200" fillId="0" borderId="17" xfId="107" applyNumberFormat="1" applyFont="1" applyFill="1" applyBorder="1" applyAlignment="1">
      <alignment horizontal="left"/>
    </xf>
    <xf numFmtId="3" fontId="200" fillId="0" borderId="99" xfId="107" applyNumberFormat="1" applyFont="1" applyFill="1" applyBorder="1" applyAlignment="1">
      <alignment horizontal="left"/>
    </xf>
    <xf numFmtId="0" fontId="200" fillId="0" borderId="70" xfId="106" applyFont="1" applyFill="1" applyBorder="1" applyAlignment="1" applyProtection="1">
      <alignment horizontal="left" vertical="top" wrapText="1"/>
    </xf>
    <xf numFmtId="3" fontId="200" fillId="0" borderId="70" xfId="107" applyNumberFormat="1" applyFont="1" applyFill="1" applyBorder="1" applyAlignment="1">
      <alignment horizontal="left"/>
    </xf>
    <xf numFmtId="3" fontId="187" fillId="0" borderId="48" xfId="107" applyNumberFormat="1" applyFont="1" applyFill="1" applyBorder="1" applyAlignment="1">
      <alignment horizontal="left"/>
    </xf>
    <xf numFmtId="3" fontId="187" fillId="0" borderId="47" xfId="107" applyNumberFormat="1" applyFont="1" applyFill="1" applyBorder="1" applyAlignment="1">
      <alignment horizontal="left"/>
    </xf>
    <xf numFmtId="0" fontId="200" fillId="0" borderId="23" xfId="106" applyFont="1" applyFill="1" applyBorder="1" applyAlignment="1" applyProtection="1">
      <alignment horizontal="left" vertical="top" wrapText="1"/>
    </xf>
    <xf numFmtId="3" fontId="187" fillId="0" borderId="83" xfId="107" applyNumberFormat="1" applyFont="1" applyFill="1" applyBorder="1" applyAlignment="1">
      <alignment horizontal="left"/>
    </xf>
    <xf numFmtId="0" fontId="200" fillId="0" borderId="18" xfId="106" applyFont="1" applyFill="1" applyBorder="1" applyAlignment="1" applyProtection="1">
      <alignment horizontal="right" vertical="top" wrapText="1"/>
    </xf>
    <xf numFmtId="0" fontId="210" fillId="0" borderId="18" xfId="106" applyFont="1" applyFill="1" applyBorder="1"/>
    <xf numFmtId="3" fontId="200" fillId="0" borderId="78" xfId="107" applyNumberFormat="1" applyFont="1" applyFill="1" applyBorder="1" applyAlignment="1"/>
    <xf numFmtId="0" fontId="200" fillId="0" borderId="18" xfId="108" applyFont="1" applyFill="1" applyBorder="1" applyAlignment="1">
      <alignment horizontal="right"/>
    </xf>
    <xf numFmtId="3" fontId="200" fillId="0" borderId="90" xfId="107" applyNumberFormat="1" applyFont="1" applyFill="1" applyBorder="1" applyAlignment="1"/>
    <xf numFmtId="3" fontId="200" fillId="0" borderId="77" xfId="107" applyNumberFormat="1" applyFont="1" applyFill="1" applyBorder="1" applyAlignment="1"/>
    <xf numFmtId="3" fontId="185" fillId="0" borderId="77" xfId="107" applyNumberFormat="1" applyFont="1" applyFill="1" applyBorder="1" applyAlignment="1"/>
    <xf numFmtId="0" fontId="206" fillId="0" borderId="23" xfId="106" applyFont="1" applyBorder="1" applyAlignment="1">
      <alignment horizontal="center" vertical="center"/>
    </xf>
    <xf numFmtId="0" fontId="154" fillId="0" borderId="83" xfId="108" applyFont="1" applyBorder="1" applyAlignment="1">
      <alignment horizontal="center"/>
    </xf>
    <xf numFmtId="3" fontId="154" fillId="0" borderId="53" xfId="108" applyNumberFormat="1" applyFont="1" applyBorder="1" applyAlignment="1">
      <alignment horizontal="center"/>
    </xf>
    <xf numFmtId="0" fontId="193" fillId="0" borderId="19" xfId="106" applyFont="1" applyBorder="1" applyAlignment="1">
      <alignment horizontal="center" vertical="center"/>
    </xf>
    <xf numFmtId="0" fontId="154" fillId="0" borderId="70" xfId="108" applyFont="1" applyBorder="1" applyAlignment="1">
      <alignment horizontal="center"/>
    </xf>
    <xf numFmtId="3" fontId="154" fillId="0" borderId="84" xfId="108" applyNumberFormat="1" applyFont="1" applyBorder="1" applyAlignment="1">
      <alignment horizontal="center"/>
    </xf>
    <xf numFmtId="0" fontId="6" fillId="0" borderId="109" xfId="0" applyFont="1" applyFill="1" applyBorder="1"/>
    <xf numFmtId="3" fontId="4" fillId="0" borderId="117" xfId="0" applyNumberFormat="1" applyFont="1" applyBorder="1"/>
    <xf numFmtId="3" fontId="4" fillId="0" borderId="118" xfId="0" applyNumberFormat="1" applyFont="1" applyBorder="1"/>
    <xf numFmtId="4" fontId="4" fillId="0" borderId="103" xfId="0" applyNumberFormat="1" applyFont="1" applyBorder="1"/>
    <xf numFmtId="3" fontId="5" fillId="0" borderId="75" xfId="0" applyNumberFormat="1" applyFont="1" applyFill="1" applyBorder="1" applyAlignment="1">
      <alignment horizontal="justify" vertical="center"/>
    </xf>
    <xf numFmtId="0" fontId="5" fillId="0" borderId="37" xfId="77" applyFont="1" applyFill="1" applyBorder="1" applyAlignment="1">
      <alignment horizontal="left" vertical="center" wrapText="1"/>
    </xf>
    <xf numFmtId="0" fontId="63" fillId="0" borderId="0" xfId="0" applyFont="1" applyAlignment="1">
      <alignment horizontal="center"/>
    </xf>
    <xf numFmtId="0" fontId="96" fillId="0" borderId="0" xfId="88" applyFont="1" applyAlignment="1">
      <alignment horizontal="left" vertical="top" wrapText="1"/>
    </xf>
    <xf numFmtId="0" fontId="94" fillId="0" borderId="0" xfId="88" applyFont="1" applyAlignment="1">
      <alignment horizontal="left" vertical="top" wrapText="1"/>
    </xf>
    <xf numFmtId="3" fontId="80" fillId="0" borderId="40" xfId="0" applyNumberFormat="1" applyFont="1" applyFill="1" applyBorder="1" applyAlignment="1">
      <alignment horizontal="left"/>
    </xf>
    <xf numFmtId="3" fontId="80" fillId="0" borderId="37" xfId="0" applyNumberFormat="1" applyFont="1" applyFill="1" applyBorder="1" applyAlignment="1">
      <alignment horizontal="left"/>
    </xf>
    <xf numFmtId="3" fontId="80" fillId="0" borderId="39" xfId="0" applyNumberFormat="1" applyFont="1" applyFill="1" applyBorder="1" applyAlignment="1">
      <alignment horizontal="left"/>
    </xf>
    <xf numFmtId="3" fontId="58" fillId="0" borderId="0" xfId="0" applyNumberFormat="1" applyFont="1" applyFill="1" applyAlignment="1">
      <alignment horizontal="center"/>
    </xf>
    <xf numFmtId="0" fontId="58" fillId="27" borderId="45" xfId="0" applyFont="1" applyFill="1" applyBorder="1" applyAlignment="1">
      <alignment horizontal="center"/>
    </xf>
    <xf numFmtId="0" fontId="73" fillId="0" borderId="0" xfId="0" applyFont="1" applyFill="1" applyBorder="1" applyAlignment="1" applyProtection="1">
      <alignment horizontal="left" wrapText="1"/>
    </xf>
    <xf numFmtId="0" fontId="73" fillId="0" borderId="86" xfId="0" applyFont="1" applyFill="1" applyBorder="1" applyAlignment="1" applyProtection="1">
      <alignment horizontal="left" wrapText="1"/>
    </xf>
    <xf numFmtId="0" fontId="62" fillId="0" borderId="37" xfId="77" applyFont="1" applyFill="1" applyBorder="1" applyAlignment="1">
      <alignment horizontal="left" wrapText="1"/>
    </xf>
    <xf numFmtId="0" fontId="74" fillId="0" borderId="37" xfId="0" applyFont="1" applyBorder="1" applyAlignment="1">
      <alignment wrapText="1"/>
    </xf>
    <xf numFmtId="0" fontId="74" fillId="0" borderId="79" xfId="0" applyFont="1" applyBorder="1" applyAlignment="1">
      <alignment wrapText="1"/>
    </xf>
    <xf numFmtId="0" fontId="15" fillId="0" borderId="0" xfId="0" applyFont="1" applyFill="1" applyAlignment="1">
      <alignment horizontal="center"/>
    </xf>
    <xf numFmtId="0" fontId="73" fillId="0" borderId="0" xfId="0" applyFont="1" applyFill="1" applyBorder="1" applyAlignment="1" applyProtection="1">
      <alignment wrapText="1"/>
    </xf>
    <xf numFmtId="0" fontId="86" fillId="0" borderId="0" xfId="0" applyFont="1" applyBorder="1" applyAlignment="1"/>
    <xf numFmtId="0" fontId="86" fillId="0" borderId="86" xfId="0" applyFont="1" applyBorder="1" applyAlignment="1"/>
    <xf numFmtId="0" fontId="78" fillId="0" borderId="0" xfId="0" applyFont="1" applyFill="1" applyAlignment="1">
      <alignment horizontal="center"/>
    </xf>
    <xf numFmtId="0" fontId="58" fillId="27" borderId="123" xfId="0" applyFont="1" applyFill="1" applyBorder="1" applyAlignment="1">
      <alignment horizontal="center"/>
    </xf>
    <xf numFmtId="0" fontId="58" fillId="27" borderId="124" xfId="0" applyFont="1" applyFill="1" applyBorder="1" applyAlignment="1">
      <alignment horizontal="center"/>
    </xf>
    <xf numFmtId="0" fontId="62" fillId="0" borderId="37" xfId="0" applyFont="1" applyFill="1" applyBorder="1" applyAlignment="1" applyProtection="1">
      <alignment horizontal="left" wrapText="1"/>
    </xf>
    <xf numFmtId="0" fontId="62" fillId="0" borderId="79" xfId="0" applyFont="1" applyFill="1" applyBorder="1" applyAlignment="1" applyProtection="1">
      <alignment horizontal="left" wrapText="1"/>
    </xf>
    <xf numFmtId="0" fontId="62" fillId="0" borderId="37" xfId="0" applyFont="1" applyFill="1" applyBorder="1" applyAlignment="1">
      <alignment horizontal="left" wrapText="1"/>
    </xf>
    <xf numFmtId="0" fontId="62" fillId="0" borderId="79" xfId="0" applyFont="1" applyFill="1" applyBorder="1" applyAlignment="1">
      <alignment horizontal="left" wrapText="1"/>
    </xf>
    <xf numFmtId="0" fontId="62" fillId="0" borderId="37" xfId="0" applyFont="1" applyFill="1" applyBorder="1" applyAlignment="1" applyProtection="1"/>
    <xf numFmtId="0" fontId="74" fillId="0" borderId="37" xfId="0" applyFont="1" applyBorder="1" applyAlignment="1"/>
    <xf numFmtId="0" fontId="74" fillId="0" borderId="79" xfId="0" applyFont="1" applyBorder="1" applyAlignment="1"/>
    <xf numFmtId="0" fontId="62" fillId="0" borderId="37" xfId="77" applyFont="1" applyFill="1" applyBorder="1" applyAlignment="1">
      <alignment horizontal="left"/>
    </xf>
    <xf numFmtId="0" fontId="58" fillId="0" borderId="0" xfId="77" applyFont="1" applyFill="1" applyBorder="1" applyAlignment="1">
      <alignment horizontal="center" wrapText="1"/>
    </xf>
    <xf numFmtId="0" fontId="58" fillId="0" borderId="86" xfId="77" applyFont="1" applyFill="1" applyBorder="1" applyAlignment="1">
      <alignment horizontal="center" wrapText="1"/>
    </xf>
    <xf numFmtId="3" fontId="164" fillId="0" borderId="23" xfId="76" applyNumberFormat="1" applyFont="1" applyFill="1" applyBorder="1" applyAlignment="1">
      <alignment horizontal="center" vertical="center" wrapText="1"/>
    </xf>
    <xf numFmtId="3" fontId="164" fillId="0" borderId="46" xfId="76" applyNumberFormat="1" applyFont="1" applyFill="1" applyBorder="1" applyAlignment="1">
      <alignment horizontal="center" vertical="center" wrapText="1"/>
    </xf>
    <xf numFmtId="3" fontId="164" fillId="0" borderId="53" xfId="76" applyNumberFormat="1" applyFont="1" applyFill="1" applyBorder="1" applyAlignment="1">
      <alignment horizontal="center" vertical="center" wrapText="1"/>
    </xf>
    <xf numFmtId="3" fontId="164" fillId="0" borderId="19" xfId="76" applyNumberFormat="1" applyFont="1" applyFill="1" applyBorder="1" applyAlignment="1">
      <alignment horizontal="center" vertical="center" wrapText="1"/>
    </xf>
    <xf numFmtId="3" fontId="164" fillId="0" borderId="16" xfId="76" applyNumberFormat="1" applyFont="1" applyFill="1" applyBorder="1" applyAlignment="1">
      <alignment horizontal="center" vertical="center" wrapText="1"/>
    </xf>
    <xf numFmtId="3" fontId="164" fillId="0" borderId="84" xfId="76" applyNumberFormat="1" applyFont="1" applyFill="1" applyBorder="1" applyAlignment="1">
      <alignment horizontal="center" vertical="center" wrapText="1"/>
    </xf>
    <xf numFmtId="3" fontId="164" fillId="0" borderId="20" xfId="76" applyNumberFormat="1" applyFont="1" applyFill="1" applyBorder="1" applyAlignment="1">
      <alignment horizontal="center" vertical="center"/>
    </xf>
    <xf numFmtId="3" fontId="164" fillId="0" borderId="94" xfId="76" applyNumberFormat="1" applyFont="1" applyFill="1" applyBorder="1" applyAlignment="1">
      <alignment horizontal="center" vertical="center"/>
    </xf>
    <xf numFmtId="3" fontId="164" fillId="0" borderId="81" xfId="76" applyNumberFormat="1" applyFont="1" applyFill="1" applyBorder="1" applyAlignment="1">
      <alignment horizontal="center" vertical="center"/>
    </xf>
    <xf numFmtId="3" fontId="164" fillId="0" borderId="23" xfId="76" applyNumberFormat="1" applyFont="1" applyFill="1" applyBorder="1" applyAlignment="1">
      <alignment horizontal="center" vertical="center"/>
    </xf>
    <xf numFmtId="3" fontId="164" fillId="0" borderId="46" xfId="76" applyNumberFormat="1" applyFont="1" applyFill="1" applyBorder="1" applyAlignment="1">
      <alignment horizontal="center" vertical="center"/>
    </xf>
    <xf numFmtId="3" fontId="164" fillId="0" borderId="53" xfId="76" applyNumberFormat="1" applyFont="1" applyFill="1" applyBorder="1" applyAlignment="1">
      <alignment horizontal="center" vertical="center"/>
    </xf>
    <xf numFmtId="3" fontId="164" fillId="0" borderId="19" xfId="76" applyNumberFormat="1" applyFont="1" applyFill="1" applyBorder="1" applyAlignment="1">
      <alignment horizontal="center" vertical="center"/>
    </xf>
    <xf numFmtId="3" fontId="164" fillId="0" borderId="16" xfId="76" applyNumberFormat="1" applyFont="1" applyFill="1" applyBorder="1" applyAlignment="1">
      <alignment horizontal="center" vertical="center"/>
    </xf>
    <xf numFmtId="3" fontId="164" fillId="0" borderId="84" xfId="76" applyNumberFormat="1" applyFont="1" applyFill="1" applyBorder="1" applyAlignment="1">
      <alignment horizontal="center" vertical="center"/>
    </xf>
    <xf numFmtId="3" fontId="161" fillId="0" borderId="23" xfId="76" applyNumberFormat="1" applyFont="1" applyFill="1" applyBorder="1" applyAlignment="1">
      <alignment horizontal="center" wrapText="1"/>
    </xf>
    <xf numFmtId="3" fontId="161" fillId="0" borderId="46" xfId="76" applyNumberFormat="1" applyFont="1" applyFill="1" applyBorder="1" applyAlignment="1">
      <alignment horizontal="center" wrapText="1"/>
    </xf>
    <xf numFmtId="3" fontId="161" fillId="0" borderId="53" xfId="76" applyNumberFormat="1" applyFont="1" applyFill="1" applyBorder="1" applyAlignment="1">
      <alignment horizontal="center" wrapText="1"/>
    </xf>
    <xf numFmtId="3" fontId="161" fillId="0" borderId="19" xfId="76" applyNumberFormat="1" applyFont="1" applyFill="1" applyBorder="1" applyAlignment="1">
      <alignment horizontal="center" wrapText="1"/>
    </xf>
    <xf numFmtId="3" fontId="161" fillId="0" borderId="16" xfId="76" applyNumberFormat="1" applyFont="1" applyFill="1" applyBorder="1" applyAlignment="1">
      <alignment horizontal="center" wrapText="1"/>
    </xf>
    <xf numFmtId="3" fontId="161" fillId="0" borderId="84" xfId="76" applyNumberFormat="1" applyFont="1" applyFill="1" applyBorder="1" applyAlignment="1">
      <alignment horizontal="center" wrapText="1"/>
    </xf>
    <xf numFmtId="0" fontId="163" fillId="0" borderId="0" xfId="76" applyFont="1" applyAlignment="1">
      <alignment horizontal="center"/>
    </xf>
    <xf numFmtId="3" fontId="163" fillId="0" borderId="0" xfId="76" applyNumberFormat="1" applyFont="1" applyFill="1" applyAlignment="1">
      <alignment horizontal="center"/>
    </xf>
    <xf numFmtId="3" fontId="163" fillId="0" borderId="0" xfId="76" applyNumberFormat="1" applyFont="1" applyFill="1" applyBorder="1" applyAlignment="1">
      <alignment horizontal="center"/>
    </xf>
    <xf numFmtId="0" fontId="82" fillId="0" borderId="0" xfId="104" applyFont="1" applyAlignment="1">
      <alignment horizontal="center"/>
    </xf>
    <xf numFmtId="3" fontId="178" fillId="0" borderId="23" xfId="76" applyNumberFormat="1" applyFont="1" applyFill="1" applyBorder="1" applyAlignment="1">
      <alignment horizontal="center" vertical="center"/>
    </xf>
    <xf numFmtId="3" fontId="178" fillId="0" borderId="46" xfId="76" applyNumberFormat="1" applyFont="1" applyFill="1" applyBorder="1" applyAlignment="1">
      <alignment horizontal="center" vertical="center"/>
    </xf>
    <xf numFmtId="3" fontId="178" fillId="0" borderId="53" xfId="76" applyNumberFormat="1" applyFont="1" applyFill="1" applyBorder="1" applyAlignment="1">
      <alignment horizontal="center" vertical="center"/>
    </xf>
    <xf numFmtId="3" fontId="178" fillId="0" borderId="18" xfId="76" applyNumberFormat="1" applyFont="1" applyFill="1" applyBorder="1" applyAlignment="1">
      <alignment horizontal="center" vertical="center"/>
    </xf>
    <xf numFmtId="3" fontId="178" fillId="0" borderId="0" xfId="76" applyNumberFormat="1" applyFont="1" applyFill="1" applyBorder="1" applyAlignment="1">
      <alignment horizontal="center" vertical="center"/>
    </xf>
    <xf numFmtId="3" fontId="178" fillId="0" borderId="86" xfId="76" applyNumberFormat="1" applyFont="1" applyFill="1" applyBorder="1" applyAlignment="1">
      <alignment horizontal="center" vertical="center"/>
    </xf>
    <xf numFmtId="3" fontId="178" fillId="0" borderId="19" xfId="76" applyNumberFormat="1" applyFont="1" applyFill="1" applyBorder="1" applyAlignment="1">
      <alignment horizontal="center" vertical="center"/>
    </xf>
    <xf numFmtId="3" fontId="178" fillId="0" borderId="16" xfId="76" applyNumberFormat="1" applyFont="1" applyFill="1" applyBorder="1" applyAlignment="1">
      <alignment horizontal="center" vertical="center"/>
    </xf>
    <xf numFmtId="3" fontId="178" fillId="0" borderId="84" xfId="76" applyNumberFormat="1" applyFont="1" applyFill="1" applyBorder="1" applyAlignment="1">
      <alignment horizontal="center" vertical="center"/>
    </xf>
    <xf numFmtId="3" fontId="178" fillId="0" borderId="23" xfId="76" applyNumberFormat="1" applyFont="1" applyFill="1" applyBorder="1" applyAlignment="1">
      <alignment horizontal="center" vertical="center" wrapText="1"/>
    </xf>
    <xf numFmtId="3" fontId="178" fillId="0" borderId="46" xfId="76" applyNumberFormat="1" applyFont="1" applyFill="1" applyBorder="1" applyAlignment="1">
      <alignment horizontal="center" vertical="center" wrapText="1"/>
    </xf>
    <xf numFmtId="3" fontId="178" fillId="0" borderId="53" xfId="76" applyNumberFormat="1" applyFont="1" applyFill="1" applyBorder="1" applyAlignment="1">
      <alignment horizontal="center" vertical="center" wrapText="1"/>
    </xf>
    <xf numFmtId="3" fontId="178" fillId="0" borderId="18" xfId="76" applyNumberFormat="1" applyFont="1" applyFill="1" applyBorder="1" applyAlignment="1">
      <alignment horizontal="center" vertical="center" wrapText="1"/>
    </xf>
    <xf numFmtId="3" fontId="178" fillId="0" borderId="0" xfId="76" applyNumberFormat="1" applyFont="1" applyFill="1" applyBorder="1" applyAlignment="1">
      <alignment horizontal="center" vertical="center" wrapText="1"/>
    </xf>
    <xf numFmtId="3" fontId="178" fillId="0" borderId="86" xfId="76" applyNumberFormat="1" applyFont="1" applyFill="1" applyBorder="1" applyAlignment="1">
      <alignment horizontal="center" vertical="center" wrapText="1"/>
    </xf>
    <xf numFmtId="3" fontId="178" fillId="0" borderId="19" xfId="76" applyNumberFormat="1" applyFont="1" applyFill="1" applyBorder="1" applyAlignment="1">
      <alignment horizontal="center" vertical="center" wrapText="1"/>
    </xf>
    <xf numFmtId="3" fontId="178" fillId="0" borderId="16" xfId="76" applyNumberFormat="1" applyFont="1" applyFill="1" applyBorder="1" applyAlignment="1">
      <alignment horizontal="center" vertical="center" wrapText="1"/>
    </xf>
    <xf numFmtId="3" fontId="178" fillId="0" borderId="84" xfId="76" applyNumberFormat="1" applyFont="1" applyFill="1" applyBorder="1" applyAlignment="1">
      <alignment horizontal="center" vertical="center" wrapText="1"/>
    </xf>
    <xf numFmtId="3" fontId="169" fillId="0" borderId="0" xfId="76" applyNumberFormat="1" applyFont="1" applyFill="1" applyBorder="1" applyAlignment="1">
      <alignment horizontal="center"/>
    </xf>
    <xf numFmtId="4" fontId="144" fillId="0" borderId="23" xfId="101" applyNumberFormat="1" applyFont="1" applyBorder="1" applyAlignment="1">
      <alignment horizontal="center"/>
    </xf>
    <xf numFmtId="4" fontId="144" fillId="0" borderId="53" xfId="101" applyNumberFormat="1" applyFont="1" applyBorder="1" applyAlignment="1">
      <alignment horizontal="center"/>
    </xf>
    <xf numFmtId="0" fontId="144" fillId="0" borderId="0" xfId="101" applyFont="1" applyAlignment="1">
      <alignment horizontal="center"/>
    </xf>
    <xf numFmtId="0" fontId="78" fillId="0" borderId="16" xfId="101" applyFont="1" applyBorder="1" applyAlignment="1">
      <alignment horizontal="center"/>
    </xf>
    <xf numFmtId="0" fontId="156" fillId="27" borderId="20" xfId="101" applyFont="1" applyFill="1" applyBorder="1" applyAlignment="1">
      <alignment horizontal="center" vertical="center" wrapText="1"/>
    </xf>
    <xf numFmtId="0" fontId="156" fillId="27" borderId="94" xfId="101" applyFont="1" applyFill="1" applyBorder="1" applyAlignment="1">
      <alignment horizontal="center" vertical="center" wrapText="1"/>
    </xf>
    <xf numFmtId="0" fontId="156" fillId="27" borderId="81" xfId="101" applyFont="1" applyFill="1" applyBorder="1" applyAlignment="1">
      <alignment horizontal="center" vertical="center" wrapText="1"/>
    </xf>
    <xf numFmtId="0" fontId="144" fillId="0" borderId="23" xfId="101" applyFont="1" applyBorder="1" applyAlignment="1">
      <alignment horizontal="center" vertical="center" wrapText="1"/>
    </xf>
    <xf numFmtId="0" fontId="144" fillId="0" borderId="53" xfId="101" applyFont="1" applyBorder="1" applyAlignment="1">
      <alignment horizontal="center" vertical="center" wrapText="1"/>
    </xf>
    <xf numFmtId="0" fontId="144" fillId="0" borderId="19" xfId="101" applyFont="1" applyBorder="1" applyAlignment="1">
      <alignment horizontal="center" vertical="center" wrapText="1"/>
    </xf>
    <xf numFmtId="0" fontId="144" fillId="0" borderId="84" xfId="101" applyFont="1" applyBorder="1" applyAlignment="1">
      <alignment horizontal="center" vertical="center" wrapText="1"/>
    </xf>
    <xf numFmtId="4" fontId="144" fillId="0" borderId="16" xfId="101" applyNumberFormat="1" applyFont="1" applyBorder="1" applyAlignment="1">
      <alignment horizontal="center"/>
    </xf>
    <xf numFmtId="4" fontId="144" fillId="0" borderId="84" xfId="101" applyNumberFormat="1" applyFont="1" applyBorder="1" applyAlignment="1">
      <alignment horizontal="center"/>
    </xf>
    <xf numFmtId="4" fontId="144" fillId="0" borderId="94" xfId="101" applyNumberFormat="1" applyFont="1" applyBorder="1" applyAlignment="1">
      <alignment horizontal="center"/>
    </xf>
    <xf numFmtId="4" fontId="144" fillId="0" borderId="81" xfId="101" applyNumberFormat="1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27" borderId="125" xfId="0" applyFont="1" applyFill="1" applyBorder="1" applyAlignment="1">
      <alignment horizontal="center"/>
    </xf>
    <xf numFmtId="0" fontId="4" fillId="27" borderId="126" xfId="0" applyFont="1" applyFill="1" applyBorder="1" applyAlignment="1">
      <alignment horizontal="center"/>
    </xf>
    <xf numFmtId="0" fontId="76" fillId="0" borderId="0" xfId="0" applyFont="1" applyFill="1" applyAlignment="1">
      <alignment horizontal="center"/>
    </xf>
    <xf numFmtId="0" fontId="16" fillId="27" borderId="46" xfId="0" applyFont="1" applyFill="1" applyBorder="1" applyAlignment="1">
      <alignment horizontal="center"/>
    </xf>
    <xf numFmtId="0" fontId="4" fillId="27" borderId="46" xfId="0" applyFont="1" applyFill="1" applyBorder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58" fillId="0" borderId="0" xfId="0" applyNumberFormat="1" applyFont="1" applyAlignment="1">
      <alignment horizontal="center"/>
    </xf>
    <xf numFmtId="3" fontId="74" fillId="0" borderId="0" xfId="0" applyNumberFormat="1" applyFont="1" applyAlignment="1"/>
    <xf numFmtId="0" fontId="4" fillId="27" borderId="47" xfId="0" applyFont="1" applyFill="1" applyBorder="1" applyAlignment="1">
      <alignment horizontal="center"/>
    </xf>
    <xf numFmtId="0" fontId="4" fillId="27" borderId="63" xfId="0" applyFont="1" applyFill="1" applyBorder="1" applyAlignment="1">
      <alignment horizontal="center"/>
    </xf>
    <xf numFmtId="0" fontId="58" fillId="0" borderId="0" xfId="0" applyFont="1" applyAlignment="1">
      <alignment horizontal="center"/>
    </xf>
    <xf numFmtId="0" fontId="82" fillId="27" borderId="23" xfId="0" applyFont="1" applyFill="1" applyBorder="1" applyAlignment="1">
      <alignment horizontal="center"/>
    </xf>
    <xf numFmtId="0" fontId="82" fillId="27" borderId="53" xfId="0" applyFont="1" applyFill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27" borderId="123" xfId="0" applyFont="1" applyFill="1" applyBorder="1" applyAlignment="1">
      <alignment horizontal="center"/>
    </xf>
    <xf numFmtId="0" fontId="82" fillId="27" borderId="124" xfId="0" applyFont="1" applyFill="1" applyBorder="1" applyAlignment="1">
      <alignment horizontal="center"/>
    </xf>
    <xf numFmtId="0" fontId="4" fillId="0" borderId="17" xfId="0" applyFont="1" applyFill="1" applyBorder="1" applyAlignment="1" applyProtection="1">
      <alignment horizontal="left"/>
    </xf>
    <xf numFmtId="0" fontId="4" fillId="0" borderId="22" xfId="0" applyFont="1" applyFill="1" applyBorder="1" applyAlignment="1" applyProtection="1">
      <alignment horizontal="left"/>
    </xf>
    <xf numFmtId="0" fontId="4" fillId="0" borderId="87" xfId="0" applyFont="1" applyFill="1" applyBorder="1" applyAlignment="1" applyProtection="1">
      <alignment horizontal="left"/>
    </xf>
    <xf numFmtId="0" fontId="4" fillId="0" borderId="19" xfId="0" applyFont="1" applyFill="1" applyBorder="1" applyAlignment="1" applyProtection="1">
      <alignment horizontal="left"/>
    </xf>
    <xf numFmtId="0" fontId="4" fillId="0" borderId="16" xfId="0" applyFont="1" applyFill="1" applyBorder="1" applyAlignment="1" applyProtection="1">
      <alignment horizontal="left"/>
    </xf>
    <xf numFmtId="0" fontId="4" fillId="0" borderId="100" xfId="0" applyFont="1" applyFill="1" applyBorder="1" applyAlignment="1" applyProtection="1">
      <alignment horizontal="left"/>
    </xf>
    <xf numFmtId="0" fontId="4" fillId="0" borderId="23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58" fillId="0" borderId="0" xfId="0" applyFont="1" applyFill="1" applyAlignment="1">
      <alignment horizontal="center"/>
    </xf>
    <xf numFmtId="0" fontId="4" fillId="0" borderId="17" xfId="0" applyFont="1" applyFill="1" applyBorder="1" applyAlignment="1" applyProtection="1">
      <alignment horizontal="center"/>
    </xf>
    <xf numFmtId="0" fontId="4" fillId="0" borderId="22" xfId="0" applyFont="1" applyFill="1" applyBorder="1" applyAlignment="1" applyProtection="1">
      <alignment horizontal="center"/>
    </xf>
    <xf numFmtId="0" fontId="58" fillId="0" borderId="0" xfId="0" applyFont="1" applyAlignment="1" applyProtection="1">
      <alignment horizontal="center"/>
    </xf>
    <xf numFmtId="0" fontId="58" fillId="0" borderId="0" xfId="77" applyFont="1" applyFill="1" applyAlignment="1">
      <alignment horizontal="center"/>
    </xf>
    <xf numFmtId="0" fontId="74" fillId="0" borderId="0" xfId="0" applyFont="1" applyAlignment="1"/>
    <xf numFmtId="0" fontId="4" fillId="0" borderId="20" xfId="77" applyFont="1" applyFill="1" applyBorder="1" applyAlignment="1">
      <alignment horizontal="left"/>
    </xf>
    <xf numFmtId="0" fontId="4" fillId="0" borderId="81" xfId="77" applyFont="1" applyFill="1" applyBorder="1" applyAlignment="1">
      <alignment horizontal="left"/>
    </xf>
    <xf numFmtId="0" fontId="4" fillId="27" borderId="123" xfId="0" applyFont="1" applyFill="1" applyBorder="1" applyAlignment="1">
      <alignment horizontal="center"/>
    </xf>
    <xf numFmtId="0" fontId="4" fillId="27" borderId="124" xfId="0" applyFont="1" applyFill="1" applyBorder="1" applyAlignment="1">
      <alignment horizontal="center"/>
    </xf>
    <xf numFmtId="0" fontId="4" fillId="0" borderId="0" xfId="77" applyFont="1" applyFill="1" applyBorder="1" applyAlignment="1">
      <alignment horizontal="center"/>
    </xf>
    <xf numFmtId="0" fontId="4" fillId="27" borderId="0" xfId="0" applyFont="1" applyFill="1" applyBorder="1" applyAlignment="1">
      <alignment horizontal="center"/>
    </xf>
    <xf numFmtId="0" fontId="4" fillId="0" borderId="26" xfId="77" applyFont="1" applyFill="1" applyBorder="1" applyAlignment="1">
      <alignment horizontal="left"/>
    </xf>
    <xf numFmtId="0" fontId="4" fillId="0" borderId="89" xfId="77" applyFont="1" applyFill="1" applyBorder="1" applyAlignment="1">
      <alignment horizontal="left"/>
    </xf>
    <xf numFmtId="0" fontId="4" fillId="0" borderId="17" xfId="77" applyFont="1" applyFill="1" applyBorder="1" applyAlignment="1">
      <alignment horizontal="left"/>
    </xf>
    <xf numFmtId="0" fontId="4" fillId="0" borderId="80" xfId="77" applyFont="1" applyFill="1" applyBorder="1" applyAlignment="1">
      <alignment horizontal="left"/>
    </xf>
    <xf numFmtId="0" fontId="15" fillId="0" borderId="0" xfId="77" applyFont="1" applyAlignment="1">
      <alignment horizontal="center"/>
    </xf>
    <xf numFmtId="0" fontId="58" fillId="0" borderId="0" xfId="77" applyFont="1" applyAlignment="1">
      <alignment horizontal="center"/>
    </xf>
    <xf numFmtId="0" fontId="36" fillId="0" borderId="23" xfId="77" applyFont="1" applyBorder="1" applyAlignment="1">
      <alignment horizontal="center"/>
    </xf>
    <xf numFmtId="0" fontId="36" fillId="0" borderId="46" xfId="77" applyFont="1" applyBorder="1" applyAlignment="1">
      <alignment horizontal="center"/>
    </xf>
    <xf numFmtId="0" fontId="36" fillId="27" borderId="47" xfId="0" applyFont="1" applyFill="1" applyBorder="1" applyAlignment="1">
      <alignment horizontal="center"/>
    </xf>
    <xf numFmtId="0" fontId="36" fillId="27" borderId="63" xfId="0" applyFont="1" applyFill="1" applyBorder="1" applyAlignment="1">
      <alignment horizontal="center"/>
    </xf>
    <xf numFmtId="0" fontId="106" fillId="0" borderId="0" xfId="0" applyFont="1" applyAlignment="1">
      <alignment horizontal="center"/>
    </xf>
    <xf numFmtId="0" fontId="10" fillId="0" borderId="0" xfId="78" applyFont="1" applyAlignment="1">
      <alignment horizontal="center"/>
    </xf>
    <xf numFmtId="0" fontId="36" fillId="0" borderId="0" xfId="77" applyFont="1" applyFill="1" applyAlignment="1">
      <alignment horizontal="center"/>
    </xf>
    <xf numFmtId="0" fontId="108" fillId="0" borderId="0" xfId="77" applyFont="1" applyFill="1" applyAlignment="1">
      <alignment horizontal="center"/>
    </xf>
    <xf numFmtId="0" fontId="115" fillId="0" borderId="0" xfId="91" applyFont="1" applyAlignment="1">
      <alignment horizontal="center"/>
    </xf>
    <xf numFmtId="0" fontId="106" fillId="0" borderId="0" xfId="91" applyFont="1" applyAlignment="1">
      <alignment horizontal="center"/>
    </xf>
    <xf numFmtId="0" fontId="116" fillId="0" borderId="0" xfId="91" applyFont="1" applyBorder="1" applyAlignment="1">
      <alignment horizontal="center"/>
    </xf>
    <xf numFmtId="0" fontId="4" fillId="0" borderId="23" xfId="77" applyFont="1" applyFill="1" applyBorder="1" applyAlignment="1">
      <alignment horizontal="center"/>
    </xf>
    <xf numFmtId="0" fontId="4" fillId="0" borderId="46" xfId="77" applyFont="1" applyFill="1" applyBorder="1" applyAlignment="1">
      <alignment horizontal="center"/>
    </xf>
    <xf numFmtId="0" fontId="8" fillId="0" borderId="18" xfId="92" applyFont="1" applyBorder="1" applyAlignment="1">
      <alignment wrapText="1"/>
    </xf>
    <xf numFmtId="0" fontId="0" fillId="0" borderId="86" xfId="0" applyBorder="1" applyAlignment="1">
      <alignment wrapText="1"/>
    </xf>
    <xf numFmtId="0" fontId="14" fillId="0" borderId="26" xfId="92" applyFont="1" applyBorder="1" applyAlignment="1">
      <alignment wrapText="1"/>
    </xf>
    <xf numFmtId="0" fontId="119" fillId="0" borderId="89" xfId="0" applyFont="1" applyBorder="1" applyAlignment="1"/>
    <xf numFmtId="0" fontId="0" fillId="0" borderId="89" xfId="0" applyBorder="1" applyAlignment="1">
      <alignment wrapText="1"/>
    </xf>
    <xf numFmtId="0" fontId="121" fillId="0" borderId="20" xfId="92" applyFont="1" applyBorder="1" applyAlignment="1">
      <alignment wrapText="1"/>
    </xf>
    <xf numFmtId="0" fontId="119" fillId="0" borderId="81" xfId="0" applyFont="1" applyBorder="1" applyAlignment="1">
      <alignment wrapText="1"/>
    </xf>
    <xf numFmtId="0" fontId="116" fillId="0" borderId="0" xfId="0" applyFont="1" applyAlignment="1">
      <alignment horizontal="center"/>
    </xf>
    <xf numFmtId="0" fontId="106" fillId="0" borderId="0" xfId="92" applyFont="1" applyBorder="1" applyAlignment="1">
      <alignment horizontal="center"/>
    </xf>
    <xf numFmtId="0" fontId="38" fillId="0" borderId="0" xfId="0" applyFont="1" applyAlignment="1"/>
    <xf numFmtId="0" fontId="115" fillId="0" borderId="23" xfId="92" applyFont="1" applyBorder="1" applyAlignment="1">
      <alignment horizontal="center"/>
    </xf>
    <xf numFmtId="0" fontId="119" fillId="0" borderId="53" xfId="0" applyFont="1" applyBorder="1" applyAlignment="1">
      <alignment horizontal="center"/>
    </xf>
    <xf numFmtId="0" fontId="115" fillId="0" borderId="17" xfId="92" applyFont="1" applyBorder="1" applyAlignment="1">
      <alignment wrapText="1"/>
    </xf>
    <xf numFmtId="0" fontId="119" fillId="0" borderId="80" xfId="0" applyFont="1" applyBorder="1" applyAlignment="1"/>
    <xf numFmtId="0" fontId="119" fillId="0" borderId="86" xfId="0" applyFont="1" applyBorder="1" applyAlignment="1">
      <alignment wrapText="1"/>
    </xf>
    <xf numFmtId="0" fontId="121" fillId="0" borderId="18" xfId="92" applyFont="1" applyBorder="1" applyAlignment="1">
      <alignment wrapText="1"/>
    </xf>
    <xf numFmtId="0" fontId="0" fillId="0" borderId="89" xfId="0" applyBorder="1" applyAlignment="1"/>
    <xf numFmtId="0" fontId="125" fillId="0" borderId="26" xfId="92" applyFont="1" applyBorder="1" applyAlignment="1">
      <alignment wrapText="1"/>
    </xf>
    <xf numFmtId="0" fontId="124" fillId="0" borderId="89" xfId="0" applyFont="1" applyBorder="1" applyAlignment="1"/>
    <xf numFmtId="0" fontId="126" fillId="0" borderId="20" xfId="92" applyFont="1" applyBorder="1" applyAlignment="1">
      <alignment wrapText="1"/>
    </xf>
    <xf numFmtId="0" fontId="124" fillId="0" borderId="81" xfId="0" applyFont="1" applyBorder="1" applyAlignment="1">
      <alignment wrapText="1"/>
    </xf>
    <xf numFmtId="0" fontId="116" fillId="0" borderId="0" xfId="92" applyFont="1" applyBorder="1" applyAlignment="1">
      <alignment horizontal="center"/>
    </xf>
    <xf numFmtId="0" fontId="123" fillId="0" borderId="23" xfId="92" applyFont="1" applyBorder="1" applyAlignment="1">
      <alignment horizontal="center"/>
    </xf>
    <xf numFmtId="0" fontId="124" fillId="0" borderId="53" xfId="0" applyFont="1" applyBorder="1" applyAlignment="1">
      <alignment horizontal="center"/>
    </xf>
    <xf numFmtId="0" fontId="127" fillId="0" borderId="16" xfId="93" applyFont="1" applyBorder="1" applyAlignment="1">
      <alignment horizontal="center"/>
    </xf>
    <xf numFmtId="0" fontId="15" fillId="0" borderId="0" xfId="93" applyFont="1" applyAlignment="1">
      <alignment horizontal="center"/>
    </xf>
    <xf numFmtId="0" fontId="5" fillId="0" borderId="0" xfId="93" applyFont="1" applyAlignment="1">
      <alignment horizontal="center"/>
    </xf>
    <xf numFmtId="0" fontId="127" fillId="0" borderId="0" xfId="93" applyFont="1" applyAlignment="1">
      <alignment horizontal="center"/>
    </xf>
    <xf numFmtId="0" fontId="77" fillId="0" borderId="24" xfId="94" applyFont="1" applyFill="1" applyBorder="1" applyAlignment="1">
      <alignment wrapText="1"/>
    </xf>
    <xf numFmtId="0" fontId="38" fillId="0" borderId="24" xfId="0" applyFont="1" applyFill="1" applyBorder="1" applyAlignment="1"/>
    <xf numFmtId="0" fontId="38" fillId="0" borderId="138" xfId="0" applyFont="1" applyFill="1" applyBorder="1" applyAlignment="1"/>
    <xf numFmtId="0" fontId="130" fillId="0" borderId="0" xfId="94" applyFont="1" applyAlignment="1">
      <alignment horizontal="center"/>
    </xf>
    <xf numFmtId="0" fontId="116" fillId="0" borderId="18" xfId="94" applyFont="1" applyBorder="1" applyAlignment="1">
      <alignment horizontal="center"/>
    </xf>
    <xf numFmtId="0" fontId="116" fillId="0" borderId="0" xfId="94" applyFont="1" applyBorder="1" applyAlignment="1">
      <alignment horizontal="center"/>
    </xf>
    <xf numFmtId="0" fontId="15" fillId="0" borderId="141" xfId="0" applyFont="1" applyBorder="1" applyAlignment="1">
      <alignment horizontal="center"/>
    </xf>
    <xf numFmtId="0" fontId="15" fillId="0" borderId="101" xfId="0" applyFont="1" applyBorder="1" applyAlignment="1">
      <alignment horizontal="center"/>
    </xf>
    <xf numFmtId="49" fontId="3" fillId="0" borderId="57" xfId="95" applyNumberFormat="1" applyFont="1" applyBorder="1" applyAlignment="1">
      <alignment horizontal="center"/>
    </xf>
    <xf numFmtId="49" fontId="3" fillId="0" borderId="105" xfId="95" applyNumberFormat="1" applyBorder="1" applyAlignment="1">
      <alignment horizontal="center"/>
    </xf>
    <xf numFmtId="49" fontId="3" fillId="0" borderId="26" xfId="95" applyNumberFormat="1" applyFont="1" applyBorder="1" applyAlignment="1">
      <alignment horizontal="center"/>
    </xf>
    <xf numFmtId="49" fontId="3" fillId="0" borderId="138" xfId="95" applyNumberFormat="1" applyBorder="1" applyAlignment="1">
      <alignment horizontal="center"/>
    </xf>
    <xf numFmtId="0" fontId="3" fillId="0" borderId="19" xfId="95" applyBorder="1" applyAlignment="1">
      <alignment horizontal="center"/>
    </xf>
    <xf numFmtId="0" fontId="3" fillId="0" borderId="16" xfId="95" applyBorder="1" applyAlignment="1">
      <alignment horizontal="center"/>
    </xf>
    <xf numFmtId="0" fontId="3" fillId="0" borderId="24" xfId="95" applyBorder="1" applyAlignment="1">
      <alignment horizontal="left"/>
    </xf>
    <xf numFmtId="0" fontId="3" fillId="0" borderId="138" xfId="95" applyBorder="1" applyAlignment="1">
      <alignment horizontal="left"/>
    </xf>
    <xf numFmtId="49" fontId="3" fillId="0" borderId="99" xfId="95" applyNumberFormat="1" applyFont="1" applyBorder="1" applyAlignment="1">
      <alignment horizontal="center"/>
    </xf>
    <xf numFmtId="49" fontId="3" fillId="0" borderId="92" xfId="95" applyNumberFormat="1" applyBorder="1" applyAlignment="1">
      <alignment horizontal="center"/>
    </xf>
    <xf numFmtId="49" fontId="3" fillId="0" borderId="26" xfId="95" applyNumberFormat="1" applyBorder="1" applyAlignment="1">
      <alignment horizontal="center"/>
    </xf>
    <xf numFmtId="49" fontId="3" fillId="0" borderId="17" xfId="95" applyNumberFormat="1" applyBorder="1" applyAlignment="1">
      <alignment horizontal="center"/>
    </xf>
    <xf numFmtId="49" fontId="3" fillId="0" borderId="87" xfId="95" applyNumberFormat="1" applyBorder="1" applyAlignment="1">
      <alignment horizontal="center"/>
    </xf>
    <xf numFmtId="0" fontId="3" fillId="0" borderId="22" xfId="95" applyFont="1" applyBorder="1" applyAlignment="1">
      <alignment horizontal="left"/>
    </xf>
    <xf numFmtId="0" fontId="3" fillId="0" borderId="87" xfId="95" applyBorder="1" applyAlignment="1">
      <alignment horizontal="left"/>
    </xf>
    <xf numFmtId="49" fontId="3" fillId="0" borderId="123" xfId="95" applyNumberFormat="1" applyFont="1" applyBorder="1" applyAlignment="1">
      <alignment horizontal="center"/>
    </xf>
    <xf numFmtId="49" fontId="3" fillId="0" borderId="126" xfId="95" applyNumberFormat="1" applyBorder="1" applyAlignment="1">
      <alignment horizontal="center"/>
    </xf>
    <xf numFmtId="49" fontId="3" fillId="0" borderId="142" xfId="95" applyNumberFormat="1" applyBorder="1" applyAlignment="1">
      <alignment horizontal="center"/>
    </xf>
    <xf numFmtId="0" fontId="3" fillId="0" borderId="92" xfId="95" applyBorder="1" applyAlignment="1">
      <alignment horizontal="left"/>
    </xf>
    <xf numFmtId="0" fontId="3" fillId="0" borderId="142" xfId="95" applyBorder="1" applyAlignment="1">
      <alignment horizontal="left"/>
    </xf>
    <xf numFmtId="49" fontId="3" fillId="0" borderId="140" xfId="95" applyNumberFormat="1" applyBorder="1" applyAlignment="1">
      <alignment horizontal="center"/>
    </xf>
    <xf numFmtId="49" fontId="3" fillId="0" borderId="99" xfId="95" applyNumberFormat="1" applyBorder="1" applyAlignment="1">
      <alignment horizontal="center"/>
    </xf>
    <xf numFmtId="0" fontId="4" fillId="0" borderId="0" xfId="95" applyFont="1" applyBorder="1" applyAlignment="1">
      <alignment horizontal="center"/>
    </xf>
    <xf numFmtId="0" fontId="10" fillId="0" borderId="0" xfId="95" applyFont="1" applyBorder="1" applyAlignment="1">
      <alignment horizontal="left"/>
    </xf>
    <xf numFmtId="0" fontId="3" fillId="0" borderId="23" xfId="95" applyBorder="1" applyAlignment="1">
      <alignment horizontal="center" vertical="center"/>
    </xf>
    <xf numFmtId="0" fontId="3" fillId="0" borderId="63" xfId="95" applyBorder="1" applyAlignment="1">
      <alignment horizontal="center" vertical="center"/>
    </xf>
    <xf numFmtId="0" fontId="3" fillId="0" borderId="18" xfId="95" applyBorder="1" applyAlignment="1">
      <alignment horizontal="center" vertical="center"/>
    </xf>
    <xf numFmtId="0" fontId="3" fillId="0" borderId="31" xfId="95" applyBorder="1" applyAlignment="1">
      <alignment horizontal="center" vertical="center"/>
    </xf>
    <xf numFmtId="0" fontId="3" fillId="0" borderId="19" xfId="95" applyBorder="1" applyAlignment="1">
      <alignment horizontal="center" vertical="center"/>
    </xf>
    <xf numFmtId="0" fontId="3" fillId="0" borderId="100" xfId="95" applyBorder="1" applyAlignment="1">
      <alignment horizontal="center" vertical="center"/>
    </xf>
    <xf numFmtId="0" fontId="3" fillId="0" borderId="47" xfId="95" applyBorder="1" applyAlignment="1">
      <alignment horizontal="center" vertical="center"/>
    </xf>
    <xf numFmtId="0" fontId="3" fillId="0" borderId="29" xfId="95" applyBorder="1" applyAlignment="1">
      <alignment horizontal="center" vertical="center"/>
    </xf>
    <xf numFmtId="0" fontId="3" fillId="0" borderId="33" xfId="95" applyBorder="1" applyAlignment="1">
      <alignment horizontal="center" vertical="center"/>
    </xf>
    <xf numFmtId="0" fontId="3" fillId="0" borderId="125" xfId="95" applyBorder="1" applyAlignment="1">
      <alignment horizontal="center"/>
    </xf>
    <xf numFmtId="0" fontId="3" fillId="0" borderId="139" xfId="95" applyBorder="1" applyAlignment="1">
      <alignment horizontal="center"/>
    </xf>
    <xf numFmtId="0" fontId="3" fillId="0" borderId="124" xfId="95" applyBorder="1" applyAlignment="1">
      <alignment horizontal="center"/>
    </xf>
    <xf numFmtId="0" fontId="3" fillId="0" borderId="49" xfId="95" applyBorder="1" applyAlignment="1">
      <alignment horizontal="center"/>
    </xf>
    <xf numFmtId="0" fontId="3" fillId="0" borderId="24" xfId="95" applyBorder="1" applyAlignment="1">
      <alignment horizontal="center"/>
    </xf>
    <xf numFmtId="0" fontId="3" fillId="0" borderId="138" xfId="95" applyBorder="1" applyAlignment="1">
      <alignment horizontal="center"/>
    </xf>
    <xf numFmtId="0" fontId="3" fillId="0" borderId="89" xfId="95" applyBorder="1" applyAlignment="1">
      <alignment horizontal="center"/>
    </xf>
    <xf numFmtId="0" fontId="3" fillId="0" borderId="55" xfId="95" applyBorder="1" applyAlignment="1">
      <alignment horizontal="center" vertical="center"/>
    </xf>
    <xf numFmtId="0" fontId="3" fillId="0" borderId="102" xfId="95" applyBorder="1" applyAlignment="1">
      <alignment horizontal="center" vertical="center"/>
    </xf>
    <xf numFmtId="0" fontId="3" fillId="0" borderId="82" xfId="95" applyBorder="1" applyAlignment="1">
      <alignment horizontal="center" vertical="center"/>
    </xf>
    <xf numFmtId="0" fontId="3" fillId="0" borderId="140" xfId="95" applyBorder="1" applyAlignment="1">
      <alignment horizontal="center" vertical="center"/>
    </xf>
    <xf numFmtId="0" fontId="3" fillId="0" borderId="141" xfId="95" applyBorder="1" applyAlignment="1">
      <alignment horizontal="center" vertical="center"/>
    </xf>
    <xf numFmtId="0" fontId="3" fillId="0" borderId="142" xfId="95" applyBorder="1" applyAlignment="1">
      <alignment horizontal="center" vertical="center"/>
    </xf>
    <xf numFmtId="0" fontId="3" fillId="0" borderId="82" xfId="95" applyBorder="1" applyAlignment="1">
      <alignment horizontal="center"/>
    </xf>
    <xf numFmtId="0" fontId="3" fillId="0" borderId="140" xfId="95" applyBorder="1" applyAlignment="1">
      <alignment horizontal="center"/>
    </xf>
    <xf numFmtId="0" fontId="3" fillId="0" borderId="135" xfId="95" applyBorder="1" applyAlignment="1">
      <alignment horizontal="center" vertical="center"/>
    </xf>
    <xf numFmtId="0" fontId="3" fillId="0" borderId="101" xfId="95" applyBorder="1" applyAlignment="1">
      <alignment horizontal="center" vertical="center"/>
    </xf>
    <xf numFmtId="0" fontId="3" fillId="0" borderId="141" xfId="95" applyBorder="1" applyAlignment="1">
      <alignment horizontal="center"/>
    </xf>
    <xf numFmtId="0" fontId="3" fillId="0" borderId="142" xfId="95" applyBorder="1" applyAlignment="1">
      <alignment horizontal="center"/>
    </xf>
    <xf numFmtId="0" fontId="34" fillId="0" borderId="37" xfId="0" applyFont="1" applyBorder="1" applyAlignment="1">
      <alignment wrapText="1"/>
    </xf>
    <xf numFmtId="0" fontId="0" fillId="0" borderId="39" xfId="0" applyBorder="1" applyAlignment="1"/>
    <xf numFmtId="3" fontId="34" fillId="0" borderId="37" xfId="96" applyNumberFormat="1" applyFont="1" applyBorder="1" applyAlignment="1">
      <alignment wrapText="1"/>
    </xf>
    <xf numFmtId="0" fontId="2" fillId="0" borderId="37" xfId="0" applyFont="1" applyBorder="1" applyAlignment="1"/>
    <xf numFmtId="3" fontId="34" fillId="0" borderId="16" xfId="96" applyNumberFormat="1" applyFont="1" applyBorder="1" applyAlignment="1">
      <alignment wrapText="1"/>
    </xf>
    <xf numFmtId="0" fontId="2" fillId="0" borderId="100" xfId="0" applyFont="1" applyBorder="1" applyAlignment="1"/>
    <xf numFmtId="3" fontId="130" fillId="0" borderId="0" xfId="96" applyNumberFormat="1" applyFont="1" applyAlignment="1">
      <alignment horizontal="center"/>
    </xf>
    <xf numFmtId="3" fontId="116" fillId="0" borderId="20" xfId="96" applyNumberFormat="1" applyFont="1" applyBorder="1" applyAlignment="1">
      <alignment horizontal="center"/>
    </xf>
    <xf numFmtId="3" fontId="116" fillId="0" borderId="94" xfId="96" applyNumberFormat="1" applyFont="1" applyBorder="1" applyAlignment="1">
      <alignment horizontal="center"/>
    </xf>
    <xf numFmtId="3" fontId="116" fillId="0" borderId="81" xfId="96" applyNumberFormat="1" applyFont="1" applyBorder="1" applyAlignment="1">
      <alignment horizontal="center"/>
    </xf>
    <xf numFmtId="0" fontId="107" fillId="0" borderId="37" xfId="0" applyFont="1" applyFill="1" applyBorder="1" applyAlignment="1">
      <alignment wrapText="1"/>
    </xf>
    <xf numFmtId="0" fontId="135" fillId="0" borderId="39" xfId="0" applyFont="1" applyFill="1" applyBorder="1" applyAlignment="1"/>
    <xf numFmtId="3" fontId="34" fillId="0" borderId="0" xfId="96" applyNumberFormat="1" applyFont="1" applyFill="1" applyBorder="1" applyAlignment="1">
      <alignment wrapText="1"/>
    </xf>
    <xf numFmtId="0" fontId="0" fillId="0" borderId="31" xfId="0" applyBorder="1" applyAlignment="1"/>
    <xf numFmtId="0" fontId="144" fillId="0" borderId="0" xfId="106" applyFont="1" applyFill="1" applyAlignment="1">
      <alignment horizontal="center"/>
    </xf>
    <xf numFmtId="0" fontId="199" fillId="0" borderId="83" xfId="109" applyFont="1" applyFill="1" applyBorder="1" applyAlignment="1" applyProtection="1"/>
    <xf numFmtId="0" fontId="199" fillId="0" borderId="69" xfId="109" applyFont="1" applyFill="1" applyBorder="1" applyAlignment="1" applyProtection="1"/>
    <xf numFmtId="0" fontId="202" fillId="0" borderId="69" xfId="0" applyFont="1" applyFill="1" applyBorder="1" applyAlignment="1"/>
    <xf numFmtId="0" fontId="4" fillId="0" borderId="26" xfId="98" applyFont="1" applyFill="1" applyBorder="1" applyAlignment="1">
      <alignment horizontal="left" wrapText="1"/>
    </xf>
    <xf numFmtId="0" fontId="4" fillId="0" borderId="24" xfId="98" applyFont="1" applyFill="1" applyBorder="1" applyAlignment="1">
      <alignment horizontal="left" wrapText="1"/>
    </xf>
    <xf numFmtId="0" fontId="4" fillId="0" borderId="138" xfId="98" applyFont="1" applyFill="1" applyBorder="1" applyAlignment="1">
      <alignment horizontal="left" wrapText="1"/>
    </xf>
    <xf numFmtId="0" fontId="15" fillId="0" borderId="0" xfId="99" applyFont="1" applyAlignment="1">
      <alignment horizontal="center"/>
    </xf>
    <xf numFmtId="0" fontId="15" fillId="0" borderId="0" xfId="100" applyFont="1" applyAlignment="1">
      <alignment horizontal="center"/>
    </xf>
    <xf numFmtId="0" fontId="4" fillId="0" borderId="125" xfId="98" applyFont="1" applyBorder="1" applyAlignment="1">
      <alignment horizontal="center"/>
    </xf>
    <xf numFmtId="0" fontId="5" fillId="0" borderId="139" xfId="98" applyFont="1" applyBorder="1" applyAlignment="1">
      <alignment horizontal="center"/>
    </xf>
    <xf numFmtId="0" fontId="5" fillId="0" borderId="124" xfId="98" applyFont="1" applyBorder="1" applyAlignment="1">
      <alignment horizontal="center"/>
    </xf>
    <xf numFmtId="0" fontId="5" fillId="0" borderId="26" xfId="98" applyFont="1" applyFill="1" applyBorder="1" applyAlignment="1">
      <alignment wrapText="1"/>
    </xf>
    <xf numFmtId="0" fontId="119" fillId="0" borderId="24" xfId="0" applyFont="1" applyBorder="1" applyAlignment="1">
      <alignment wrapText="1"/>
    </xf>
    <xf numFmtId="0" fontId="119" fillId="0" borderId="138" xfId="0" applyFont="1" applyBorder="1" applyAlignment="1">
      <alignment wrapText="1"/>
    </xf>
    <xf numFmtId="0" fontId="5" fillId="0" borderId="26" xfId="98" applyFont="1" applyFill="1" applyBorder="1" applyAlignment="1">
      <alignment horizontal="left" wrapText="1"/>
    </xf>
    <xf numFmtId="0" fontId="5" fillId="0" borderId="24" xfId="98" applyFont="1" applyFill="1" applyBorder="1" applyAlignment="1">
      <alignment horizontal="left" wrapText="1"/>
    </xf>
    <xf numFmtId="0" fontId="5" fillId="0" borderId="138" xfId="98" applyFont="1" applyFill="1" applyBorder="1" applyAlignment="1">
      <alignment horizontal="left" wrapText="1"/>
    </xf>
  </cellXfs>
  <cellStyles count="111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 xr:uid="{00000000-0005-0000-0000-00001E000000}"/>
    <cellStyle name="60% - Accent2" xfId="32" xr:uid="{00000000-0005-0000-0000-00001F000000}"/>
    <cellStyle name="60% - Accent3" xfId="33" xr:uid="{00000000-0005-0000-0000-000020000000}"/>
    <cellStyle name="60% - Accent4" xfId="34" xr:uid="{00000000-0005-0000-0000-000021000000}"/>
    <cellStyle name="60% - Accent5" xfId="35" xr:uid="{00000000-0005-0000-0000-000022000000}"/>
    <cellStyle name="60% - Accent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evitel" xfId="44" builtinId="20" customBuiltin="1"/>
    <cellStyle name="Calculation" xfId="45" xr:uid="{00000000-0005-0000-0000-00002C000000}"/>
    <cellStyle name="Check Cell" xfId="46" xr:uid="{00000000-0005-0000-0000-00002D000000}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 xr:uid="{00000000-0005-0000-0000-000034000000}"/>
    <cellStyle name="Figyelmeztetés" xfId="54" builtinId="11" customBuiltin="1"/>
    <cellStyle name="Good" xfId="55" xr:uid="{00000000-0005-0000-0000-000036000000}"/>
    <cellStyle name="Heading 1" xfId="56" xr:uid="{00000000-0005-0000-0000-000037000000}"/>
    <cellStyle name="Heading 2" xfId="57" xr:uid="{00000000-0005-0000-0000-000038000000}"/>
    <cellStyle name="Heading 3" xfId="58" xr:uid="{00000000-0005-0000-0000-000039000000}"/>
    <cellStyle name="Heading 4" xfId="59" xr:uid="{00000000-0005-0000-0000-00003A000000}"/>
    <cellStyle name="Hivatkozott cella" xfId="60" builtinId="24" customBuiltin="1"/>
    <cellStyle name="Input" xfId="61" xr:uid="{00000000-0005-0000-0000-00003C000000}"/>
    <cellStyle name="Jegyzet" xfId="62" builtinId="10" customBuiltin="1"/>
    <cellStyle name="Jelölőszín (1)" xfId="63" xr:uid="{00000000-0005-0000-0000-00003E000000}"/>
    <cellStyle name="Jelölőszín (2)" xfId="64" xr:uid="{00000000-0005-0000-0000-00003F000000}"/>
    <cellStyle name="Jelölőszín (3)" xfId="65" xr:uid="{00000000-0005-0000-0000-000040000000}"/>
    <cellStyle name="Jelölőszín (4)" xfId="66" xr:uid="{00000000-0005-0000-0000-000041000000}"/>
    <cellStyle name="Jelölőszín (5)" xfId="67" xr:uid="{00000000-0005-0000-0000-000042000000}"/>
    <cellStyle name="Jelölőszín (6)" xfId="68" xr:uid="{00000000-0005-0000-0000-000043000000}"/>
    <cellStyle name="Jó" xfId="69" builtinId="26" customBuiltin="1"/>
    <cellStyle name="Kimenet" xfId="70" builtinId="21" customBuiltin="1"/>
    <cellStyle name="Linked Cell" xfId="71" xr:uid="{00000000-0005-0000-0000-000046000000}"/>
    <cellStyle name="Magyarázó szöveg" xfId="72" builtinId="53" customBuiltin="1"/>
    <cellStyle name="Neutral" xfId="73" xr:uid="{00000000-0005-0000-0000-000048000000}"/>
    <cellStyle name="Normál" xfId="0" builtinId="0"/>
    <cellStyle name="Normal 2" xfId="74" xr:uid="{00000000-0005-0000-0000-00004A000000}"/>
    <cellStyle name="Normál 2" xfId="75" xr:uid="{00000000-0005-0000-0000-00004B000000}"/>
    <cellStyle name="Normál 3" xfId="76" xr:uid="{00000000-0005-0000-0000-00004C000000}"/>
    <cellStyle name="Normál 4" xfId="110" xr:uid="{00000000-0005-0000-0000-00004D000000}"/>
    <cellStyle name="Normál_99LETSZ_LETSZ02" xfId="101" xr:uid="{00000000-0005-0000-0000-00004E000000}"/>
    <cellStyle name="Normál_BESZAM10" xfId="109" xr:uid="{00000000-0005-0000-0000-00004F000000}"/>
    <cellStyle name="Normál_ESZKFOR" xfId="92" xr:uid="{00000000-0005-0000-0000-000050000000}"/>
    <cellStyle name="Normál_GAZDTÁRS11" xfId="100" xr:uid="{00000000-0005-0000-0000-000051000000}"/>
    <cellStyle name="Normál_GAZDTÁRS13" xfId="99" xr:uid="{00000000-0005-0000-0000-000052000000}"/>
    <cellStyle name="Normál_GAZDTÁRS15" xfId="98" xr:uid="{00000000-0005-0000-0000-000053000000}"/>
    <cellStyle name="Normál_GUCIFEJL" xfId="77" xr:uid="{00000000-0005-0000-0000-000054000000}"/>
    <cellStyle name="Normál_IKÖZI" xfId="104" xr:uid="{00000000-0005-0000-0000-000055000000}"/>
    <cellStyle name="Normál_kiadások kerekített_2000INT" xfId="108" xr:uid="{00000000-0005-0000-0000-000056000000}"/>
    <cellStyle name="Normál_kiadások kerekített_20INTKTG" xfId="106" xr:uid="{00000000-0005-0000-0000-000057000000}"/>
    <cellStyle name="Normál_kiemelt eik 2013" xfId="89" xr:uid="{00000000-0005-0000-0000-000058000000}"/>
    <cellStyle name="Normál_kozvetetttam" xfId="90" xr:uid="{00000000-0005-0000-0000-000059000000}"/>
    <cellStyle name="Normál_LAKAS" xfId="93" xr:uid="{00000000-0005-0000-0000-00005A000000}"/>
    <cellStyle name="Normál_LETSZ06" xfId="103" xr:uid="{00000000-0005-0000-0000-00005B000000}"/>
    <cellStyle name="Normál_letsz2011" xfId="102" xr:uid="{00000000-0005-0000-0000-00005C000000}"/>
    <cellStyle name="Normál_módIV12önk" xfId="88" xr:uid="{00000000-0005-0000-0000-00005D000000}"/>
    <cellStyle name="Normál_Munkafüzet1" xfId="95" xr:uid="{00000000-0005-0000-0000-00005E000000}"/>
    <cellStyle name="Normál_Munkafüzet2" xfId="78" xr:uid="{00000000-0005-0000-0000-00005F000000}"/>
    <cellStyle name="Normál_össz 97 norma kerekítés_1_98 évi norma tény (2)" xfId="105" xr:uid="{00000000-0005-0000-0000-000060000000}"/>
    <cellStyle name="Normál_SEGÉLY98" xfId="94" xr:uid="{00000000-0005-0000-0000-000061000000}"/>
    <cellStyle name="Normál_szem jutt kerekített_2000INT" xfId="107" xr:uid="{00000000-0005-0000-0000-000062000000}"/>
    <cellStyle name="Normál_TÖBBEV" xfId="91" xr:uid="{00000000-0005-0000-0000-000063000000}"/>
    <cellStyle name="Normál_VAGYONRE" xfId="96" xr:uid="{00000000-0005-0000-0000-000064000000}"/>
    <cellStyle name="Normál_VAGYONZ" xfId="97" xr:uid="{00000000-0005-0000-0000-000065000000}"/>
    <cellStyle name="Note" xfId="79" xr:uid="{00000000-0005-0000-0000-000066000000}"/>
    <cellStyle name="Output" xfId="80" xr:uid="{00000000-0005-0000-0000-000067000000}"/>
    <cellStyle name="Összesen" xfId="81" builtinId="25" customBuiltin="1"/>
    <cellStyle name="Rossz" xfId="82" builtinId="27" customBuiltin="1"/>
    <cellStyle name="Semleges" xfId="83" builtinId="28" customBuiltin="1"/>
    <cellStyle name="Számítás" xfId="84" builtinId="22" customBuiltin="1"/>
    <cellStyle name="Title" xfId="85" xr:uid="{00000000-0005-0000-0000-00006C000000}"/>
    <cellStyle name="Total" xfId="86" xr:uid="{00000000-0005-0000-0000-00006D000000}"/>
    <cellStyle name="Warning Text" xfId="87" xr:uid="{00000000-0005-0000-0000-00006E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8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ndalf\Dokumentumok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ndalf\Dokumentumok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8/K&#246;lts&#233;gvet&#233;s/Int&#233;zm&#233;nyi%20k&#246;lts&#233;gvet&#233;s/Int&#233;zm&#233;nyi%20kgy%20t&#225;bl&#225;k/INTkvet&#233;s%20kgy%20t&#225;bla%20201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8/Rendeletm&#243;dos&#237;t&#225;s/INTrend.m&#243;d.201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8/Besz&#225;mol&#243;%202018/INT%20besz&#225;mol&#243;%20201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8/Rendeletm&#243;dos&#237;t&#225;s/Int.l&#233;tsz&#225;m201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8/Besz&#225;mol&#243;%202018/Felhalmoz&#225;s-fel&#250;j&#237;t&#225;s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bevételek2018"/>
      <sheetName val="int.kiadások2018"/>
    </sheetNames>
    <sheetDataSet>
      <sheetData sheetId="0">
        <row r="9">
          <cell r="B9">
            <v>1813</v>
          </cell>
          <cell r="L9">
            <v>145593</v>
          </cell>
        </row>
        <row r="10">
          <cell r="B10">
            <v>1301</v>
          </cell>
          <cell r="L10">
            <v>96589</v>
          </cell>
        </row>
        <row r="11">
          <cell r="B11">
            <v>1466</v>
          </cell>
          <cell r="L11">
            <v>88155</v>
          </cell>
        </row>
        <row r="12">
          <cell r="B12">
            <v>1509</v>
          </cell>
          <cell r="L12">
            <v>122985</v>
          </cell>
        </row>
        <row r="13">
          <cell r="B13">
            <v>1300</v>
          </cell>
          <cell r="L13">
            <v>104775</v>
          </cell>
        </row>
        <row r="14">
          <cell r="B14">
            <v>969</v>
          </cell>
          <cell r="L14">
            <v>96178</v>
          </cell>
        </row>
        <row r="15">
          <cell r="B15">
            <v>774</v>
          </cell>
          <cell r="L15">
            <v>79843</v>
          </cell>
        </row>
        <row r="16">
          <cell r="B16">
            <v>813</v>
          </cell>
          <cell r="L16">
            <v>74151</v>
          </cell>
        </row>
        <row r="17">
          <cell r="B17">
            <v>1962</v>
          </cell>
          <cell r="L17">
            <v>108086</v>
          </cell>
        </row>
        <row r="18">
          <cell r="B18">
            <v>1976</v>
          </cell>
          <cell r="L18">
            <v>131240</v>
          </cell>
        </row>
        <row r="19">
          <cell r="B19">
            <v>644</v>
          </cell>
          <cell r="L19">
            <v>67832</v>
          </cell>
        </row>
        <row r="20">
          <cell r="B20">
            <v>820</v>
          </cell>
          <cell r="L20">
            <v>55986</v>
          </cell>
        </row>
        <row r="21">
          <cell r="B21">
            <v>135</v>
          </cell>
          <cell r="L21">
            <v>66596</v>
          </cell>
        </row>
        <row r="22">
          <cell r="B22">
            <v>604</v>
          </cell>
          <cell r="L22">
            <v>93910</v>
          </cell>
        </row>
        <row r="23">
          <cell r="B23">
            <v>1939</v>
          </cell>
          <cell r="L23">
            <v>121827</v>
          </cell>
        </row>
        <row r="24">
          <cell r="B24">
            <v>1256</v>
          </cell>
          <cell r="L24">
            <v>96702</v>
          </cell>
        </row>
        <row r="25">
          <cell r="B25">
            <v>987</v>
          </cell>
          <cell r="L25">
            <v>79618</v>
          </cell>
        </row>
        <row r="26">
          <cell r="B26">
            <v>773</v>
          </cell>
          <cell r="L26">
            <v>54923</v>
          </cell>
        </row>
        <row r="28">
          <cell r="B28">
            <v>423926</v>
          </cell>
          <cell r="L28">
            <v>1057242</v>
          </cell>
        </row>
        <row r="32">
          <cell r="B32">
            <v>267832</v>
          </cell>
          <cell r="L32">
            <v>105000</v>
          </cell>
        </row>
        <row r="33">
          <cell r="B33">
            <v>33830</v>
          </cell>
          <cell r="L33">
            <v>85600</v>
          </cell>
        </row>
        <row r="34">
          <cell r="B34">
            <v>87000</v>
          </cell>
          <cell r="C34">
            <v>24000</v>
          </cell>
          <cell r="L34">
            <v>362153</v>
          </cell>
        </row>
        <row r="35">
          <cell r="B35">
            <v>24000</v>
          </cell>
          <cell r="L35">
            <v>209334</v>
          </cell>
        </row>
        <row r="36">
          <cell r="B36">
            <v>148850</v>
          </cell>
          <cell r="L36">
            <v>353000</v>
          </cell>
        </row>
        <row r="39">
          <cell r="B39">
            <v>87867</v>
          </cell>
          <cell r="L39">
            <v>621369</v>
          </cell>
        </row>
        <row r="41">
          <cell r="B41">
            <v>29335</v>
          </cell>
          <cell r="C41">
            <v>231397</v>
          </cell>
          <cell r="I41">
            <v>1990</v>
          </cell>
          <cell r="L41">
            <v>273199</v>
          </cell>
          <cell r="M41">
            <v>5273</v>
          </cell>
        </row>
        <row r="43">
          <cell r="B43">
            <v>47906</v>
          </cell>
          <cell r="L43">
            <v>683468</v>
          </cell>
          <cell r="M43">
            <v>14109</v>
          </cell>
        </row>
        <row r="45">
          <cell r="B45">
            <v>139748</v>
          </cell>
        </row>
        <row r="46">
          <cell r="B46">
            <v>16050</v>
          </cell>
          <cell r="E46">
            <v>700</v>
          </cell>
          <cell r="L46">
            <v>1689512</v>
          </cell>
          <cell r="M46">
            <v>10000</v>
          </cell>
        </row>
        <row r="47">
          <cell r="L47">
            <v>185000</v>
          </cell>
          <cell r="M47">
            <v>0</v>
          </cell>
        </row>
      </sheetData>
      <sheetData sheetId="1">
        <row r="9">
          <cell r="B9">
            <v>118257</v>
          </cell>
          <cell r="C9">
            <v>25378</v>
          </cell>
          <cell r="D9">
            <v>3771</v>
          </cell>
        </row>
        <row r="10">
          <cell r="B10">
            <v>79397</v>
          </cell>
          <cell r="C10">
            <v>15625</v>
          </cell>
          <cell r="D10">
            <v>2868</v>
          </cell>
        </row>
        <row r="11">
          <cell r="B11">
            <v>72381</v>
          </cell>
          <cell r="C11">
            <v>14048</v>
          </cell>
          <cell r="D11">
            <v>3192</v>
          </cell>
        </row>
        <row r="12">
          <cell r="B12">
            <v>99809</v>
          </cell>
          <cell r="C12">
            <v>21321</v>
          </cell>
          <cell r="D12">
            <v>3364</v>
          </cell>
        </row>
        <row r="13">
          <cell r="B13">
            <v>84752</v>
          </cell>
          <cell r="C13">
            <v>18190</v>
          </cell>
          <cell r="D13">
            <v>3133</v>
          </cell>
        </row>
        <row r="14">
          <cell r="B14">
            <v>78660</v>
          </cell>
          <cell r="C14">
            <v>15501</v>
          </cell>
          <cell r="D14">
            <v>2986</v>
          </cell>
        </row>
        <row r="15">
          <cell r="B15">
            <v>65294</v>
          </cell>
          <cell r="C15">
            <v>12854</v>
          </cell>
          <cell r="D15">
            <v>2469</v>
          </cell>
        </row>
        <row r="16">
          <cell r="B16">
            <v>60540</v>
          </cell>
          <cell r="C16">
            <v>11810</v>
          </cell>
          <cell r="D16">
            <v>2614</v>
          </cell>
        </row>
        <row r="17">
          <cell r="B17">
            <v>87977</v>
          </cell>
          <cell r="C17">
            <v>18829</v>
          </cell>
          <cell r="D17">
            <v>3242</v>
          </cell>
        </row>
        <row r="18">
          <cell r="B18">
            <v>106971</v>
          </cell>
          <cell r="C18">
            <v>22741</v>
          </cell>
          <cell r="D18">
            <v>3504</v>
          </cell>
        </row>
        <row r="19">
          <cell r="B19">
            <v>55143</v>
          </cell>
          <cell r="C19">
            <v>10795</v>
          </cell>
          <cell r="D19">
            <v>2538</v>
          </cell>
        </row>
        <row r="20">
          <cell r="B20">
            <v>45787</v>
          </cell>
          <cell r="C20">
            <v>8921</v>
          </cell>
          <cell r="D20">
            <v>2098</v>
          </cell>
        </row>
        <row r="21">
          <cell r="B21">
            <v>53532</v>
          </cell>
          <cell r="C21">
            <v>10582</v>
          </cell>
          <cell r="D21">
            <v>2617</v>
          </cell>
        </row>
        <row r="22">
          <cell r="B22">
            <v>76808</v>
          </cell>
          <cell r="C22">
            <v>14991</v>
          </cell>
          <cell r="D22">
            <v>2715</v>
          </cell>
        </row>
        <row r="23">
          <cell r="B23">
            <v>98999</v>
          </cell>
          <cell r="C23">
            <v>21401</v>
          </cell>
          <cell r="D23">
            <v>3366</v>
          </cell>
        </row>
        <row r="24">
          <cell r="B24">
            <v>79524</v>
          </cell>
          <cell r="C24">
            <v>15604</v>
          </cell>
          <cell r="D24">
            <v>2830</v>
          </cell>
        </row>
        <row r="25">
          <cell r="B25">
            <v>65487</v>
          </cell>
          <cell r="C25">
            <v>12744</v>
          </cell>
          <cell r="D25">
            <v>2374</v>
          </cell>
        </row>
        <row r="26">
          <cell r="B26">
            <v>44783</v>
          </cell>
          <cell r="C26">
            <v>8820</v>
          </cell>
          <cell r="D26">
            <v>2093</v>
          </cell>
        </row>
        <row r="28">
          <cell r="B28">
            <v>186639</v>
          </cell>
          <cell r="C28">
            <v>38918</v>
          </cell>
          <cell r="D28">
            <v>1255611</v>
          </cell>
        </row>
        <row r="32">
          <cell r="B32">
            <v>103144</v>
          </cell>
          <cell r="C32">
            <v>22719</v>
          </cell>
          <cell r="D32">
            <v>246969</v>
          </cell>
        </row>
        <row r="33">
          <cell r="B33">
            <v>71348</v>
          </cell>
          <cell r="C33">
            <v>14087</v>
          </cell>
          <cell r="D33">
            <v>33995</v>
          </cell>
        </row>
        <row r="34">
          <cell r="B34">
            <v>278848</v>
          </cell>
          <cell r="C34">
            <v>53320</v>
          </cell>
          <cell r="D34">
            <v>140985</v>
          </cell>
        </row>
        <row r="35">
          <cell r="B35">
            <v>134579</v>
          </cell>
          <cell r="C35">
            <v>26024</v>
          </cell>
          <cell r="D35">
            <v>72731</v>
          </cell>
        </row>
        <row r="36">
          <cell r="B36">
            <v>283707</v>
          </cell>
          <cell r="C36">
            <v>54904</v>
          </cell>
          <cell r="D36">
            <v>163239</v>
          </cell>
        </row>
        <row r="39">
          <cell r="B39">
            <v>396945</v>
          </cell>
          <cell r="C39">
            <v>88054</v>
          </cell>
          <cell r="D39">
            <v>224237</v>
          </cell>
        </row>
        <row r="41">
          <cell r="B41">
            <v>324159</v>
          </cell>
          <cell r="C41">
            <v>68445</v>
          </cell>
          <cell r="D41">
            <v>141327</v>
          </cell>
          <cell r="I41">
            <v>4215</v>
          </cell>
          <cell r="J41">
            <v>3048</v>
          </cell>
        </row>
        <row r="43">
          <cell r="B43">
            <v>488892</v>
          </cell>
          <cell r="C43">
            <v>109088</v>
          </cell>
          <cell r="D43">
            <v>133394</v>
          </cell>
          <cell r="I43">
            <v>12109</v>
          </cell>
          <cell r="J43">
            <v>2000</v>
          </cell>
        </row>
        <row r="45">
          <cell r="B45">
            <v>45796</v>
          </cell>
          <cell r="C45">
            <v>9201</v>
          </cell>
          <cell r="D45">
            <v>54151</v>
          </cell>
          <cell r="F45">
            <v>30000</v>
          </cell>
          <cell r="I45">
            <v>600</v>
          </cell>
        </row>
        <row r="46">
          <cell r="B46">
            <v>1133875</v>
          </cell>
          <cell r="C46">
            <v>249548</v>
          </cell>
          <cell r="D46">
            <v>320339</v>
          </cell>
          <cell r="F46">
            <v>2500</v>
          </cell>
          <cell r="I46">
            <v>10000</v>
          </cell>
        </row>
        <row r="47">
          <cell r="B47">
            <v>133175</v>
          </cell>
          <cell r="C47">
            <v>28800</v>
          </cell>
          <cell r="D47">
            <v>23025</v>
          </cell>
          <cell r="I47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bevételek RM I maradvány"/>
      <sheetName val="int.kiadások RM I maradvány"/>
      <sheetName val="int.bevételek RM I"/>
      <sheetName val="int.kiadások RM I"/>
      <sheetName val="int.bevételek RM II"/>
      <sheetName val="int.kiadások RM II"/>
      <sheetName val="int.bevételek RM III"/>
      <sheetName val="int.kiadások RM III"/>
      <sheetName val="int.bevételek RM IV"/>
      <sheetName val="int.kiadások RM IV"/>
      <sheetName val="int.bevételek RM V"/>
      <sheetName val="int.kiadások RM 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D10">
            <v>2058</v>
          </cell>
          <cell r="G10">
            <v>24</v>
          </cell>
          <cell r="J10">
            <v>0</v>
          </cell>
          <cell r="M10">
            <v>0</v>
          </cell>
          <cell r="T10">
            <v>0</v>
          </cell>
          <cell r="W10">
            <v>0</v>
          </cell>
          <cell r="Z10">
            <v>0</v>
          </cell>
          <cell r="AJ10">
            <v>345</v>
          </cell>
          <cell r="AM10">
            <v>145490</v>
          </cell>
          <cell r="AP10">
            <v>6951</v>
          </cell>
        </row>
        <row r="11">
          <cell r="D11">
            <v>1637</v>
          </cell>
          <cell r="G11">
            <v>0</v>
          </cell>
          <cell r="J11">
            <v>0</v>
          </cell>
          <cell r="M11">
            <v>0</v>
          </cell>
          <cell r="T11">
            <v>0</v>
          </cell>
          <cell r="W11">
            <v>0</v>
          </cell>
          <cell r="Z11">
            <v>0</v>
          </cell>
          <cell r="AJ11">
            <v>158</v>
          </cell>
          <cell r="AM11">
            <v>98336</v>
          </cell>
          <cell r="AP11">
            <v>5825</v>
          </cell>
        </row>
        <row r="12">
          <cell r="D12">
            <v>1848</v>
          </cell>
          <cell r="G12">
            <v>223</v>
          </cell>
          <cell r="J12">
            <v>0</v>
          </cell>
          <cell r="M12">
            <v>0</v>
          </cell>
          <cell r="T12">
            <v>0</v>
          </cell>
          <cell r="W12">
            <v>0</v>
          </cell>
          <cell r="Z12">
            <v>0</v>
          </cell>
          <cell r="AJ12">
            <v>1561</v>
          </cell>
          <cell r="AM12">
            <v>88962</v>
          </cell>
          <cell r="AP12">
            <v>4361</v>
          </cell>
        </row>
        <row r="13">
          <cell r="D13">
            <v>1589</v>
          </cell>
          <cell r="G13">
            <v>0</v>
          </cell>
          <cell r="J13">
            <v>0</v>
          </cell>
          <cell r="M13">
            <v>0</v>
          </cell>
          <cell r="T13">
            <v>0</v>
          </cell>
          <cell r="W13">
            <v>0</v>
          </cell>
          <cell r="Z13">
            <v>0</v>
          </cell>
          <cell r="AJ13">
            <v>589</v>
          </cell>
          <cell r="AM13">
            <v>120923</v>
          </cell>
          <cell r="AP13">
            <v>12863</v>
          </cell>
        </row>
        <row r="14">
          <cell r="D14">
            <v>1942</v>
          </cell>
          <cell r="G14">
            <v>55</v>
          </cell>
          <cell r="J14">
            <v>865</v>
          </cell>
          <cell r="M14">
            <v>0</v>
          </cell>
          <cell r="T14">
            <v>0</v>
          </cell>
          <cell r="W14">
            <v>0</v>
          </cell>
          <cell r="Z14">
            <v>0</v>
          </cell>
          <cell r="AJ14">
            <v>303</v>
          </cell>
          <cell r="AM14">
            <v>108284</v>
          </cell>
          <cell r="AP14">
            <v>5098</v>
          </cell>
        </row>
        <row r="15">
          <cell r="D15">
            <v>1588</v>
          </cell>
          <cell r="G15">
            <v>0</v>
          </cell>
          <cell r="J15">
            <v>1168</v>
          </cell>
          <cell r="M15">
            <v>0</v>
          </cell>
          <cell r="T15">
            <v>0</v>
          </cell>
          <cell r="W15">
            <v>0</v>
          </cell>
          <cell r="Z15">
            <v>0</v>
          </cell>
          <cell r="AJ15">
            <v>584</v>
          </cell>
          <cell r="AM15">
            <v>99266</v>
          </cell>
          <cell r="AP15">
            <v>767</v>
          </cell>
        </row>
        <row r="16">
          <cell r="D16">
            <v>1336</v>
          </cell>
          <cell r="G16">
            <v>0</v>
          </cell>
          <cell r="J16">
            <v>0</v>
          </cell>
          <cell r="M16">
            <v>0</v>
          </cell>
          <cell r="T16">
            <v>0</v>
          </cell>
          <cell r="W16">
            <v>0</v>
          </cell>
          <cell r="Z16">
            <v>0</v>
          </cell>
          <cell r="AJ16">
            <v>141</v>
          </cell>
          <cell r="AM16">
            <v>80948</v>
          </cell>
          <cell r="AP16">
            <v>977</v>
          </cell>
        </row>
        <row r="17">
          <cell r="D17">
            <v>1423</v>
          </cell>
          <cell r="G17">
            <v>0</v>
          </cell>
          <cell r="J17">
            <v>0</v>
          </cell>
          <cell r="M17">
            <v>0</v>
          </cell>
          <cell r="T17">
            <v>0</v>
          </cell>
          <cell r="W17">
            <v>0</v>
          </cell>
          <cell r="Z17">
            <v>0</v>
          </cell>
          <cell r="AJ17">
            <v>3162</v>
          </cell>
          <cell r="AM17">
            <v>72119</v>
          </cell>
          <cell r="AP17">
            <v>31802</v>
          </cell>
        </row>
        <row r="18">
          <cell r="D18">
            <v>1211</v>
          </cell>
          <cell r="G18">
            <v>20</v>
          </cell>
          <cell r="J18">
            <v>0</v>
          </cell>
          <cell r="M18">
            <v>0</v>
          </cell>
          <cell r="T18">
            <v>0</v>
          </cell>
          <cell r="W18">
            <v>0</v>
          </cell>
          <cell r="Z18">
            <v>0</v>
          </cell>
          <cell r="AJ18">
            <v>321</v>
          </cell>
          <cell r="AM18">
            <v>112195</v>
          </cell>
          <cell r="AP18">
            <v>1131</v>
          </cell>
        </row>
        <row r="19">
          <cell r="D19">
            <v>3202</v>
          </cell>
          <cell r="G19">
            <v>0</v>
          </cell>
          <cell r="J19">
            <v>62</v>
          </cell>
          <cell r="M19">
            <v>0</v>
          </cell>
          <cell r="T19">
            <v>0</v>
          </cell>
          <cell r="W19">
            <v>0</v>
          </cell>
          <cell r="Z19">
            <v>0</v>
          </cell>
          <cell r="AJ19">
            <v>286</v>
          </cell>
          <cell r="AM19">
            <v>133267</v>
          </cell>
          <cell r="AP19">
            <v>11800</v>
          </cell>
        </row>
        <row r="20">
          <cell r="D20">
            <v>860</v>
          </cell>
          <cell r="G20">
            <v>0</v>
          </cell>
          <cell r="J20">
            <v>313</v>
          </cell>
          <cell r="M20">
            <v>0</v>
          </cell>
          <cell r="T20">
            <v>0</v>
          </cell>
          <cell r="W20">
            <v>0</v>
          </cell>
          <cell r="Z20">
            <v>0</v>
          </cell>
          <cell r="AJ20">
            <v>237</v>
          </cell>
          <cell r="AM20">
            <v>68269</v>
          </cell>
          <cell r="AP20">
            <v>1205</v>
          </cell>
        </row>
        <row r="21">
          <cell r="D21">
            <v>1286</v>
          </cell>
          <cell r="G21">
            <v>0</v>
          </cell>
          <cell r="J21">
            <v>0</v>
          </cell>
          <cell r="M21">
            <v>0</v>
          </cell>
          <cell r="T21">
            <v>0</v>
          </cell>
          <cell r="W21">
            <v>0</v>
          </cell>
          <cell r="Z21">
            <v>0</v>
          </cell>
          <cell r="AJ21">
            <v>154</v>
          </cell>
          <cell r="AM21">
            <v>55706</v>
          </cell>
          <cell r="AP21">
            <v>15138</v>
          </cell>
        </row>
        <row r="22">
          <cell r="D22">
            <v>520</v>
          </cell>
          <cell r="G22">
            <v>0</v>
          </cell>
          <cell r="J22">
            <v>952</v>
          </cell>
          <cell r="M22">
            <v>0</v>
          </cell>
          <cell r="T22">
            <v>0</v>
          </cell>
          <cell r="W22">
            <v>0</v>
          </cell>
          <cell r="Z22">
            <v>0</v>
          </cell>
          <cell r="AJ22">
            <v>75</v>
          </cell>
          <cell r="AM22">
            <v>66439</v>
          </cell>
          <cell r="AP22">
            <v>1812</v>
          </cell>
        </row>
        <row r="23">
          <cell r="D23">
            <v>1768</v>
          </cell>
          <cell r="G23">
            <v>200</v>
          </cell>
          <cell r="J23">
            <v>0</v>
          </cell>
          <cell r="M23">
            <v>0</v>
          </cell>
          <cell r="T23">
            <v>0</v>
          </cell>
          <cell r="W23">
            <v>0</v>
          </cell>
          <cell r="Z23">
            <v>0</v>
          </cell>
          <cell r="AJ23">
            <v>356</v>
          </cell>
          <cell r="AM23">
            <v>96567</v>
          </cell>
          <cell r="AP23">
            <v>7722</v>
          </cell>
        </row>
        <row r="24">
          <cell r="D24">
            <v>2268</v>
          </cell>
          <cell r="G24">
            <v>0</v>
          </cell>
          <cell r="J24">
            <v>136</v>
          </cell>
          <cell r="M24">
            <v>0</v>
          </cell>
          <cell r="T24">
            <v>0</v>
          </cell>
          <cell r="W24">
            <v>0</v>
          </cell>
          <cell r="Z24">
            <v>0</v>
          </cell>
          <cell r="AJ24">
            <v>222</v>
          </cell>
          <cell r="AM24">
            <v>122184</v>
          </cell>
          <cell r="AP24">
            <v>3607</v>
          </cell>
        </row>
        <row r="25">
          <cell r="D25">
            <v>1546</v>
          </cell>
          <cell r="G25">
            <v>0</v>
          </cell>
          <cell r="J25">
            <v>0</v>
          </cell>
          <cell r="M25">
            <v>0</v>
          </cell>
          <cell r="T25">
            <v>0</v>
          </cell>
          <cell r="W25">
            <v>0</v>
          </cell>
          <cell r="Z25">
            <v>0</v>
          </cell>
          <cell r="AJ25">
            <v>147</v>
          </cell>
          <cell r="AM25">
            <v>100541</v>
          </cell>
          <cell r="AP25">
            <v>2953</v>
          </cell>
        </row>
        <row r="26">
          <cell r="D26">
            <v>1409</v>
          </cell>
          <cell r="G26">
            <v>19</v>
          </cell>
          <cell r="J26">
            <v>0</v>
          </cell>
          <cell r="M26">
            <v>0</v>
          </cell>
          <cell r="T26">
            <v>0</v>
          </cell>
          <cell r="W26">
            <v>0</v>
          </cell>
          <cell r="Z26">
            <v>0</v>
          </cell>
          <cell r="AJ26">
            <v>418</v>
          </cell>
          <cell r="AM26">
            <v>81874</v>
          </cell>
          <cell r="AP26">
            <v>7085</v>
          </cell>
        </row>
        <row r="27">
          <cell r="D27">
            <v>984</v>
          </cell>
          <cell r="G27">
            <v>0</v>
          </cell>
          <cell r="J27">
            <v>0</v>
          </cell>
          <cell r="M27">
            <v>0</v>
          </cell>
          <cell r="T27">
            <v>0</v>
          </cell>
          <cell r="W27">
            <v>0</v>
          </cell>
          <cell r="Z27">
            <v>0</v>
          </cell>
          <cell r="AJ27">
            <v>258</v>
          </cell>
          <cell r="AM27">
            <v>56421</v>
          </cell>
          <cell r="AP27">
            <v>2010</v>
          </cell>
        </row>
        <row r="29">
          <cell r="D29">
            <v>371657</v>
          </cell>
          <cell r="G29">
            <v>7077</v>
          </cell>
          <cell r="J29">
            <v>0</v>
          </cell>
          <cell r="M29">
            <v>0</v>
          </cell>
          <cell r="T29">
            <v>34</v>
          </cell>
          <cell r="W29">
            <v>0</v>
          </cell>
          <cell r="Z29">
            <v>0</v>
          </cell>
          <cell r="AJ29">
            <v>25654</v>
          </cell>
          <cell r="AM29">
            <v>1131495</v>
          </cell>
          <cell r="AP29">
            <v>83386</v>
          </cell>
        </row>
        <row r="33">
          <cell r="D33">
            <v>312206</v>
          </cell>
          <cell r="G33">
            <v>8760</v>
          </cell>
          <cell r="J33">
            <v>155</v>
          </cell>
          <cell r="M33">
            <v>0</v>
          </cell>
          <cell r="T33">
            <v>0</v>
          </cell>
          <cell r="W33">
            <v>2000</v>
          </cell>
          <cell r="Z33">
            <v>1847</v>
          </cell>
          <cell r="AJ33">
            <v>8068</v>
          </cell>
          <cell r="AM33">
            <v>160134</v>
          </cell>
          <cell r="AP33">
            <v>3826</v>
          </cell>
        </row>
        <row r="34">
          <cell r="D34">
            <v>33830</v>
          </cell>
          <cell r="G34">
            <v>16167</v>
          </cell>
          <cell r="J34">
            <v>0</v>
          </cell>
          <cell r="M34">
            <v>0</v>
          </cell>
          <cell r="T34">
            <v>0</v>
          </cell>
          <cell r="W34">
            <v>0</v>
          </cell>
          <cell r="Z34">
            <v>0</v>
          </cell>
          <cell r="AJ34">
            <v>2776</v>
          </cell>
          <cell r="AM34">
            <v>105156</v>
          </cell>
          <cell r="AP34">
            <v>156</v>
          </cell>
        </row>
        <row r="35">
          <cell r="D35">
            <v>92445</v>
          </cell>
          <cell r="G35">
            <v>22267</v>
          </cell>
          <cell r="J35">
            <v>0</v>
          </cell>
          <cell r="M35">
            <v>0</v>
          </cell>
          <cell r="T35">
            <v>0</v>
          </cell>
          <cell r="W35">
            <v>0</v>
          </cell>
          <cell r="Z35">
            <v>0</v>
          </cell>
          <cell r="AJ35">
            <v>50270</v>
          </cell>
          <cell r="AM35">
            <v>445106</v>
          </cell>
          <cell r="AP35">
            <v>18781</v>
          </cell>
        </row>
        <row r="36">
          <cell r="D36">
            <v>26177</v>
          </cell>
          <cell r="G36">
            <v>3990</v>
          </cell>
          <cell r="J36">
            <v>0</v>
          </cell>
          <cell r="M36">
            <v>0</v>
          </cell>
          <cell r="T36">
            <v>0</v>
          </cell>
          <cell r="W36">
            <v>0</v>
          </cell>
          <cell r="Z36">
            <v>0</v>
          </cell>
          <cell r="AJ36">
            <v>37400</v>
          </cell>
          <cell r="AM36">
            <v>349620</v>
          </cell>
          <cell r="AP36">
            <v>18526</v>
          </cell>
        </row>
        <row r="37">
          <cell r="D37">
            <v>298850</v>
          </cell>
          <cell r="G37">
            <v>39051</v>
          </cell>
          <cell r="J37">
            <v>0</v>
          </cell>
          <cell r="M37">
            <v>0</v>
          </cell>
          <cell r="T37">
            <v>0</v>
          </cell>
          <cell r="W37">
            <v>12800</v>
          </cell>
          <cell r="Z37">
            <v>0</v>
          </cell>
          <cell r="AJ37">
            <v>5682</v>
          </cell>
          <cell r="AM37">
            <v>431607</v>
          </cell>
          <cell r="AP37">
            <v>24134</v>
          </cell>
        </row>
        <row r="40">
          <cell r="D40">
            <v>119917</v>
          </cell>
          <cell r="G40">
            <v>323</v>
          </cell>
          <cell r="J40">
            <v>150</v>
          </cell>
          <cell r="M40">
            <v>0</v>
          </cell>
          <cell r="T40">
            <v>0</v>
          </cell>
          <cell r="W40">
            <v>0</v>
          </cell>
          <cell r="Z40">
            <v>0</v>
          </cell>
          <cell r="AJ40">
            <v>28092</v>
          </cell>
          <cell r="AM40">
            <v>747834</v>
          </cell>
          <cell r="AP40">
            <v>57009</v>
          </cell>
        </row>
        <row r="42">
          <cell r="D42">
            <v>30722</v>
          </cell>
          <cell r="G42">
            <v>281916</v>
          </cell>
          <cell r="J42">
            <v>0</v>
          </cell>
          <cell r="M42">
            <v>0</v>
          </cell>
          <cell r="T42">
            <v>949</v>
          </cell>
          <cell r="W42">
            <v>13503</v>
          </cell>
          <cell r="AJ42">
            <v>361</v>
          </cell>
          <cell r="AM42">
            <v>291679</v>
          </cell>
          <cell r="AP42">
            <v>55328</v>
          </cell>
        </row>
        <row r="44">
          <cell r="D44">
            <v>51170</v>
          </cell>
          <cell r="G44">
            <v>1310</v>
          </cell>
          <cell r="J44">
            <v>52</v>
          </cell>
          <cell r="M44">
            <v>0</v>
          </cell>
          <cell r="T44">
            <v>0</v>
          </cell>
          <cell r="W44">
            <v>0</v>
          </cell>
          <cell r="Z44">
            <v>908</v>
          </cell>
          <cell r="AJ44">
            <v>1821</v>
          </cell>
          <cell r="AM44">
            <v>722891</v>
          </cell>
          <cell r="AP44">
            <v>30656</v>
          </cell>
        </row>
        <row r="46">
          <cell r="D46">
            <v>140426</v>
          </cell>
          <cell r="G46">
            <v>191</v>
          </cell>
          <cell r="J46">
            <v>0</v>
          </cell>
          <cell r="M46">
            <v>0</v>
          </cell>
          <cell r="T46">
            <v>0</v>
          </cell>
          <cell r="W46">
            <v>0</v>
          </cell>
          <cell r="Z46">
            <v>0</v>
          </cell>
          <cell r="AJ46">
            <v>29934</v>
          </cell>
          <cell r="AM46">
            <v>842</v>
          </cell>
          <cell r="AP46">
            <v>0</v>
          </cell>
        </row>
        <row r="47">
          <cell r="D47">
            <v>16319</v>
          </cell>
          <cell r="G47">
            <v>22030</v>
          </cell>
          <cell r="J47">
            <v>0</v>
          </cell>
          <cell r="M47">
            <v>3194</v>
          </cell>
          <cell r="T47">
            <v>609</v>
          </cell>
          <cell r="W47">
            <v>0</v>
          </cell>
          <cell r="Z47">
            <v>0</v>
          </cell>
          <cell r="AJ47">
            <v>7340</v>
          </cell>
          <cell r="AM47">
            <v>1924636</v>
          </cell>
          <cell r="AP47">
            <v>57587</v>
          </cell>
        </row>
        <row r="48">
          <cell r="D48">
            <v>0</v>
          </cell>
          <cell r="G48">
            <v>0</v>
          </cell>
          <cell r="J48">
            <v>0</v>
          </cell>
          <cell r="M48">
            <v>0</v>
          </cell>
          <cell r="T48">
            <v>0</v>
          </cell>
          <cell r="W48">
            <v>0</v>
          </cell>
          <cell r="Z48">
            <v>0</v>
          </cell>
          <cell r="AJ48">
            <v>1430</v>
          </cell>
          <cell r="AM48">
            <v>199353</v>
          </cell>
          <cell r="AP48">
            <v>4577</v>
          </cell>
        </row>
        <row r="54">
          <cell r="D54">
            <v>1522194</v>
          </cell>
          <cell r="G54">
            <v>403623</v>
          </cell>
          <cell r="J54">
            <v>3853</v>
          </cell>
          <cell r="M54">
            <v>3194</v>
          </cell>
          <cell r="P54">
            <v>1932864</v>
          </cell>
          <cell r="T54">
            <v>1592</v>
          </cell>
          <cell r="W54">
            <v>28303</v>
          </cell>
          <cell r="Z54">
            <v>2755</v>
          </cell>
          <cell r="AC54">
            <v>32650</v>
          </cell>
          <cell r="AJ54">
            <v>208145</v>
          </cell>
          <cell r="AM54">
            <v>8218144</v>
          </cell>
          <cell r="AP54">
            <v>477073</v>
          </cell>
          <cell r="AS54">
            <v>8695217</v>
          </cell>
          <cell r="AV54">
            <v>10868876</v>
          </cell>
        </row>
      </sheetData>
      <sheetData sheetId="11">
        <row r="10">
          <cell r="D10">
            <v>117731</v>
          </cell>
          <cell r="G10">
            <v>25360</v>
          </cell>
          <cell r="J10">
            <v>4826</v>
          </cell>
          <cell r="N10">
            <v>0</v>
          </cell>
          <cell r="Q10">
            <v>0</v>
          </cell>
          <cell r="X10">
            <v>6951</v>
          </cell>
          <cell r="AA10">
            <v>0</v>
          </cell>
          <cell r="AD10">
            <v>0</v>
          </cell>
        </row>
        <row r="11">
          <cell r="D11">
            <v>80797</v>
          </cell>
          <cell r="G11">
            <v>16008</v>
          </cell>
          <cell r="J11">
            <v>3326</v>
          </cell>
          <cell r="N11">
            <v>0</v>
          </cell>
          <cell r="Q11">
            <v>0</v>
          </cell>
          <cell r="X11">
            <v>1151</v>
          </cell>
          <cell r="AA11">
            <v>4674</v>
          </cell>
          <cell r="AD11">
            <v>0</v>
          </cell>
        </row>
        <row r="12">
          <cell r="D12">
            <v>72658</v>
          </cell>
          <cell r="G12">
            <v>14365</v>
          </cell>
          <cell r="J12">
            <v>5571</v>
          </cell>
          <cell r="N12">
            <v>0</v>
          </cell>
          <cell r="Q12">
            <v>0</v>
          </cell>
          <cell r="X12">
            <v>1284</v>
          </cell>
          <cell r="AA12">
            <v>3077</v>
          </cell>
          <cell r="AD12">
            <v>0</v>
          </cell>
        </row>
        <row r="13">
          <cell r="D13">
            <v>97795</v>
          </cell>
          <cell r="G13">
            <v>20917</v>
          </cell>
          <cell r="J13">
            <v>4389</v>
          </cell>
          <cell r="N13">
            <v>0</v>
          </cell>
          <cell r="Q13">
            <v>0</v>
          </cell>
          <cell r="X13">
            <v>8757</v>
          </cell>
          <cell r="AA13">
            <v>4106</v>
          </cell>
          <cell r="AD13">
            <v>0</v>
          </cell>
        </row>
        <row r="14">
          <cell r="D14">
            <v>85766</v>
          </cell>
          <cell r="G14">
            <v>18683</v>
          </cell>
          <cell r="J14">
            <v>7000</v>
          </cell>
          <cell r="N14">
            <v>0</v>
          </cell>
          <cell r="Q14">
            <v>0</v>
          </cell>
          <cell r="X14">
            <v>2944</v>
          </cell>
          <cell r="AA14">
            <v>2154</v>
          </cell>
          <cell r="AD14">
            <v>0</v>
          </cell>
        </row>
        <row r="15">
          <cell r="D15">
            <v>81032</v>
          </cell>
          <cell r="G15">
            <v>16164</v>
          </cell>
          <cell r="J15">
            <v>5410</v>
          </cell>
          <cell r="N15">
            <v>0</v>
          </cell>
          <cell r="Q15">
            <v>0</v>
          </cell>
          <cell r="X15">
            <v>767</v>
          </cell>
          <cell r="AA15">
            <v>0</v>
          </cell>
          <cell r="AD15">
            <v>0</v>
          </cell>
        </row>
        <row r="16">
          <cell r="D16">
            <v>65765</v>
          </cell>
          <cell r="G16">
            <v>13066</v>
          </cell>
          <cell r="J16">
            <v>3594</v>
          </cell>
          <cell r="N16">
            <v>0</v>
          </cell>
          <cell r="Q16">
            <v>0</v>
          </cell>
          <cell r="X16">
            <v>977</v>
          </cell>
          <cell r="AA16">
            <v>0</v>
          </cell>
          <cell r="AD16">
            <v>0</v>
          </cell>
        </row>
        <row r="17">
          <cell r="D17">
            <v>60741</v>
          </cell>
          <cell r="G17">
            <v>12020</v>
          </cell>
          <cell r="J17">
            <v>3943</v>
          </cell>
          <cell r="N17">
            <v>0</v>
          </cell>
          <cell r="Q17">
            <v>0</v>
          </cell>
          <cell r="X17">
            <v>20276</v>
          </cell>
          <cell r="AA17">
            <v>11526</v>
          </cell>
          <cell r="AD17">
            <v>0</v>
          </cell>
        </row>
        <row r="18">
          <cell r="D18">
            <v>90564</v>
          </cell>
          <cell r="G18">
            <v>19480</v>
          </cell>
          <cell r="J18">
            <v>3703</v>
          </cell>
          <cell r="N18">
            <v>0</v>
          </cell>
          <cell r="Q18">
            <v>0</v>
          </cell>
          <cell r="X18">
            <v>1131</v>
          </cell>
          <cell r="AA18">
            <v>0</v>
          </cell>
          <cell r="AD18">
            <v>0</v>
          </cell>
        </row>
        <row r="19">
          <cell r="D19">
            <v>107672</v>
          </cell>
          <cell r="G19">
            <v>23092</v>
          </cell>
          <cell r="J19">
            <v>6053</v>
          </cell>
          <cell r="N19">
            <v>0</v>
          </cell>
          <cell r="Q19">
            <v>0</v>
          </cell>
          <cell r="X19">
            <v>821</v>
          </cell>
          <cell r="AA19">
            <v>10979</v>
          </cell>
          <cell r="AD19">
            <v>0</v>
          </cell>
        </row>
        <row r="20">
          <cell r="D20">
            <v>55672</v>
          </cell>
          <cell r="G20">
            <v>11023</v>
          </cell>
          <cell r="J20">
            <v>2984</v>
          </cell>
          <cell r="N20">
            <v>0</v>
          </cell>
          <cell r="Q20">
            <v>0</v>
          </cell>
          <cell r="X20">
            <v>1205</v>
          </cell>
          <cell r="AA20">
            <v>0</v>
          </cell>
          <cell r="AD20">
            <v>0</v>
          </cell>
        </row>
        <row r="21">
          <cell r="D21">
            <v>44246</v>
          </cell>
          <cell r="G21">
            <v>8755</v>
          </cell>
          <cell r="J21">
            <v>4145</v>
          </cell>
          <cell r="N21">
            <v>0</v>
          </cell>
          <cell r="Q21">
            <v>0</v>
          </cell>
          <cell r="X21">
            <v>4689</v>
          </cell>
          <cell r="AA21">
            <v>10449</v>
          </cell>
          <cell r="AD21">
            <v>0</v>
          </cell>
        </row>
        <row r="22">
          <cell r="D22">
            <v>53410</v>
          </cell>
          <cell r="G22">
            <v>10789</v>
          </cell>
          <cell r="J22">
            <v>3787</v>
          </cell>
          <cell r="N22">
            <v>0</v>
          </cell>
          <cell r="Q22">
            <v>0</v>
          </cell>
          <cell r="X22">
            <v>1812</v>
          </cell>
          <cell r="AA22">
            <v>0</v>
          </cell>
          <cell r="AD22">
            <v>0</v>
          </cell>
        </row>
        <row r="23">
          <cell r="D23">
            <v>78598</v>
          </cell>
          <cell r="G23">
            <v>15452</v>
          </cell>
          <cell r="J23">
            <v>4841</v>
          </cell>
          <cell r="N23">
            <v>0</v>
          </cell>
          <cell r="Q23">
            <v>0</v>
          </cell>
          <cell r="X23">
            <v>5457</v>
          </cell>
          <cell r="AA23">
            <v>2265</v>
          </cell>
          <cell r="AD23">
            <v>0</v>
          </cell>
        </row>
        <row r="24">
          <cell r="D24">
            <v>98241</v>
          </cell>
          <cell r="G24">
            <v>21282</v>
          </cell>
          <cell r="J24">
            <v>5287</v>
          </cell>
          <cell r="N24">
            <v>0</v>
          </cell>
          <cell r="Q24">
            <v>0</v>
          </cell>
          <cell r="X24">
            <v>3607</v>
          </cell>
          <cell r="AA24">
            <v>0</v>
          </cell>
          <cell r="AD24">
            <v>0</v>
          </cell>
        </row>
        <row r="25">
          <cell r="D25">
            <v>81081</v>
          </cell>
          <cell r="G25">
            <v>16378</v>
          </cell>
          <cell r="J25">
            <v>4775</v>
          </cell>
          <cell r="N25">
            <v>0</v>
          </cell>
          <cell r="Q25">
            <v>0</v>
          </cell>
          <cell r="X25">
            <v>1040</v>
          </cell>
          <cell r="AA25">
            <v>1913</v>
          </cell>
          <cell r="AD25">
            <v>0</v>
          </cell>
        </row>
        <row r="26">
          <cell r="D26">
            <v>66592</v>
          </cell>
          <cell r="G26">
            <v>13129</v>
          </cell>
          <cell r="J26">
            <v>3999</v>
          </cell>
          <cell r="N26">
            <v>0</v>
          </cell>
          <cell r="Q26">
            <v>0</v>
          </cell>
          <cell r="X26">
            <v>1969</v>
          </cell>
          <cell r="AA26">
            <v>5116</v>
          </cell>
          <cell r="AD26">
            <v>0</v>
          </cell>
        </row>
        <row r="27">
          <cell r="D27">
            <v>45314</v>
          </cell>
          <cell r="G27">
            <v>9086</v>
          </cell>
          <cell r="J27">
            <v>3263</v>
          </cell>
          <cell r="N27">
            <v>0</v>
          </cell>
          <cell r="Q27">
            <v>0</v>
          </cell>
          <cell r="X27">
            <v>2010</v>
          </cell>
          <cell r="AA27">
            <v>0</v>
          </cell>
          <cell r="AD27">
            <v>0</v>
          </cell>
        </row>
        <row r="29">
          <cell r="D29">
            <v>197632</v>
          </cell>
          <cell r="G29">
            <v>40571</v>
          </cell>
          <cell r="J29">
            <v>1297680</v>
          </cell>
          <cell r="N29">
            <v>0</v>
          </cell>
          <cell r="Q29">
            <v>0</v>
          </cell>
          <cell r="X29">
            <v>43258</v>
          </cell>
          <cell r="AA29">
            <v>40162</v>
          </cell>
          <cell r="AD29">
            <v>0</v>
          </cell>
        </row>
        <row r="33">
          <cell r="D33">
            <v>114756</v>
          </cell>
          <cell r="G33">
            <v>25071</v>
          </cell>
          <cell r="J33">
            <v>349496</v>
          </cell>
          <cell r="N33">
            <v>0</v>
          </cell>
          <cell r="Q33">
            <v>0</v>
          </cell>
          <cell r="X33">
            <v>5069</v>
          </cell>
          <cell r="AA33">
            <v>2604</v>
          </cell>
          <cell r="AD33">
            <v>0</v>
          </cell>
        </row>
        <row r="34">
          <cell r="D34">
            <v>77872</v>
          </cell>
          <cell r="G34">
            <v>15521</v>
          </cell>
          <cell r="J34">
            <v>64252</v>
          </cell>
          <cell r="N34">
            <v>0</v>
          </cell>
          <cell r="Q34">
            <v>284</v>
          </cell>
          <cell r="X34">
            <v>156</v>
          </cell>
          <cell r="AA34">
            <v>0</v>
          </cell>
          <cell r="AD34">
            <v>0</v>
          </cell>
        </row>
        <row r="35">
          <cell r="D35">
            <v>336591</v>
          </cell>
          <cell r="G35">
            <v>70595</v>
          </cell>
          <cell r="J35">
            <v>202902</v>
          </cell>
          <cell r="N35">
            <v>0</v>
          </cell>
          <cell r="Q35">
            <v>0</v>
          </cell>
          <cell r="X35">
            <v>18781</v>
          </cell>
          <cell r="AA35">
            <v>0</v>
          </cell>
          <cell r="AD35">
            <v>0</v>
          </cell>
        </row>
        <row r="36">
          <cell r="D36">
            <v>190963</v>
          </cell>
          <cell r="G36">
            <v>36234</v>
          </cell>
          <cell r="J36">
            <v>189990</v>
          </cell>
          <cell r="N36">
            <v>0</v>
          </cell>
          <cell r="Q36">
            <v>0</v>
          </cell>
          <cell r="X36">
            <v>18526</v>
          </cell>
          <cell r="AA36">
            <v>0</v>
          </cell>
          <cell r="AD36">
            <v>0</v>
          </cell>
        </row>
        <row r="37">
          <cell r="D37">
            <v>334688</v>
          </cell>
          <cell r="G37">
            <v>65608</v>
          </cell>
          <cell r="J37">
            <v>374894</v>
          </cell>
          <cell r="N37">
            <v>0</v>
          </cell>
          <cell r="Q37">
            <v>0</v>
          </cell>
          <cell r="X37">
            <v>36934</v>
          </cell>
          <cell r="AA37">
            <v>0</v>
          </cell>
          <cell r="AD37">
            <v>0</v>
          </cell>
        </row>
        <row r="40">
          <cell r="D40">
            <v>519494</v>
          </cell>
          <cell r="G40">
            <v>113106</v>
          </cell>
          <cell r="J40">
            <v>263716</v>
          </cell>
          <cell r="N40">
            <v>0</v>
          </cell>
          <cell r="Q40">
            <v>0</v>
          </cell>
          <cell r="X40">
            <v>44916</v>
          </cell>
          <cell r="AA40">
            <v>12093</v>
          </cell>
          <cell r="AD40">
            <v>0</v>
          </cell>
        </row>
        <row r="42">
          <cell r="D42">
            <v>343800</v>
          </cell>
          <cell r="G42">
            <v>72303</v>
          </cell>
          <cell r="J42">
            <v>188575</v>
          </cell>
          <cell r="N42">
            <v>0</v>
          </cell>
          <cell r="Q42">
            <v>0</v>
          </cell>
          <cell r="X42">
            <v>36688</v>
          </cell>
          <cell r="AA42">
            <v>33092</v>
          </cell>
          <cell r="AD42">
            <v>0</v>
          </cell>
        </row>
        <row r="44">
          <cell r="D44">
            <v>514640</v>
          </cell>
          <cell r="G44">
            <v>114141</v>
          </cell>
          <cell r="J44">
            <v>148463</v>
          </cell>
          <cell r="N44">
            <v>0</v>
          </cell>
          <cell r="Q44">
            <v>0</v>
          </cell>
          <cell r="X44">
            <v>19731</v>
          </cell>
          <cell r="AA44">
            <v>11833</v>
          </cell>
          <cell r="AD44">
            <v>0</v>
          </cell>
        </row>
        <row r="46">
          <cell r="D46">
            <v>44963</v>
          </cell>
          <cell r="G46">
            <v>9133</v>
          </cell>
          <cell r="J46">
            <v>46429</v>
          </cell>
          <cell r="N46">
            <v>0</v>
          </cell>
          <cell r="Q46">
            <v>58768</v>
          </cell>
          <cell r="X46">
            <v>12100</v>
          </cell>
          <cell r="AA46">
            <v>0</v>
          </cell>
          <cell r="AD46">
            <v>0</v>
          </cell>
        </row>
        <row r="47">
          <cell r="D47">
            <v>1307687</v>
          </cell>
          <cell r="G47">
            <v>290479</v>
          </cell>
          <cell r="J47">
            <v>372853</v>
          </cell>
          <cell r="N47">
            <v>0</v>
          </cell>
          <cell r="Q47">
            <v>2500</v>
          </cell>
          <cell r="X47">
            <v>58196</v>
          </cell>
          <cell r="AA47">
            <v>0</v>
          </cell>
          <cell r="AD47">
            <v>0</v>
          </cell>
        </row>
        <row r="48">
          <cell r="D48">
            <v>136881</v>
          </cell>
          <cell r="G48">
            <v>29703</v>
          </cell>
          <cell r="J48">
            <v>34199</v>
          </cell>
          <cell r="N48">
            <v>0</v>
          </cell>
          <cell r="Q48">
            <v>0</v>
          </cell>
          <cell r="X48">
            <v>4577</v>
          </cell>
          <cell r="AA48">
            <v>0</v>
          </cell>
          <cell r="AD48">
            <v>0</v>
          </cell>
        </row>
        <row r="54">
          <cell r="D54">
            <v>5503642</v>
          </cell>
          <cell r="G54">
            <v>1167514</v>
          </cell>
          <cell r="J54">
            <v>3614345</v>
          </cell>
          <cell r="M54">
            <v>0</v>
          </cell>
          <cell r="Q54">
            <v>61552</v>
          </cell>
          <cell r="T54">
            <v>10347053</v>
          </cell>
          <cell r="X54">
            <v>365780</v>
          </cell>
          <cell r="AA54">
            <v>156043</v>
          </cell>
          <cell r="AD54">
            <v>0</v>
          </cell>
          <cell r="AG54">
            <v>521823</v>
          </cell>
          <cell r="AJ54">
            <v>10868876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éves besz.bevételei2018"/>
      <sheetName val="éves besz.kiadásai2018"/>
    </sheetNames>
    <sheetDataSet>
      <sheetData sheetId="0">
        <row r="10">
          <cell r="BD10">
            <v>147406</v>
          </cell>
          <cell r="BE10">
            <v>154868</v>
          </cell>
          <cell r="BF10">
            <v>142141</v>
          </cell>
        </row>
        <row r="11">
          <cell r="BD11">
            <v>97890</v>
          </cell>
          <cell r="BE11">
            <v>105956</v>
          </cell>
          <cell r="BF11">
            <v>105345</v>
          </cell>
        </row>
        <row r="12">
          <cell r="BD12">
            <v>89621</v>
          </cell>
          <cell r="BE12">
            <v>96955</v>
          </cell>
          <cell r="BF12">
            <v>91016</v>
          </cell>
        </row>
        <row r="13">
          <cell r="BD13">
            <v>124494</v>
          </cell>
          <cell r="BE13">
            <v>135964</v>
          </cell>
          <cell r="BF13">
            <v>133950</v>
          </cell>
        </row>
        <row r="14">
          <cell r="BD14">
            <v>106075</v>
          </cell>
          <cell r="BE14">
            <v>116547</v>
          </cell>
          <cell r="BF14">
            <v>113098</v>
          </cell>
        </row>
        <row r="15">
          <cell r="BD15">
            <v>97147</v>
          </cell>
          <cell r="BE15">
            <v>103373</v>
          </cell>
          <cell r="BF15">
            <v>99472</v>
          </cell>
        </row>
        <row r="16">
          <cell r="BD16">
            <v>80617</v>
          </cell>
          <cell r="BE16">
            <v>83402</v>
          </cell>
          <cell r="BF16">
            <v>82729</v>
          </cell>
        </row>
        <row r="17">
          <cell r="BD17">
            <v>74964</v>
          </cell>
          <cell r="BE17">
            <v>108506</v>
          </cell>
          <cell r="BF17">
            <v>101040</v>
          </cell>
        </row>
        <row r="18">
          <cell r="BD18">
            <v>110048</v>
          </cell>
          <cell r="BE18">
            <v>114878</v>
          </cell>
          <cell r="BF18">
            <v>111698</v>
          </cell>
        </row>
        <row r="19">
          <cell r="BD19">
            <v>133216</v>
          </cell>
          <cell r="BE19">
            <v>148617</v>
          </cell>
          <cell r="BF19">
            <v>144871</v>
          </cell>
        </row>
        <row r="20">
          <cell r="BD20">
            <v>68476</v>
          </cell>
          <cell r="BE20">
            <v>70884</v>
          </cell>
          <cell r="BF20">
            <v>69779</v>
          </cell>
        </row>
        <row r="21">
          <cell r="BD21">
            <v>56806</v>
          </cell>
          <cell r="BE21">
            <v>72284</v>
          </cell>
          <cell r="BF21">
            <v>60562</v>
          </cell>
        </row>
        <row r="22">
          <cell r="BD22">
            <v>66731</v>
          </cell>
          <cell r="BE22">
            <v>69798</v>
          </cell>
          <cell r="BF22">
            <v>67399</v>
          </cell>
        </row>
        <row r="23">
          <cell r="BD23">
            <v>94514</v>
          </cell>
          <cell r="BE23">
            <v>106613</v>
          </cell>
          <cell r="BF23">
            <v>104659</v>
          </cell>
        </row>
        <row r="24">
          <cell r="BD24">
            <v>123766</v>
          </cell>
          <cell r="BE24">
            <v>128417</v>
          </cell>
          <cell r="BF24">
            <v>126913</v>
          </cell>
        </row>
        <row r="25">
          <cell r="BD25">
            <v>97958</v>
          </cell>
          <cell r="BE25">
            <v>105187</v>
          </cell>
          <cell r="BF25">
            <v>99289</v>
          </cell>
        </row>
        <row r="26">
          <cell r="BD26">
            <v>80605</v>
          </cell>
          <cell r="BE26">
            <v>90805</v>
          </cell>
          <cell r="BF26">
            <v>84023</v>
          </cell>
        </row>
        <row r="27">
          <cell r="BD27">
            <v>55696</v>
          </cell>
          <cell r="BE27">
            <v>59673</v>
          </cell>
          <cell r="BF27">
            <v>58322</v>
          </cell>
        </row>
        <row r="28">
          <cell r="BD28">
            <v>1706030</v>
          </cell>
          <cell r="BE28">
            <v>1872727</v>
          </cell>
          <cell r="BF28">
            <v>1796306</v>
          </cell>
        </row>
        <row r="29">
          <cell r="BD29">
            <v>1481168</v>
          </cell>
          <cell r="BE29">
            <v>1619303</v>
          </cell>
          <cell r="BF29">
            <v>1461203</v>
          </cell>
        </row>
        <row r="30">
          <cell r="BD30">
            <v>3187198</v>
          </cell>
          <cell r="BE30">
            <v>3492030</v>
          </cell>
          <cell r="BF30">
            <v>3257509</v>
          </cell>
        </row>
        <row r="33">
          <cell r="BD33">
            <v>372832</v>
          </cell>
          <cell r="BE33">
            <v>496996</v>
          </cell>
          <cell r="BF33">
            <v>479624</v>
          </cell>
        </row>
        <row r="34">
          <cell r="BD34">
            <v>119430</v>
          </cell>
          <cell r="BE34">
            <v>158085</v>
          </cell>
          <cell r="BF34">
            <v>147016</v>
          </cell>
        </row>
        <row r="35">
          <cell r="BD35">
            <v>473153</v>
          </cell>
          <cell r="BE35">
            <v>628869</v>
          </cell>
          <cell r="BF35">
            <v>548554</v>
          </cell>
        </row>
        <row r="36">
          <cell r="BD36">
            <v>233334</v>
          </cell>
          <cell r="BE36">
            <v>435713</v>
          </cell>
          <cell r="BF36">
            <v>422523</v>
          </cell>
        </row>
        <row r="37">
          <cell r="BD37">
            <v>501850</v>
          </cell>
          <cell r="BE37">
            <v>812124</v>
          </cell>
          <cell r="BF37">
            <v>777524</v>
          </cell>
        </row>
        <row r="38">
          <cell r="BD38">
            <v>1700599</v>
          </cell>
          <cell r="BE38">
            <v>2531787</v>
          </cell>
          <cell r="BF38">
            <v>2375241</v>
          </cell>
        </row>
        <row r="40">
          <cell r="BD40">
            <v>709236</v>
          </cell>
          <cell r="BE40">
            <v>953325</v>
          </cell>
          <cell r="BF40">
            <v>919087</v>
          </cell>
        </row>
        <row r="42">
          <cell r="BD42">
            <v>541194</v>
          </cell>
          <cell r="BE42">
            <v>674458</v>
          </cell>
          <cell r="BF42">
            <v>648591</v>
          </cell>
        </row>
        <row r="44">
          <cell r="BD44">
            <v>745483</v>
          </cell>
          <cell r="BE44">
            <v>808808</v>
          </cell>
          <cell r="BF44">
            <v>786704</v>
          </cell>
        </row>
        <row r="46">
          <cell r="BD46">
            <v>139748</v>
          </cell>
          <cell r="BE46">
            <v>171393</v>
          </cell>
          <cell r="BF46">
            <v>170550</v>
          </cell>
        </row>
        <row r="47">
          <cell r="BD47">
            <v>1716262</v>
          </cell>
          <cell r="BE47">
            <v>2031715</v>
          </cell>
          <cell r="BF47">
            <v>1777412</v>
          </cell>
        </row>
        <row r="48">
          <cell r="BD48">
            <v>185000</v>
          </cell>
          <cell r="BE48">
            <v>205360</v>
          </cell>
          <cell r="BF48">
            <v>189709</v>
          </cell>
        </row>
        <row r="49">
          <cell r="BD49">
            <v>2041010</v>
          </cell>
          <cell r="BE49">
            <v>2408468</v>
          </cell>
          <cell r="BF49">
            <v>2137671</v>
          </cell>
        </row>
        <row r="50">
          <cell r="BD50">
            <v>5737522</v>
          </cell>
          <cell r="BE50">
            <v>7376846</v>
          </cell>
          <cell r="BF50">
            <v>6867294</v>
          </cell>
        </row>
        <row r="51">
          <cell r="BD51">
            <v>8924720</v>
          </cell>
          <cell r="BE51">
            <v>10868876</v>
          </cell>
          <cell r="BF51">
            <v>10124803</v>
          </cell>
        </row>
      </sheetData>
      <sheetData sheetId="1">
        <row r="10">
          <cell r="AP10">
            <v>6951</v>
          </cell>
          <cell r="AQ10">
            <v>550</v>
          </cell>
        </row>
        <row r="11">
          <cell r="AP11">
            <v>5825</v>
          </cell>
          <cell r="AQ11">
            <v>5824</v>
          </cell>
        </row>
        <row r="12">
          <cell r="AP12">
            <v>4361</v>
          </cell>
          <cell r="AQ12">
            <v>1080</v>
          </cell>
        </row>
        <row r="13">
          <cell r="AP13">
            <v>12863</v>
          </cell>
          <cell r="AQ13">
            <v>12862</v>
          </cell>
        </row>
        <row r="14">
          <cell r="AP14">
            <v>5098</v>
          </cell>
          <cell r="AQ14">
            <v>4180</v>
          </cell>
        </row>
        <row r="15">
          <cell r="AP15">
            <v>767</v>
          </cell>
          <cell r="AQ15">
            <v>766</v>
          </cell>
        </row>
        <row r="16">
          <cell r="AP16">
            <v>977</v>
          </cell>
          <cell r="AQ16">
            <v>751</v>
          </cell>
        </row>
        <row r="17">
          <cell r="AP17">
            <v>31802</v>
          </cell>
          <cell r="AQ17">
            <v>25450</v>
          </cell>
        </row>
        <row r="18">
          <cell r="AP18">
            <v>1131</v>
          </cell>
          <cell r="AQ18">
            <v>1131</v>
          </cell>
        </row>
        <row r="19">
          <cell r="AP19">
            <v>11800</v>
          </cell>
          <cell r="AQ19">
            <v>9711</v>
          </cell>
        </row>
        <row r="20">
          <cell r="AP20">
            <v>1205</v>
          </cell>
          <cell r="AQ20">
            <v>1204</v>
          </cell>
        </row>
        <row r="21">
          <cell r="AP21">
            <v>15138</v>
          </cell>
          <cell r="AQ21">
            <v>5383</v>
          </cell>
        </row>
        <row r="22">
          <cell r="AP22">
            <v>1812</v>
          </cell>
          <cell r="AQ22">
            <v>859</v>
          </cell>
        </row>
        <row r="23">
          <cell r="AP23">
            <v>7722</v>
          </cell>
          <cell r="AQ23">
            <v>7720</v>
          </cell>
        </row>
        <row r="24">
          <cell r="AP24">
            <v>3607</v>
          </cell>
          <cell r="AQ24">
            <v>3606</v>
          </cell>
        </row>
        <row r="25">
          <cell r="AP25">
            <v>2953</v>
          </cell>
          <cell r="AQ25">
            <v>2789</v>
          </cell>
        </row>
        <row r="26">
          <cell r="AP26">
            <v>7085</v>
          </cell>
          <cell r="AQ26">
            <v>4856</v>
          </cell>
        </row>
        <row r="27">
          <cell r="AP27">
            <v>2010</v>
          </cell>
          <cell r="AQ27">
            <v>2009</v>
          </cell>
        </row>
        <row r="28">
          <cell r="AQ28">
            <v>90731</v>
          </cell>
        </row>
        <row r="29">
          <cell r="AP29">
            <v>83420</v>
          </cell>
          <cell r="AQ29">
            <v>75308</v>
          </cell>
        </row>
        <row r="30">
          <cell r="AQ30">
            <v>166039</v>
          </cell>
        </row>
        <row r="33">
          <cell r="AP33">
            <v>7673</v>
          </cell>
          <cell r="AQ33">
            <v>7670</v>
          </cell>
        </row>
        <row r="34">
          <cell r="AP34">
            <v>156</v>
          </cell>
          <cell r="AQ34">
            <v>155</v>
          </cell>
        </row>
        <row r="35">
          <cell r="AP35">
            <v>18781</v>
          </cell>
          <cell r="AQ35">
            <v>14454</v>
          </cell>
        </row>
        <row r="36">
          <cell r="AP36">
            <v>18526</v>
          </cell>
          <cell r="AQ36">
            <v>9191</v>
          </cell>
        </row>
        <row r="37">
          <cell r="AP37">
            <v>36934</v>
          </cell>
          <cell r="AQ37">
            <v>29149</v>
          </cell>
        </row>
        <row r="38">
          <cell r="AQ38">
            <v>60619</v>
          </cell>
        </row>
        <row r="40">
          <cell r="AP40">
            <v>57009</v>
          </cell>
          <cell r="AQ40">
            <v>45520</v>
          </cell>
        </row>
        <row r="42">
          <cell r="AP42">
            <v>69780</v>
          </cell>
          <cell r="AQ42">
            <v>45643</v>
          </cell>
        </row>
        <row r="44">
          <cell r="AP44">
            <v>31564</v>
          </cell>
          <cell r="AQ44">
            <v>27985</v>
          </cell>
        </row>
        <row r="46">
          <cell r="AP46">
            <v>12100</v>
          </cell>
          <cell r="AQ46">
            <v>3475</v>
          </cell>
        </row>
        <row r="47">
          <cell r="AP47">
            <v>58196</v>
          </cell>
          <cell r="AQ47">
            <v>53136</v>
          </cell>
        </row>
        <row r="48">
          <cell r="AP48">
            <v>4577</v>
          </cell>
          <cell r="AQ48">
            <v>4415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étszám2016évi üres"/>
      <sheetName val="létszám ei mód 2017-2018eltérés"/>
      <sheetName val="2018 évi nyitó létszám "/>
      <sheetName val="létszám ei mód RM I."/>
      <sheetName val="létszám ei mód RM II."/>
      <sheetName val="létszám ei mód RM III."/>
      <sheetName val="létszám ei mód RM IV."/>
      <sheetName val="létszám ei mód RM V.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8">
          <cell r="H28">
            <v>0</v>
          </cell>
          <cell r="I28">
            <v>0</v>
          </cell>
          <cell r="N28">
            <v>44</v>
          </cell>
          <cell r="O28">
            <v>44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lhalmozás"/>
      <sheetName val="felhalmozás ezer forintban"/>
      <sheetName val="felújítás"/>
      <sheetName val="felújítás ezer forintban"/>
    </sheetNames>
    <sheetDataSet>
      <sheetData sheetId="0">
        <row r="12">
          <cell r="D12">
            <v>550.17899999999997</v>
          </cell>
        </row>
        <row r="13">
          <cell r="D13">
            <v>165.1</v>
          </cell>
        </row>
        <row r="14">
          <cell r="D14">
            <v>986.048</v>
          </cell>
        </row>
        <row r="15">
          <cell r="D15">
            <v>1079.9559999999999</v>
          </cell>
        </row>
        <row r="16">
          <cell r="D16">
            <v>4318</v>
          </cell>
        </row>
        <row r="17">
          <cell r="D17">
            <v>127</v>
          </cell>
        </row>
        <row r="18">
          <cell r="D18">
            <v>299.99900000000002</v>
          </cell>
        </row>
        <row r="19">
          <cell r="D19">
            <v>4011.047</v>
          </cell>
        </row>
        <row r="20">
          <cell r="D20">
            <v>1410.7159999999999</v>
          </cell>
        </row>
        <row r="21">
          <cell r="D21">
            <v>440.69</v>
          </cell>
        </row>
        <row r="22">
          <cell r="D22">
            <v>221</v>
          </cell>
        </row>
        <row r="23">
          <cell r="D23">
            <v>870.71199999999999</v>
          </cell>
        </row>
        <row r="24">
          <cell r="D24">
            <v>766.45799999999997</v>
          </cell>
        </row>
        <row r="25">
          <cell r="D25">
            <v>751.18799999999999</v>
          </cell>
        </row>
        <row r="26">
          <cell r="D26">
            <v>814.38800000000003</v>
          </cell>
        </row>
        <row r="27">
          <cell r="D27">
            <v>10041.636</v>
          </cell>
        </row>
        <row r="28">
          <cell r="D28">
            <v>1212.8499999999999</v>
          </cell>
        </row>
        <row r="29">
          <cell r="D29">
            <v>678.94200000000001</v>
          </cell>
        </row>
        <row r="30">
          <cell r="D30">
            <v>1177.8409999999999</v>
          </cell>
        </row>
        <row r="31">
          <cell r="D31">
            <v>119.71599999999999</v>
          </cell>
        </row>
        <row r="32">
          <cell r="D32">
            <v>142.089</v>
          </cell>
        </row>
        <row r="33">
          <cell r="D33">
            <v>869.15</v>
          </cell>
        </row>
        <row r="34">
          <cell r="D34">
            <v>219.42</v>
          </cell>
        </row>
        <row r="35">
          <cell r="D35">
            <v>601.27099999999996</v>
          </cell>
        </row>
        <row r="36">
          <cell r="D36">
            <v>681.99</v>
          </cell>
        </row>
        <row r="37">
          <cell r="D37">
            <v>25.369</v>
          </cell>
        </row>
        <row r="38">
          <cell r="D38">
            <v>496.93799999999999</v>
          </cell>
        </row>
        <row r="39">
          <cell r="D39">
            <v>660.4</v>
          </cell>
        </row>
        <row r="40">
          <cell r="D40">
            <v>213.36</v>
          </cell>
        </row>
        <row r="41">
          <cell r="D41">
            <v>3814.0010000000002</v>
          </cell>
        </row>
        <row r="42">
          <cell r="D42">
            <v>152.14599999999999</v>
          </cell>
        </row>
        <row r="43">
          <cell r="D43">
            <v>706.80100000000004</v>
          </cell>
        </row>
        <row r="44">
          <cell r="D44">
            <v>4134.13</v>
          </cell>
        </row>
        <row r="45">
          <cell r="D45">
            <v>768.35</v>
          </cell>
        </row>
        <row r="46">
          <cell r="D46">
            <v>552.86099999999999</v>
          </cell>
        </row>
        <row r="47">
          <cell r="D47">
            <v>424</v>
          </cell>
        </row>
        <row r="48">
          <cell r="D48">
            <v>3182.2269999999999</v>
          </cell>
        </row>
        <row r="49">
          <cell r="D49">
            <v>876.60400000000004</v>
          </cell>
        </row>
        <row r="50">
          <cell r="D50">
            <v>1604.4459999999999</v>
          </cell>
        </row>
        <row r="51">
          <cell r="D51">
            <v>952.5</v>
          </cell>
        </row>
        <row r="52">
          <cell r="D52">
            <v>386.08</v>
          </cell>
        </row>
        <row r="53">
          <cell r="D53">
            <v>670.67600000000004</v>
          </cell>
        </row>
        <row r="54">
          <cell r="D54">
            <v>52177.274999999987</v>
          </cell>
        </row>
        <row r="55">
          <cell r="D55">
            <v>133.374</v>
          </cell>
        </row>
        <row r="56">
          <cell r="D56">
            <v>5499.9620000000004</v>
          </cell>
        </row>
        <row r="57">
          <cell r="D57">
            <v>1717.9190000000001</v>
          </cell>
        </row>
        <row r="58">
          <cell r="D58">
            <v>81.319000000000003</v>
          </cell>
        </row>
        <row r="59">
          <cell r="D59">
            <v>111.422</v>
          </cell>
        </row>
        <row r="60">
          <cell r="D60">
            <v>1243.1469999999999</v>
          </cell>
        </row>
        <row r="61">
          <cell r="D61">
            <v>405.661</v>
          </cell>
        </row>
        <row r="62">
          <cell r="D62">
            <v>199.84399999999999</v>
          </cell>
        </row>
        <row r="63">
          <cell r="D63">
            <v>497.363</v>
          </cell>
        </row>
        <row r="64">
          <cell r="D64">
            <v>114.946</v>
          </cell>
        </row>
        <row r="65">
          <cell r="D65">
            <v>304.8</v>
          </cell>
        </row>
        <row r="66">
          <cell r="D66">
            <v>146.05000000000001</v>
          </cell>
        </row>
        <row r="67">
          <cell r="D67">
            <v>1551.203</v>
          </cell>
        </row>
        <row r="68">
          <cell r="D68">
            <v>986.28200000000004</v>
          </cell>
        </row>
        <row r="69">
          <cell r="D69">
            <v>4206.24</v>
          </cell>
        </row>
        <row r="70">
          <cell r="D70">
            <v>297.30700000000002</v>
          </cell>
        </row>
        <row r="71">
          <cell r="D71">
            <v>145.49100000000001</v>
          </cell>
        </row>
        <row r="72">
          <cell r="D72">
            <v>523</v>
          </cell>
        </row>
        <row r="73">
          <cell r="D73">
            <v>741.67899999999997</v>
          </cell>
        </row>
        <row r="74">
          <cell r="D74">
            <v>381</v>
          </cell>
        </row>
        <row r="75">
          <cell r="D75">
            <v>150.62200000000001</v>
          </cell>
        </row>
        <row r="76">
          <cell r="D76">
            <v>4800.6000000000004</v>
          </cell>
        </row>
        <row r="77">
          <cell r="D77">
            <v>615.95000000000005</v>
          </cell>
        </row>
        <row r="78">
          <cell r="D78">
            <v>385.82600000000002</v>
          </cell>
        </row>
        <row r="79">
          <cell r="D79">
            <v>1777.0219999999999</v>
          </cell>
        </row>
        <row r="80">
          <cell r="D80">
            <v>296.661</v>
          </cell>
        </row>
        <row r="81">
          <cell r="D81">
            <v>287.69799999999998</v>
          </cell>
        </row>
        <row r="82">
          <cell r="D82">
            <v>215.17400000000001</v>
          </cell>
        </row>
        <row r="83">
          <cell r="D83">
            <v>1044.896</v>
          </cell>
        </row>
        <row r="84">
          <cell r="D84">
            <v>294.44499999999999</v>
          </cell>
        </row>
        <row r="85">
          <cell r="D85">
            <v>162.05699999999999</v>
          </cell>
        </row>
        <row r="86">
          <cell r="D86">
            <v>731.31799999999998</v>
          </cell>
        </row>
        <row r="87">
          <cell r="D87">
            <v>189.523</v>
          </cell>
        </row>
        <row r="88">
          <cell r="D88">
            <v>6450.2950000000001</v>
          </cell>
        </row>
        <row r="89">
          <cell r="D89">
            <v>685.24099999999999</v>
          </cell>
        </row>
        <row r="90">
          <cell r="D90">
            <v>105.66200000000001</v>
          </cell>
        </row>
        <row r="91">
          <cell r="D91">
            <v>877.41200000000003</v>
          </cell>
        </row>
        <row r="92">
          <cell r="D92">
            <v>254.99</v>
          </cell>
        </row>
        <row r="93">
          <cell r="D93">
            <v>3370.6660000000002</v>
          </cell>
        </row>
        <row r="98">
          <cell r="D98">
            <v>1021.4930000000001</v>
          </cell>
        </row>
        <row r="99">
          <cell r="D99">
            <v>1125.5540000000001</v>
          </cell>
        </row>
        <row r="100">
          <cell r="D100">
            <v>978.45899999999995</v>
          </cell>
        </row>
        <row r="101">
          <cell r="D101">
            <v>208</v>
          </cell>
        </row>
        <row r="102">
          <cell r="D102">
            <v>802.83</v>
          </cell>
        </row>
        <row r="103">
          <cell r="D103">
            <v>248.08199999999999</v>
          </cell>
        </row>
        <row r="104">
          <cell r="D104">
            <v>495</v>
          </cell>
        </row>
        <row r="105">
          <cell r="D105">
            <v>188.41499999999999</v>
          </cell>
        </row>
        <row r="107">
          <cell r="D107">
            <v>70.828000000000003</v>
          </cell>
        </row>
        <row r="108">
          <cell r="D108">
            <v>38.9</v>
          </cell>
        </row>
        <row r="109">
          <cell r="D109">
            <v>33.499000000000002</v>
          </cell>
        </row>
        <row r="110">
          <cell r="D110">
            <v>11.999000000000001</v>
          </cell>
        </row>
        <row r="112">
          <cell r="D112">
            <v>76</v>
          </cell>
        </row>
        <row r="113">
          <cell r="D113">
            <v>82.55</v>
          </cell>
        </row>
        <row r="114">
          <cell r="D114">
            <v>197.5</v>
          </cell>
        </row>
        <row r="115">
          <cell r="D115">
            <v>97.989000000000004</v>
          </cell>
        </row>
        <row r="116">
          <cell r="D116">
            <v>1090.771</v>
          </cell>
        </row>
        <row r="117">
          <cell r="D117">
            <v>2380.5520000000001</v>
          </cell>
        </row>
        <row r="118">
          <cell r="D118">
            <v>127.33499999999999</v>
          </cell>
        </row>
        <row r="119">
          <cell r="D119">
            <v>1911.623</v>
          </cell>
        </row>
        <row r="120">
          <cell r="D120">
            <v>1800</v>
          </cell>
        </row>
        <row r="121">
          <cell r="D121">
            <v>1810</v>
          </cell>
        </row>
        <row r="122">
          <cell r="D122">
            <v>2756.29</v>
          </cell>
        </row>
        <row r="123">
          <cell r="D123">
            <v>960</v>
          </cell>
        </row>
        <row r="124">
          <cell r="D124">
            <v>653.41499999999996</v>
          </cell>
        </row>
        <row r="125">
          <cell r="D125">
            <v>500</v>
          </cell>
        </row>
        <row r="126">
          <cell r="D126">
            <v>10.01</v>
          </cell>
        </row>
        <row r="128">
          <cell r="D128">
            <v>195.77600000000001</v>
          </cell>
        </row>
        <row r="129">
          <cell r="D129">
            <v>317.24599999999998</v>
          </cell>
        </row>
        <row r="130">
          <cell r="D130">
            <v>6680.9620000000004</v>
          </cell>
        </row>
        <row r="131">
          <cell r="D131">
            <v>396.24</v>
          </cell>
        </row>
        <row r="132">
          <cell r="D132">
            <v>792.48</v>
          </cell>
        </row>
        <row r="133">
          <cell r="D133">
            <v>221.61500000000001</v>
          </cell>
        </row>
        <row r="134">
          <cell r="D134">
            <v>185.80099999999999</v>
          </cell>
        </row>
        <row r="135">
          <cell r="D135">
            <v>70</v>
          </cell>
        </row>
        <row r="136">
          <cell r="D136">
            <v>70</v>
          </cell>
        </row>
        <row r="137">
          <cell r="D137">
            <v>59.563000000000002</v>
          </cell>
        </row>
        <row r="138">
          <cell r="D138">
            <v>71.566000000000003</v>
          </cell>
        </row>
        <row r="139">
          <cell r="D139">
            <v>40</v>
          </cell>
        </row>
        <row r="140">
          <cell r="D140">
            <v>25</v>
          </cell>
        </row>
        <row r="141">
          <cell r="D141">
            <v>15</v>
          </cell>
        </row>
        <row r="142">
          <cell r="D142">
            <v>50</v>
          </cell>
        </row>
        <row r="144">
          <cell r="D144">
            <v>74.989999999999995</v>
          </cell>
        </row>
        <row r="145">
          <cell r="D145">
            <v>832.48500000000001</v>
          </cell>
        </row>
        <row r="146">
          <cell r="D146">
            <v>180.08799999999999</v>
          </cell>
        </row>
        <row r="147">
          <cell r="D147">
            <v>193.80199999999999</v>
          </cell>
        </row>
        <row r="148">
          <cell r="D148">
            <v>277.495</v>
          </cell>
        </row>
        <row r="149">
          <cell r="D149">
            <v>800</v>
          </cell>
        </row>
        <row r="150">
          <cell r="D150">
            <v>6000</v>
          </cell>
        </row>
        <row r="151">
          <cell r="D151">
            <v>345.32900000000001</v>
          </cell>
        </row>
        <row r="152">
          <cell r="D152">
            <v>736.6</v>
          </cell>
        </row>
        <row r="153">
          <cell r="D153">
            <v>1894.211</v>
          </cell>
        </row>
        <row r="154">
          <cell r="D154">
            <v>105.788</v>
          </cell>
        </row>
        <row r="155">
          <cell r="D155">
            <v>396.43</v>
          </cell>
        </row>
        <row r="156">
          <cell r="D156">
            <v>319.89999999999998</v>
          </cell>
        </row>
        <row r="157">
          <cell r="D157">
            <v>5905.5</v>
          </cell>
        </row>
        <row r="158">
          <cell r="D158">
            <v>8735.06</v>
          </cell>
        </row>
        <row r="159">
          <cell r="D159">
            <v>476.25</v>
          </cell>
        </row>
        <row r="160">
          <cell r="D160">
            <v>159.999</v>
          </cell>
        </row>
        <row r="161">
          <cell r="D161">
            <v>99.9</v>
          </cell>
        </row>
        <row r="162">
          <cell r="D162">
            <v>122.56</v>
          </cell>
        </row>
        <row r="163">
          <cell r="D163">
            <v>238.952</v>
          </cell>
        </row>
        <row r="164">
          <cell r="D164">
            <v>61.588999999999999</v>
          </cell>
        </row>
        <row r="165">
          <cell r="D165">
            <v>75</v>
          </cell>
        </row>
        <row r="166">
          <cell r="D166">
            <v>154.16999999999999</v>
          </cell>
        </row>
        <row r="167">
          <cell r="D167">
            <v>99.21</v>
          </cell>
        </row>
        <row r="168">
          <cell r="D168">
            <v>86.3</v>
          </cell>
        </row>
        <row r="169">
          <cell r="D169">
            <v>114.706</v>
          </cell>
        </row>
        <row r="170">
          <cell r="D170">
            <v>120</v>
          </cell>
        </row>
        <row r="171">
          <cell r="D171">
            <v>57.581000000000003</v>
          </cell>
        </row>
        <row r="172">
          <cell r="D172">
            <v>208.7</v>
          </cell>
        </row>
        <row r="173">
          <cell r="D173">
            <v>276.142</v>
          </cell>
        </row>
        <row r="177">
          <cell r="D177">
            <v>762</v>
          </cell>
        </row>
        <row r="178">
          <cell r="D178">
            <v>2219.7060000000001</v>
          </cell>
        </row>
        <row r="179">
          <cell r="D179">
            <v>226.31399999999999</v>
          </cell>
        </row>
        <row r="180">
          <cell r="D180">
            <v>6085.5860000000002</v>
          </cell>
        </row>
        <row r="181">
          <cell r="D181">
            <v>19.177</v>
          </cell>
        </row>
        <row r="182">
          <cell r="D182">
            <v>175.26</v>
          </cell>
        </row>
        <row r="183">
          <cell r="D183">
            <v>460.464</v>
          </cell>
        </row>
        <row r="184">
          <cell r="D184">
            <v>1365.25</v>
          </cell>
        </row>
        <row r="185">
          <cell r="D185">
            <v>2699.0450000000001</v>
          </cell>
        </row>
        <row r="186">
          <cell r="D186">
            <v>5606.76</v>
          </cell>
        </row>
        <row r="187">
          <cell r="D187">
            <v>68.706999999999994</v>
          </cell>
        </row>
        <row r="188">
          <cell r="D188">
            <v>285.75</v>
          </cell>
        </row>
        <row r="189">
          <cell r="D189">
            <v>12081.688</v>
          </cell>
        </row>
        <row r="190">
          <cell r="D190">
            <v>2324.54</v>
          </cell>
        </row>
        <row r="191">
          <cell r="D191">
            <v>2419.0790000000002</v>
          </cell>
        </row>
        <row r="192">
          <cell r="D192">
            <v>991.87</v>
          </cell>
        </row>
        <row r="193">
          <cell r="D193">
            <v>267.584</v>
          </cell>
        </row>
        <row r="194">
          <cell r="D194">
            <v>772.46900000000005</v>
          </cell>
        </row>
        <row r="195">
          <cell r="D195">
            <v>227.25</v>
          </cell>
        </row>
        <row r="196">
          <cell r="D196">
            <v>131.99</v>
          </cell>
        </row>
        <row r="197">
          <cell r="D197">
            <v>135.9</v>
          </cell>
        </row>
        <row r="198">
          <cell r="D198">
            <v>114.99</v>
          </cell>
        </row>
        <row r="199">
          <cell r="D199">
            <v>634.71799999999996</v>
          </cell>
        </row>
        <row r="202">
          <cell r="D202">
            <v>2162</v>
          </cell>
        </row>
        <row r="203">
          <cell r="D203">
            <v>2216</v>
          </cell>
        </row>
        <row r="204">
          <cell r="D204">
            <v>2069</v>
          </cell>
        </row>
        <row r="205">
          <cell r="D205">
            <v>419</v>
          </cell>
        </row>
        <row r="206">
          <cell r="D206">
            <v>4697</v>
          </cell>
        </row>
        <row r="207">
          <cell r="D207">
            <v>3762</v>
          </cell>
        </row>
        <row r="208">
          <cell r="D208">
            <v>560</v>
          </cell>
        </row>
        <row r="209">
          <cell r="D209">
            <v>520</v>
          </cell>
        </row>
        <row r="213">
          <cell r="D213">
            <v>263</v>
          </cell>
        </row>
        <row r="214">
          <cell r="D214">
            <v>69</v>
          </cell>
        </row>
        <row r="215">
          <cell r="D215">
            <v>32</v>
          </cell>
        </row>
        <row r="216">
          <cell r="D216">
            <v>431</v>
          </cell>
        </row>
        <row r="217">
          <cell r="D217">
            <v>31</v>
          </cell>
        </row>
        <row r="218">
          <cell r="D218">
            <v>111</v>
          </cell>
        </row>
        <row r="219">
          <cell r="D219">
            <v>179</v>
          </cell>
        </row>
        <row r="220">
          <cell r="D220">
            <v>7219</v>
          </cell>
        </row>
        <row r="221">
          <cell r="D221">
            <v>73</v>
          </cell>
        </row>
        <row r="222">
          <cell r="D222">
            <v>1874</v>
          </cell>
        </row>
        <row r="223">
          <cell r="D223">
            <v>66</v>
          </cell>
        </row>
        <row r="224">
          <cell r="D224">
            <v>570</v>
          </cell>
        </row>
        <row r="225">
          <cell r="D225">
            <v>132</v>
          </cell>
        </row>
        <row r="226">
          <cell r="D226">
            <v>22</v>
          </cell>
        </row>
        <row r="227">
          <cell r="D227">
            <v>84</v>
          </cell>
        </row>
        <row r="228">
          <cell r="D228">
            <v>170</v>
          </cell>
        </row>
        <row r="229">
          <cell r="D229">
            <v>61</v>
          </cell>
        </row>
        <row r="230">
          <cell r="D230">
            <v>467</v>
          </cell>
        </row>
        <row r="231">
          <cell r="D231">
            <v>80</v>
          </cell>
        </row>
        <row r="232">
          <cell r="D232">
            <v>850</v>
          </cell>
        </row>
        <row r="233">
          <cell r="D233">
            <v>191</v>
          </cell>
        </row>
        <row r="234">
          <cell r="D234">
            <v>5</v>
          </cell>
        </row>
        <row r="235">
          <cell r="D235">
            <v>140</v>
          </cell>
        </row>
        <row r="236">
          <cell r="D236">
            <v>23</v>
          </cell>
        </row>
        <row r="237">
          <cell r="D237">
            <v>66</v>
          </cell>
        </row>
        <row r="238">
          <cell r="D238">
            <v>10</v>
          </cell>
        </row>
        <row r="239">
          <cell r="D239">
            <v>95</v>
          </cell>
        </row>
        <row r="240">
          <cell r="D240">
            <v>86</v>
          </cell>
        </row>
        <row r="241">
          <cell r="D241">
            <v>54</v>
          </cell>
        </row>
        <row r="242">
          <cell r="D242">
            <v>59</v>
          </cell>
        </row>
        <row r="243">
          <cell r="D243">
            <v>958</v>
          </cell>
        </row>
        <row r="244">
          <cell r="D244">
            <v>134</v>
          </cell>
        </row>
        <row r="245">
          <cell r="D245">
            <v>27</v>
          </cell>
        </row>
        <row r="246">
          <cell r="D246">
            <v>80</v>
          </cell>
        </row>
        <row r="247">
          <cell r="D247">
            <v>48</v>
          </cell>
        </row>
        <row r="248">
          <cell r="D248">
            <v>908</v>
          </cell>
        </row>
        <row r="249">
          <cell r="D249">
            <v>23</v>
          </cell>
        </row>
        <row r="250">
          <cell r="D250">
            <v>10</v>
          </cell>
        </row>
        <row r="251">
          <cell r="D251">
            <v>37</v>
          </cell>
        </row>
        <row r="252">
          <cell r="D252">
            <v>64</v>
          </cell>
        </row>
        <row r="253">
          <cell r="D253">
            <v>44</v>
          </cell>
        </row>
        <row r="254">
          <cell r="D254">
            <v>132</v>
          </cell>
        </row>
        <row r="255">
          <cell r="D255">
            <v>83</v>
          </cell>
        </row>
        <row r="256">
          <cell r="D256">
            <v>69</v>
          </cell>
        </row>
        <row r="257">
          <cell r="D257">
            <v>23</v>
          </cell>
        </row>
        <row r="259">
          <cell r="D259">
            <v>169.99100000000001</v>
          </cell>
        </row>
        <row r="260">
          <cell r="D260">
            <v>54.899000000000001</v>
          </cell>
        </row>
        <row r="261">
          <cell r="D261">
            <v>59.39</v>
          </cell>
        </row>
        <row r="262">
          <cell r="D262">
            <v>72.135999999999996</v>
          </cell>
        </row>
        <row r="263">
          <cell r="D263">
            <v>2653.03</v>
          </cell>
        </row>
        <row r="264">
          <cell r="D264">
            <v>83.28</v>
          </cell>
        </row>
        <row r="265">
          <cell r="D265">
            <v>134.62</v>
          </cell>
        </row>
        <row r="266">
          <cell r="D266">
            <v>112.79</v>
          </cell>
        </row>
        <row r="267">
          <cell r="D267">
            <v>81.28</v>
          </cell>
        </row>
        <row r="268">
          <cell r="D268">
            <v>53.34</v>
          </cell>
        </row>
        <row r="270">
          <cell r="D270">
            <v>7624</v>
          </cell>
        </row>
        <row r="271">
          <cell r="D271">
            <v>4781</v>
          </cell>
        </row>
        <row r="272">
          <cell r="D272">
            <v>18000</v>
          </cell>
        </row>
        <row r="273">
          <cell r="D273">
            <v>2482</v>
          </cell>
        </row>
        <row r="274">
          <cell r="D274">
            <v>14883</v>
          </cell>
        </row>
        <row r="275">
          <cell r="D275">
            <v>1664</v>
          </cell>
        </row>
        <row r="276">
          <cell r="D276">
            <v>1751</v>
          </cell>
        </row>
        <row r="277">
          <cell r="D277">
            <v>528</v>
          </cell>
        </row>
        <row r="278">
          <cell r="D278">
            <v>1423</v>
          </cell>
        </row>
        <row r="281">
          <cell r="D281">
            <v>168.46100000000001</v>
          </cell>
        </row>
        <row r="282">
          <cell r="D282">
            <v>566.90300000000002</v>
          </cell>
        </row>
        <row r="283">
          <cell r="D283">
            <v>516.23</v>
          </cell>
        </row>
        <row r="284">
          <cell r="D284">
            <v>48.3</v>
          </cell>
        </row>
        <row r="285">
          <cell r="D285">
            <v>455.4</v>
          </cell>
        </row>
        <row r="286">
          <cell r="D286">
            <v>503.82400000000001</v>
          </cell>
        </row>
        <row r="287">
          <cell r="D287">
            <v>17.259</v>
          </cell>
        </row>
        <row r="288">
          <cell r="D288">
            <v>312</v>
          </cell>
        </row>
        <row r="289">
          <cell r="D289">
            <v>146</v>
          </cell>
        </row>
        <row r="290">
          <cell r="D290">
            <v>40.799999999999997</v>
          </cell>
        </row>
        <row r="291">
          <cell r="D291">
            <v>197.8</v>
          </cell>
        </row>
        <row r="292">
          <cell r="D292">
            <v>317.56</v>
          </cell>
        </row>
        <row r="293">
          <cell r="D293">
            <v>86.462000000000003</v>
          </cell>
        </row>
        <row r="294">
          <cell r="D294">
            <v>395.798</v>
          </cell>
        </row>
        <row r="295">
          <cell r="D295">
            <v>166.80799999999999</v>
          </cell>
        </row>
        <row r="296">
          <cell r="D296">
            <v>92.97</v>
          </cell>
        </row>
        <row r="297">
          <cell r="D297">
            <v>82.054000000000002</v>
          </cell>
        </row>
        <row r="298">
          <cell r="D298">
            <v>62.651000000000003</v>
          </cell>
        </row>
        <row r="299">
          <cell r="D299">
            <v>237.363</v>
          </cell>
        </row>
      </sheetData>
      <sheetData sheetId="1"/>
      <sheetData sheetId="2">
        <row r="10">
          <cell r="D10">
            <v>414.52800000000002</v>
          </cell>
        </row>
        <row r="11">
          <cell r="D11">
            <v>4258.7420000000002</v>
          </cell>
        </row>
        <row r="12">
          <cell r="D12">
            <v>1955.8</v>
          </cell>
        </row>
        <row r="13">
          <cell r="D13">
            <v>2150</v>
          </cell>
        </row>
        <row r="14">
          <cell r="D14">
            <v>470.637</v>
          </cell>
        </row>
        <row r="15">
          <cell r="D15">
            <v>766.81</v>
          </cell>
        </row>
        <row r="16">
          <cell r="D16">
            <v>3000</v>
          </cell>
        </row>
        <row r="17">
          <cell r="D17">
            <v>8524.3160000000007</v>
          </cell>
        </row>
        <row r="18">
          <cell r="D18">
            <v>8890</v>
          </cell>
        </row>
        <row r="19">
          <cell r="D19">
            <v>694.69</v>
          </cell>
        </row>
        <row r="20">
          <cell r="D20">
            <v>2264.587</v>
          </cell>
        </row>
        <row r="21">
          <cell r="D21">
            <v>1912.4929999999999</v>
          </cell>
        </row>
        <row r="22">
          <cell r="D22">
            <v>723.13800000000003</v>
          </cell>
        </row>
        <row r="23">
          <cell r="D23">
            <v>933.45</v>
          </cell>
        </row>
        <row r="24">
          <cell r="D24">
            <v>1595.501</v>
          </cell>
        </row>
        <row r="25">
          <cell r="D25">
            <v>38553.692000000003</v>
          </cell>
        </row>
        <row r="26">
          <cell r="D26">
            <v>1281.18</v>
          </cell>
        </row>
        <row r="27">
          <cell r="D27">
            <v>4284.3459999999995</v>
          </cell>
        </row>
        <row r="28">
          <cell r="D28">
            <v>711.2</v>
          </cell>
        </row>
        <row r="29">
          <cell r="D29">
            <v>4473.12</v>
          </cell>
        </row>
        <row r="30">
          <cell r="D30">
            <v>9938.7189999999991</v>
          </cell>
        </row>
        <row r="31">
          <cell r="D31">
            <v>940.70799999999997</v>
          </cell>
        </row>
        <row r="32">
          <cell r="D32">
            <v>1157.7829999999999</v>
          </cell>
        </row>
        <row r="33">
          <cell r="D33">
            <v>401.99900000000002</v>
          </cell>
        </row>
        <row r="34">
          <cell r="D34">
            <v>774.7</v>
          </cell>
        </row>
        <row r="35">
          <cell r="D35">
            <v>173.02099999999999</v>
          </cell>
        </row>
        <row r="36">
          <cell r="D36">
            <v>2500</v>
          </cell>
        </row>
        <row r="37">
          <cell r="D37">
            <v>459.58699999999999</v>
          </cell>
        </row>
        <row r="38">
          <cell r="D38">
            <v>2228.85</v>
          </cell>
        </row>
        <row r="39">
          <cell r="D39">
            <v>3999.23</v>
          </cell>
        </row>
        <row r="40">
          <cell r="D40">
            <v>33324.442999999999</v>
          </cell>
        </row>
        <row r="45">
          <cell r="D45">
            <v>585.47</v>
          </cell>
        </row>
        <row r="46">
          <cell r="D46">
            <v>1390.65</v>
          </cell>
        </row>
        <row r="47">
          <cell r="D47">
            <v>626.36400000000003</v>
          </cell>
        </row>
        <row r="48">
          <cell r="D48">
            <v>2602.4839999999999</v>
          </cell>
        </row>
        <row r="50">
          <cell r="D50">
            <v>991.28700000000003</v>
          </cell>
        </row>
        <row r="51">
          <cell r="D51">
            <v>511.24700000000001</v>
          </cell>
        </row>
        <row r="52">
          <cell r="D52">
            <v>1864.7190000000001</v>
          </cell>
        </row>
        <row r="53">
          <cell r="D53">
            <v>1329.6479999999999</v>
          </cell>
        </row>
        <row r="54">
          <cell r="D54">
            <v>747.14099999999996</v>
          </cell>
        </row>
        <row r="55">
          <cell r="D55">
            <v>5444.0420000000004</v>
          </cell>
        </row>
        <row r="57">
          <cell r="D57">
            <v>923.35599999999999</v>
          </cell>
        </row>
        <row r="58">
          <cell r="D58">
            <v>3652.6790000000001</v>
          </cell>
        </row>
        <row r="59">
          <cell r="D59">
            <v>16293.411</v>
          </cell>
        </row>
        <row r="60">
          <cell r="D60">
            <v>3578.56</v>
          </cell>
        </row>
        <row r="61">
          <cell r="D61">
            <v>1456.69</v>
          </cell>
        </row>
        <row r="62">
          <cell r="D62">
            <v>1868.424</v>
          </cell>
        </row>
        <row r="63">
          <cell r="D63">
            <v>582</v>
          </cell>
        </row>
        <row r="64">
          <cell r="D64">
            <v>35</v>
          </cell>
        </row>
        <row r="65">
          <cell r="D65">
            <v>847.34400000000005</v>
          </cell>
        </row>
        <row r="66">
          <cell r="D66">
            <v>29238.464</v>
          </cell>
        </row>
        <row r="68">
          <cell r="D68">
            <v>10862</v>
          </cell>
        </row>
        <row r="69">
          <cell r="D69">
            <v>970</v>
          </cell>
        </row>
        <row r="70">
          <cell r="D70">
            <v>11832</v>
          </cell>
        </row>
        <row r="71">
          <cell r="D71">
            <v>49115.99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9"/>
  <sheetViews>
    <sheetView tabSelected="1" topLeftCell="B1" zoomScale="75" zoomScaleNormal="75" workbookViewId="0">
      <selection activeCell="J33" sqref="J33"/>
    </sheetView>
  </sheetViews>
  <sheetFormatPr defaultRowHeight="15.75" x14ac:dyDescent="0.25"/>
  <cols>
    <col min="1" max="1" width="14.33203125" style="1048" customWidth="1"/>
    <col min="2" max="2" width="121" style="1048" customWidth="1"/>
    <col min="3" max="3" width="37.6640625" style="1048" customWidth="1"/>
    <col min="4" max="4" width="35.83203125" style="1048" customWidth="1"/>
    <col min="5" max="5" width="35.83203125" style="1049" customWidth="1"/>
    <col min="6" max="6" width="14.33203125" style="1049" customWidth="1"/>
    <col min="7" max="7" width="121" style="1048" customWidth="1"/>
    <col min="8" max="8" width="37.1640625" style="1048" customWidth="1"/>
    <col min="9" max="9" width="35.83203125" style="1048" customWidth="1"/>
    <col min="10" max="10" width="35.83203125" style="1049" customWidth="1"/>
    <col min="11" max="11" width="5.83203125" style="1051" customWidth="1"/>
    <col min="12" max="12" width="18.1640625" style="1051" customWidth="1"/>
    <col min="13" max="13" width="15" style="1051" customWidth="1"/>
    <col min="14" max="14" width="17.5" style="1051" customWidth="1"/>
    <col min="15" max="36" width="9.33203125" style="1051"/>
    <col min="37" max="256" width="9.33203125" style="1048"/>
    <col min="257" max="257" width="14.33203125" style="1048" customWidth="1"/>
    <col min="258" max="258" width="121" style="1048" customWidth="1"/>
    <col min="259" max="259" width="37.6640625" style="1048" customWidth="1"/>
    <col min="260" max="261" width="35.83203125" style="1048" customWidth="1"/>
    <col min="262" max="262" width="14.33203125" style="1048" customWidth="1"/>
    <col min="263" max="263" width="121" style="1048" customWidth="1"/>
    <col min="264" max="264" width="37.1640625" style="1048" customWidth="1"/>
    <col min="265" max="266" width="35.83203125" style="1048" customWidth="1"/>
    <col min="267" max="268" width="18.1640625" style="1048" customWidth="1"/>
    <col min="269" max="269" width="15" style="1048" bestFit="1" customWidth="1"/>
    <col min="270" max="270" width="17.5" style="1048" customWidth="1"/>
    <col min="271" max="512" width="9.33203125" style="1048"/>
    <col min="513" max="513" width="14.33203125" style="1048" customWidth="1"/>
    <col min="514" max="514" width="121" style="1048" customWidth="1"/>
    <col min="515" max="515" width="37.6640625" style="1048" customWidth="1"/>
    <col min="516" max="517" width="35.83203125" style="1048" customWidth="1"/>
    <col min="518" max="518" width="14.33203125" style="1048" customWidth="1"/>
    <col min="519" max="519" width="121" style="1048" customWidth="1"/>
    <col min="520" max="520" width="37.1640625" style="1048" customWidth="1"/>
    <col min="521" max="522" width="35.83203125" style="1048" customWidth="1"/>
    <col min="523" max="524" width="18.1640625" style="1048" customWidth="1"/>
    <col min="525" max="525" width="15" style="1048" bestFit="1" customWidth="1"/>
    <col min="526" max="526" width="17.5" style="1048" customWidth="1"/>
    <col min="527" max="768" width="9.33203125" style="1048"/>
    <col min="769" max="769" width="14.33203125" style="1048" customWidth="1"/>
    <col min="770" max="770" width="121" style="1048" customWidth="1"/>
    <col min="771" max="771" width="37.6640625" style="1048" customWidth="1"/>
    <col min="772" max="773" width="35.83203125" style="1048" customWidth="1"/>
    <col min="774" max="774" width="14.33203125" style="1048" customWidth="1"/>
    <col min="775" max="775" width="121" style="1048" customWidth="1"/>
    <col min="776" max="776" width="37.1640625" style="1048" customWidth="1"/>
    <col min="777" max="778" width="35.83203125" style="1048" customWidth="1"/>
    <col min="779" max="780" width="18.1640625" style="1048" customWidth="1"/>
    <col min="781" max="781" width="15" style="1048" bestFit="1" customWidth="1"/>
    <col min="782" max="782" width="17.5" style="1048" customWidth="1"/>
    <col min="783" max="1024" width="9.33203125" style="1048"/>
    <col min="1025" max="1025" width="14.33203125" style="1048" customWidth="1"/>
    <col min="1026" max="1026" width="121" style="1048" customWidth="1"/>
    <col min="1027" max="1027" width="37.6640625" style="1048" customWidth="1"/>
    <col min="1028" max="1029" width="35.83203125" style="1048" customWidth="1"/>
    <col min="1030" max="1030" width="14.33203125" style="1048" customWidth="1"/>
    <col min="1031" max="1031" width="121" style="1048" customWidth="1"/>
    <col min="1032" max="1032" width="37.1640625" style="1048" customWidth="1"/>
    <col min="1033" max="1034" width="35.83203125" style="1048" customWidth="1"/>
    <col min="1035" max="1036" width="18.1640625" style="1048" customWidth="1"/>
    <col min="1037" max="1037" width="15" style="1048" bestFit="1" customWidth="1"/>
    <col min="1038" max="1038" width="17.5" style="1048" customWidth="1"/>
    <col min="1039" max="1280" width="9.33203125" style="1048"/>
    <col min="1281" max="1281" width="14.33203125" style="1048" customWidth="1"/>
    <col min="1282" max="1282" width="121" style="1048" customWidth="1"/>
    <col min="1283" max="1283" width="37.6640625" style="1048" customWidth="1"/>
    <col min="1284" max="1285" width="35.83203125" style="1048" customWidth="1"/>
    <col min="1286" max="1286" width="14.33203125" style="1048" customWidth="1"/>
    <col min="1287" max="1287" width="121" style="1048" customWidth="1"/>
    <col min="1288" max="1288" width="37.1640625" style="1048" customWidth="1"/>
    <col min="1289" max="1290" width="35.83203125" style="1048" customWidth="1"/>
    <col min="1291" max="1292" width="18.1640625" style="1048" customWidth="1"/>
    <col min="1293" max="1293" width="15" style="1048" bestFit="1" customWidth="1"/>
    <col min="1294" max="1294" width="17.5" style="1048" customWidth="1"/>
    <col min="1295" max="1536" width="9.33203125" style="1048"/>
    <col min="1537" max="1537" width="14.33203125" style="1048" customWidth="1"/>
    <col min="1538" max="1538" width="121" style="1048" customWidth="1"/>
    <col min="1539" max="1539" width="37.6640625" style="1048" customWidth="1"/>
    <col min="1540" max="1541" width="35.83203125" style="1048" customWidth="1"/>
    <col min="1542" max="1542" width="14.33203125" style="1048" customWidth="1"/>
    <col min="1543" max="1543" width="121" style="1048" customWidth="1"/>
    <col min="1544" max="1544" width="37.1640625" style="1048" customWidth="1"/>
    <col min="1545" max="1546" width="35.83203125" style="1048" customWidth="1"/>
    <col min="1547" max="1548" width="18.1640625" style="1048" customWidth="1"/>
    <col min="1549" max="1549" width="15" style="1048" bestFit="1" customWidth="1"/>
    <col min="1550" max="1550" width="17.5" style="1048" customWidth="1"/>
    <col min="1551" max="1792" width="9.33203125" style="1048"/>
    <col min="1793" max="1793" width="14.33203125" style="1048" customWidth="1"/>
    <col min="1794" max="1794" width="121" style="1048" customWidth="1"/>
    <col min="1795" max="1795" width="37.6640625" style="1048" customWidth="1"/>
    <col min="1796" max="1797" width="35.83203125" style="1048" customWidth="1"/>
    <col min="1798" max="1798" width="14.33203125" style="1048" customWidth="1"/>
    <col min="1799" max="1799" width="121" style="1048" customWidth="1"/>
    <col min="1800" max="1800" width="37.1640625" style="1048" customWidth="1"/>
    <col min="1801" max="1802" width="35.83203125" style="1048" customWidth="1"/>
    <col min="1803" max="1804" width="18.1640625" style="1048" customWidth="1"/>
    <col min="1805" max="1805" width="15" style="1048" bestFit="1" customWidth="1"/>
    <col min="1806" max="1806" width="17.5" style="1048" customWidth="1"/>
    <col min="1807" max="2048" width="9.33203125" style="1048"/>
    <col min="2049" max="2049" width="14.33203125" style="1048" customWidth="1"/>
    <col min="2050" max="2050" width="121" style="1048" customWidth="1"/>
    <col min="2051" max="2051" width="37.6640625" style="1048" customWidth="1"/>
    <col min="2052" max="2053" width="35.83203125" style="1048" customWidth="1"/>
    <col min="2054" max="2054" width="14.33203125" style="1048" customWidth="1"/>
    <col min="2055" max="2055" width="121" style="1048" customWidth="1"/>
    <col min="2056" max="2056" width="37.1640625" style="1048" customWidth="1"/>
    <col min="2057" max="2058" width="35.83203125" style="1048" customWidth="1"/>
    <col min="2059" max="2060" width="18.1640625" style="1048" customWidth="1"/>
    <col min="2061" max="2061" width="15" style="1048" bestFit="1" customWidth="1"/>
    <col min="2062" max="2062" width="17.5" style="1048" customWidth="1"/>
    <col min="2063" max="2304" width="9.33203125" style="1048"/>
    <col min="2305" max="2305" width="14.33203125" style="1048" customWidth="1"/>
    <col min="2306" max="2306" width="121" style="1048" customWidth="1"/>
    <col min="2307" max="2307" width="37.6640625" style="1048" customWidth="1"/>
    <col min="2308" max="2309" width="35.83203125" style="1048" customWidth="1"/>
    <col min="2310" max="2310" width="14.33203125" style="1048" customWidth="1"/>
    <col min="2311" max="2311" width="121" style="1048" customWidth="1"/>
    <col min="2312" max="2312" width="37.1640625" style="1048" customWidth="1"/>
    <col min="2313" max="2314" width="35.83203125" style="1048" customWidth="1"/>
    <col min="2315" max="2316" width="18.1640625" style="1048" customWidth="1"/>
    <col min="2317" max="2317" width="15" style="1048" bestFit="1" customWidth="1"/>
    <col min="2318" max="2318" width="17.5" style="1048" customWidth="1"/>
    <col min="2319" max="2560" width="9.33203125" style="1048"/>
    <col min="2561" max="2561" width="14.33203125" style="1048" customWidth="1"/>
    <col min="2562" max="2562" width="121" style="1048" customWidth="1"/>
    <col min="2563" max="2563" width="37.6640625" style="1048" customWidth="1"/>
    <col min="2564" max="2565" width="35.83203125" style="1048" customWidth="1"/>
    <col min="2566" max="2566" width="14.33203125" style="1048" customWidth="1"/>
    <col min="2567" max="2567" width="121" style="1048" customWidth="1"/>
    <col min="2568" max="2568" width="37.1640625" style="1048" customWidth="1"/>
    <col min="2569" max="2570" width="35.83203125" style="1048" customWidth="1"/>
    <col min="2571" max="2572" width="18.1640625" style="1048" customWidth="1"/>
    <col min="2573" max="2573" width="15" style="1048" bestFit="1" customWidth="1"/>
    <col min="2574" max="2574" width="17.5" style="1048" customWidth="1"/>
    <col min="2575" max="2816" width="9.33203125" style="1048"/>
    <col min="2817" max="2817" width="14.33203125" style="1048" customWidth="1"/>
    <col min="2818" max="2818" width="121" style="1048" customWidth="1"/>
    <col min="2819" max="2819" width="37.6640625" style="1048" customWidth="1"/>
    <col min="2820" max="2821" width="35.83203125" style="1048" customWidth="1"/>
    <col min="2822" max="2822" width="14.33203125" style="1048" customWidth="1"/>
    <col min="2823" max="2823" width="121" style="1048" customWidth="1"/>
    <col min="2824" max="2824" width="37.1640625" style="1048" customWidth="1"/>
    <col min="2825" max="2826" width="35.83203125" style="1048" customWidth="1"/>
    <col min="2827" max="2828" width="18.1640625" style="1048" customWidth="1"/>
    <col min="2829" max="2829" width="15" style="1048" bestFit="1" customWidth="1"/>
    <col min="2830" max="2830" width="17.5" style="1048" customWidth="1"/>
    <col min="2831" max="3072" width="9.33203125" style="1048"/>
    <col min="3073" max="3073" width="14.33203125" style="1048" customWidth="1"/>
    <col min="3074" max="3074" width="121" style="1048" customWidth="1"/>
    <col min="3075" max="3075" width="37.6640625" style="1048" customWidth="1"/>
    <col min="3076" max="3077" width="35.83203125" style="1048" customWidth="1"/>
    <col min="3078" max="3078" width="14.33203125" style="1048" customWidth="1"/>
    <col min="3079" max="3079" width="121" style="1048" customWidth="1"/>
    <col min="3080" max="3080" width="37.1640625" style="1048" customWidth="1"/>
    <col min="3081" max="3082" width="35.83203125" style="1048" customWidth="1"/>
    <col min="3083" max="3084" width="18.1640625" style="1048" customWidth="1"/>
    <col min="3085" max="3085" width="15" style="1048" bestFit="1" customWidth="1"/>
    <col min="3086" max="3086" width="17.5" style="1048" customWidth="1"/>
    <col min="3087" max="3328" width="9.33203125" style="1048"/>
    <col min="3329" max="3329" width="14.33203125" style="1048" customWidth="1"/>
    <col min="3330" max="3330" width="121" style="1048" customWidth="1"/>
    <col min="3331" max="3331" width="37.6640625" style="1048" customWidth="1"/>
    <col min="3332" max="3333" width="35.83203125" style="1048" customWidth="1"/>
    <col min="3334" max="3334" width="14.33203125" style="1048" customWidth="1"/>
    <col min="3335" max="3335" width="121" style="1048" customWidth="1"/>
    <col min="3336" max="3336" width="37.1640625" style="1048" customWidth="1"/>
    <col min="3337" max="3338" width="35.83203125" style="1048" customWidth="1"/>
    <col min="3339" max="3340" width="18.1640625" style="1048" customWidth="1"/>
    <col min="3341" max="3341" width="15" style="1048" bestFit="1" customWidth="1"/>
    <col min="3342" max="3342" width="17.5" style="1048" customWidth="1"/>
    <col min="3343" max="3584" width="9.33203125" style="1048"/>
    <col min="3585" max="3585" width="14.33203125" style="1048" customWidth="1"/>
    <col min="3586" max="3586" width="121" style="1048" customWidth="1"/>
    <col min="3587" max="3587" width="37.6640625" style="1048" customWidth="1"/>
    <col min="3588" max="3589" width="35.83203125" style="1048" customWidth="1"/>
    <col min="3590" max="3590" width="14.33203125" style="1048" customWidth="1"/>
    <col min="3591" max="3591" width="121" style="1048" customWidth="1"/>
    <col min="3592" max="3592" width="37.1640625" style="1048" customWidth="1"/>
    <col min="3593" max="3594" width="35.83203125" style="1048" customWidth="1"/>
    <col min="3595" max="3596" width="18.1640625" style="1048" customWidth="1"/>
    <col min="3597" max="3597" width="15" style="1048" bestFit="1" customWidth="1"/>
    <col min="3598" max="3598" width="17.5" style="1048" customWidth="1"/>
    <col min="3599" max="3840" width="9.33203125" style="1048"/>
    <col min="3841" max="3841" width="14.33203125" style="1048" customWidth="1"/>
    <col min="3842" max="3842" width="121" style="1048" customWidth="1"/>
    <col min="3843" max="3843" width="37.6640625" style="1048" customWidth="1"/>
    <col min="3844" max="3845" width="35.83203125" style="1048" customWidth="1"/>
    <col min="3846" max="3846" width="14.33203125" style="1048" customWidth="1"/>
    <col min="3847" max="3847" width="121" style="1048" customWidth="1"/>
    <col min="3848" max="3848" width="37.1640625" style="1048" customWidth="1"/>
    <col min="3849" max="3850" width="35.83203125" style="1048" customWidth="1"/>
    <col min="3851" max="3852" width="18.1640625" style="1048" customWidth="1"/>
    <col min="3853" max="3853" width="15" style="1048" bestFit="1" customWidth="1"/>
    <col min="3854" max="3854" width="17.5" style="1048" customWidth="1"/>
    <col min="3855" max="4096" width="9.33203125" style="1048"/>
    <col min="4097" max="4097" width="14.33203125" style="1048" customWidth="1"/>
    <col min="4098" max="4098" width="121" style="1048" customWidth="1"/>
    <col min="4099" max="4099" width="37.6640625" style="1048" customWidth="1"/>
    <col min="4100" max="4101" width="35.83203125" style="1048" customWidth="1"/>
    <col min="4102" max="4102" width="14.33203125" style="1048" customWidth="1"/>
    <col min="4103" max="4103" width="121" style="1048" customWidth="1"/>
    <col min="4104" max="4104" width="37.1640625" style="1048" customWidth="1"/>
    <col min="4105" max="4106" width="35.83203125" style="1048" customWidth="1"/>
    <col min="4107" max="4108" width="18.1640625" style="1048" customWidth="1"/>
    <col min="4109" max="4109" width="15" style="1048" bestFit="1" customWidth="1"/>
    <col min="4110" max="4110" width="17.5" style="1048" customWidth="1"/>
    <col min="4111" max="4352" width="9.33203125" style="1048"/>
    <col min="4353" max="4353" width="14.33203125" style="1048" customWidth="1"/>
    <col min="4354" max="4354" width="121" style="1048" customWidth="1"/>
    <col min="4355" max="4355" width="37.6640625" style="1048" customWidth="1"/>
    <col min="4356" max="4357" width="35.83203125" style="1048" customWidth="1"/>
    <col min="4358" max="4358" width="14.33203125" style="1048" customWidth="1"/>
    <col min="4359" max="4359" width="121" style="1048" customWidth="1"/>
    <col min="4360" max="4360" width="37.1640625" style="1048" customWidth="1"/>
    <col min="4361" max="4362" width="35.83203125" style="1048" customWidth="1"/>
    <col min="4363" max="4364" width="18.1640625" style="1048" customWidth="1"/>
    <col min="4365" max="4365" width="15" style="1048" bestFit="1" customWidth="1"/>
    <col min="4366" max="4366" width="17.5" style="1048" customWidth="1"/>
    <col min="4367" max="4608" width="9.33203125" style="1048"/>
    <col min="4609" max="4609" width="14.33203125" style="1048" customWidth="1"/>
    <col min="4610" max="4610" width="121" style="1048" customWidth="1"/>
    <col min="4611" max="4611" width="37.6640625" style="1048" customWidth="1"/>
    <col min="4612" max="4613" width="35.83203125" style="1048" customWidth="1"/>
    <col min="4614" max="4614" width="14.33203125" style="1048" customWidth="1"/>
    <col min="4615" max="4615" width="121" style="1048" customWidth="1"/>
    <col min="4616" max="4616" width="37.1640625" style="1048" customWidth="1"/>
    <col min="4617" max="4618" width="35.83203125" style="1048" customWidth="1"/>
    <col min="4619" max="4620" width="18.1640625" style="1048" customWidth="1"/>
    <col min="4621" max="4621" width="15" style="1048" bestFit="1" customWidth="1"/>
    <col min="4622" max="4622" width="17.5" style="1048" customWidth="1"/>
    <col min="4623" max="4864" width="9.33203125" style="1048"/>
    <col min="4865" max="4865" width="14.33203125" style="1048" customWidth="1"/>
    <col min="4866" max="4866" width="121" style="1048" customWidth="1"/>
    <col min="4867" max="4867" width="37.6640625" style="1048" customWidth="1"/>
    <col min="4868" max="4869" width="35.83203125" style="1048" customWidth="1"/>
    <col min="4870" max="4870" width="14.33203125" style="1048" customWidth="1"/>
    <col min="4871" max="4871" width="121" style="1048" customWidth="1"/>
    <col min="4872" max="4872" width="37.1640625" style="1048" customWidth="1"/>
    <col min="4873" max="4874" width="35.83203125" style="1048" customWidth="1"/>
    <col min="4875" max="4876" width="18.1640625" style="1048" customWidth="1"/>
    <col min="4877" max="4877" width="15" style="1048" bestFit="1" customWidth="1"/>
    <col min="4878" max="4878" width="17.5" style="1048" customWidth="1"/>
    <col min="4879" max="5120" width="9.33203125" style="1048"/>
    <col min="5121" max="5121" width="14.33203125" style="1048" customWidth="1"/>
    <col min="5122" max="5122" width="121" style="1048" customWidth="1"/>
    <col min="5123" max="5123" width="37.6640625" style="1048" customWidth="1"/>
    <col min="5124" max="5125" width="35.83203125" style="1048" customWidth="1"/>
    <col min="5126" max="5126" width="14.33203125" style="1048" customWidth="1"/>
    <col min="5127" max="5127" width="121" style="1048" customWidth="1"/>
    <col min="5128" max="5128" width="37.1640625" style="1048" customWidth="1"/>
    <col min="5129" max="5130" width="35.83203125" style="1048" customWidth="1"/>
    <col min="5131" max="5132" width="18.1640625" style="1048" customWidth="1"/>
    <col min="5133" max="5133" width="15" style="1048" bestFit="1" customWidth="1"/>
    <col min="5134" max="5134" width="17.5" style="1048" customWidth="1"/>
    <col min="5135" max="5376" width="9.33203125" style="1048"/>
    <col min="5377" max="5377" width="14.33203125" style="1048" customWidth="1"/>
    <col min="5378" max="5378" width="121" style="1048" customWidth="1"/>
    <col min="5379" max="5379" width="37.6640625" style="1048" customWidth="1"/>
    <col min="5380" max="5381" width="35.83203125" style="1048" customWidth="1"/>
    <col min="5382" max="5382" width="14.33203125" style="1048" customWidth="1"/>
    <col min="5383" max="5383" width="121" style="1048" customWidth="1"/>
    <col min="5384" max="5384" width="37.1640625" style="1048" customWidth="1"/>
    <col min="5385" max="5386" width="35.83203125" style="1048" customWidth="1"/>
    <col min="5387" max="5388" width="18.1640625" style="1048" customWidth="1"/>
    <col min="5389" max="5389" width="15" style="1048" bestFit="1" customWidth="1"/>
    <col min="5390" max="5390" width="17.5" style="1048" customWidth="1"/>
    <col min="5391" max="5632" width="9.33203125" style="1048"/>
    <col min="5633" max="5633" width="14.33203125" style="1048" customWidth="1"/>
    <col min="5634" max="5634" width="121" style="1048" customWidth="1"/>
    <col min="5635" max="5635" width="37.6640625" style="1048" customWidth="1"/>
    <col min="5636" max="5637" width="35.83203125" style="1048" customWidth="1"/>
    <col min="5638" max="5638" width="14.33203125" style="1048" customWidth="1"/>
    <col min="5639" max="5639" width="121" style="1048" customWidth="1"/>
    <col min="5640" max="5640" width="37.1640625" style="1048" customWidth="1"/>
    <col min="5641" max="5642" width="35.83203125" style="1048" customWidth="1"/>
    <col min="5643" max="5644" width="18.1640625" style="1048" customWidth="1"/>
    <col min="5645" max="5645" width="15" style="1048" bestFit="1" customWidth="1"/>
    <col min="5646" max="5646" width="17.5" style="1048" customWidth="1"/>
    <col min="5647" max="5888" width="9.33203125" style="1048"/>
    <col min="5889" max="5889" width="14.33203125" style="1048" customWidth="1"/>
    <col min="5890" max="5890" width="121" style="1048" customWidth="1"/>
    <col min="5891" max="5891" width="37.6640625" style="1048" customWidth="1"/>
    <col min="5892" max="5893" width="35.83203125" style="1048" customWidth="1"/>
    <col min="5894" max="5894" width="14.33203125" style="1048" customWidth="1"/>
    <col min="5895" max="5895" width="121" style="1048" customWidth="1"/>
    <col min="5896" max="5896" width="37.1640625" style="1048" customWidth="1"/>
    <col min="5897" max="5898" width="35.83203125" style="1048" customWidth="1"/>
    <col min="5899" max="5900" width="18.1640625" style="1048" customWidth="1"/>
    <col min="5901" max="5901" width="15" style="1048" bestFit="1" customWidth="1"/>
    <col min="5902" max="5902" width="17.5" style="1048" customWidth="1"/>
    <col min="5903" max="6144" width="9.33203125" style="1048"/>
    <col min="6145" max="6145" width="14.33203125" style="1048" customWidth="1"/>
    <col min="6146" max="6146" width="121" style="1048" customWidth="1"/>
    <col min="6147" max="6147" width="37.6640625" style="1048" customWidth="1"/>
    <col min="6148" max="6149" width="35.83203125" style="1048" customWidth="1"/>
    <col min="6150" max="6150" width="14.33203125" style="1048" customWidth="1"/>
    <col min="6151" max="6151" width="121" style="1048" customWidth="1"/>
    <col min="6152" max="6152" width="37.1640625" style="1048" customWidth="1"/>
    <col min="6153" max="6154" width="35.83203125" style="1048" customWidth="1"/>
    <col min="6155" max="6156" width="18.1640625" style="1048" customWidth="1"/>
    <col min="6157" max="6157" width="15" style="1048" bestFit="1" customWidth="1"/>
    <col min="6158" max="6158" width="17.5" style="1048" customWidth="1"/>
    <col min="6159" max="6400" width="9.33203125" style="1048"/>
    <col min="6401" max="6401" width="14.33203125" style="1048" customWidth="1"/>
    <col min="6402" max="6402" width="121" style="1048" customWidth="1"/>
    <col min="6403" max="6403" width="37.6640625" style="1048" customWidth="1"/>
    <col min="6404" max="6405" width="35.83203125" style="1048" customWidth="1"/>
    <col min="6406" max="6406" width="14.33203125" style="1048" customWidth="1"/>
    <col min="6407" max="6407" width="121" style="1048" customWidth="1"/>
    <col min="6408" max="6408" width="37.1640625" style="1048" customWidth="1"/>
    <col min="6409" max="6410" width="35.83203125" style="1048" customWidth="1"/>
    <col min="6411" max="6412" width="18.1640625" style="1048" customWidth="1"/>
    <col min="6413" max="6413" width="15" style="1048" bestFit="1" customWidth="1"/>
    <col min="6414" max="6414" width="17.5" style="1048" customWidth="1"/>
    <col min="6415" max="6656" width="9.33203125" style="1048"/>
    <col min="6657" max="6657" width="14.33203125" style="1048" customWidth="1"/>
    <col min="6658" max="6658" width="121" style="1048" customWidth="1"/>
    <col min="6659" max="6659" width="37.6640625" style="1048" customWidth="1"/>
    <col min="6660" max="6661" width="35.83203125" style="1048" customWidth="1"/>
    <col min="6662" max="6662" width="14.33203125" style="1048" customWidth="1"/>
    <col min="6663" max="6663" width="121" style="1048" customWidth="1"/>
    <col min="6664" max="6664" width="37.1640625" style="1048" customWidth="1"/>
    <col min="6665" max="6666" width="35.83203125" style="1048" customWidth="1"/>
    <col min="6667" max="6668" width="18.1640625" style="1048" customWidth="1"/>
    <col min="6669" max="6669" width="15" style="1048" bestFit="1" customWidth="1"/>
    <col min="6670" max="6670" width="17.5" style="1048" customWidth="1"/>
    <col min="6671" max="6912" width="9.33203125" style="1048"/>
    <col min="6913" max="6913" width="14.33203125" style="1048" customWidth="1"/>
    <col min="6914" max="6914" width="121" style="1048" customWidth="1"/>
    <col min="6915" max="6915" width="37.6640625" style="1048" customWidth="1"/>
    <col min="6916" max="6917" width="35.83203125" style="1048" customWidth="1"/>
    <col min="6918" max="6918" width="14.33203125" style="1048" customWidth="1"/>
    <col min="6919" max="6919" width="121" style="1048" customWidth="1"/>
    <col min="6920" max="6920" width="37.1640625" style="1048" customWidth="1"/>
    <col min="6921" max="6922" width="35.83203125" style="1048" customWidth="1"/>
    <col min="6923" max="6924" width="18.1640625" style="1048" customWidth="1"/>
    <col min="6925" max="6925" width="15" style="1048" bestFit="1" customWidth="1"/>
    <col min="6926" max="6926" width="17.5" style="1048" customWidth="1"/>
    <col min="6927" max="7168" width="9.33203125" style="1048"/>
    <col min="7169" max="7169" width="14.33203125" style="1048" customWidth="1"/>
    <col min="7170" max="7170" width="121" style="1048" customWidth="1"/>
    <col min="7171" max="7171" width="37.6640625" style="1048" customWidth="1"/>
    <col min="7172" max="7173" width="35.83203125" style="1048" customWidth="1"/>
    <col min="7174" max="7174" width="14.33203125" style="1048" customWidth="1"/>
    <col min="7175" max="7175" width="121" style="1048" customWidth="1"/>
    <col min="7176" max="7176" width="37.1640625" style="1048" customWidth="1"/>
    <col min="7177" max="7178" width="35.83203125" style="1048" customWidth="1"/>
    <col min="7179" max="7180" width="18.1640625" style="1048" customWidth="1"/>
    <col min="7181" max="7181" width="15" style="1048" bestFit="1" customWidth="1"/>
    <col min="7182" max="7182" width="17.5" style="1048" customWidth="1"/>
    <col min="7183" max="7424" width="9.33203125" style="1048"/>
    <col min="7425" max="7425" width="14.33203125" style="1048" customWidth="1"/>
    <col min="7426" max="7426" width="121" style="1048" customWidth="1"/>
    <col min="7427" max="7427" width="37.6640625" style="1048" customWidth="1"/>
    <col min="7428" max="7429" width="35.83203125" style="1048" customWidth="1"/>
    <col min="7430" max="7430" width="14.33203125" style="1048" customWidth="1"/>
    <col min="7431" max="7431" width="121" style="1048" customWidth="1"/>
    <col min="7432" max="7432" width="37.1640625" style="1048" customWidth="1"/>
    <col min="7433" max="7434" width="35.83203125" style="1048" customWidth="1"/>
    <col min="7435" max="7436" width="18.1640625" style="1048" customWidth="1"/>
    <col min="7437" max="7437" width="15" style="1048" bestFit="1" customWidth="1"/>
    <col min="7438" max="7438" width="17.5" style="1048" customWidth="1"/>
    <col min="7439" max="7680" width="9.33203125" style="1048"/>
    <col min="7681" max="7681" width="14.33203125" style="1048" customWidth="1"/>
    <col min="7682" max="7682" width="121" style="1048" customWidth="1"/>
    <col min="7683" max="7683" width="37.6640625" style="1048" customWidth="1"/>
    <col min="7684" max="7685" width="35.83203125" style="1048" customWidth="1"/>
    <col min="7686" max="7686" width="14.33203125" style="1048" customWidth="1"/>
    <col min="7687" max="7687" width="121" style="1048" customWidth="1"/>
    <col min="7688" max="7688" width="37.1640625" style="1048" customWidth="1"/>
    <col min="7689" max="7690" width="35.83203125" style="1048" customWidth="1"/>
    <col min="7691" max="7692" width="18.1640625" style="1048" customWidth="1"/>
    <col min="7693" max="7693" width="15" style="1048" bestFit="1" customWidth="1"/>
    <col min="7694" max="7694" width="17.5" style="1048" customWidth="1"/>
    <col min="7695" max="7936" width="9.33203125" style="1048"/>
    <col min="7937" max="7937" width="14.33203125" style="1048" customWidth="1"/>
    <col min="7938" max="7938" width="121" style="1048" customWidth="1"/>
    <col min="7939" max="7939" width="37.6640625" style="1048" customWidth="1"/>
    <col min="7940" max="7941" width="35.83203125" style="1048" customWidth="1"/>
    <col min="7942" max="7942" width="14.33203125" style="1048" customWidth="1"/>
    <col min="7943" max="7943" width="121" style="1048" customWidth="1"/>
    <col min="7944" max="7944" width="37.1640625" style="1048" customWidth="1"/>
    <col min="7945" max="7946" width="35.83203125" style="1048" customWidth="1"/>
    <col min="7947" max="7948" width="18.1640625" style="1048" customWidth="1"/>
    <col min="7949" max="7949" width="15" style="1048" bestFit="1" customWidth="1"/>
    <col min="7950" max="7950" width="17.5" style="1048" customWidth="1"/>
    <col min="7951" max="8192" width="9.33203125" style="1048"/>
    <col min="8193" max="8193" width="14.33203125" style="1048" customWidth="1"/>
    <col min="8194" max="8194" width="121" style="1048" customWidth="1"/>
    <col min="8195" max="8195" width="37.6640625" style="1048" customWidth="1"/>
    <col min="8196" max="8197" width="35.83203125" style="1048" customWidth="1"/>
    <col min="8198" max="8198" width="14.33203125" style="1048" customWidth="1"/>
    <col min="8199" max="8199" width="121" style="1048" customWidth="1"/>
    <col min="8200" max="8200" width="37.1640625" style="1048" customWidth="1"/>
    <col min="8201" max="8202" width="35.83203125" style="1048" customWidth="1"/>
    <col min="8203" max="8204" width="18.1640625" style="1048" customWidth="1"/>
    <col min="8205" max="8205" width="15" style="1048" bestFit="1" customWidth="1"/>
    <col min="8206" max="8206" width="17.5" style="1048" customWidth="1"/>
    <col min="8207" max="8448" width="9.33203125" style="1048"/>
    <col min="8449" max="8449" width="14.33203125" style="1048" customWidth="1"/>
    <col min="8450" max="8450" width="121" style="1048" customWidth="1"/>
    <col min="8451" max="8451" width="37.6640625" style="1048" customWidth="1"/>
    <col min="8452" max="8453" width="35.83203125" style="1048" customWidth="1"/>
    <col min="8454" max="8454" width="14.33203125" style="1048" customWidth="1"/>
    <col min="8455" max="8455" width="121" style="1048" customWidth="1"/>
    <col min="8456" max="8456" width="37.1640625" style="1048" customWidth="1"/>
    <col min="8457" max="8458" width="35.83203125" style="1048" customWidth="1"/>
    <col min="8459" max="8460" width="18.1640625" style="1048" customWidth="1"/>
    <col min="8461" max="8461" width="15" style="1048" bestFit="1" customWidth="1"/>
    <col min="8462" max="8462" width="17.5" style="1048" customWidth="1"/>
    <col min="8463" max="8704" width="9.33203125" style="1048"/>
    <col min="8705" max="8705" width="14.33203125" style="1048" customWidth="1"/>
    <col min="8706" max="8706" width="121" style="1048" customWidth="1"/>
    <col min="8707" max="8707" width="37.6640625" style="1048" customWidth="1"/>
    <col min="8708" max="8709" width="35.83203125" style="1048" customWidth="1"/>
    <col min="8710" max="8710" width="14.33203125" style="1048" customWidth="1"/>
    <col min="8711" max="8711" width="121" style="1048" customWidth="1"/>
    <col min="8712" max="8712" width="37.1640625" style="1048" customWidth="1"/>
    <col min="8713" max="8714" width="35.83203125" style="1048" customWidth="1"/>
    <col min="8715" max="8716" width="18.1640625" style="1048" customWidth="1"/>
    <col min="8717" max="8717" width="15" style="1048" bestFit="1" customWidth="1"/>
    <col min="8718" max="8718" width="17.5" style="1048" customWidth="1"/>
    <col min="8719" max="8960" width="9.33203125" style="1048"/>
    <col min="8961" max="8961" width="14.33203125" style="1048" customWidth="1"/>
    <col min="8962" max="8962" width="121" style="1048" customWidth="1"/>
    <col min="8963" max="8963" width="37.6640625" style="1048" customWidth="1"/>
    <col min="8964" max="8965" width="35.83203125" style="1048" customWidth="1"/>
    <col min="8966" max="8966" width="14.33203125" style="1048" customWidth="1"/>
    <col min="8967" max="8967" width="121" style="1048" customWidth="1"/>
    <col min="8968" max="8968" width="37.1640625" style="1048" customWidth="1"/>
    <col min="8969" max="8970" width="35.83203125" style="1048" customWidth="1"/>
    <col min="8971" max="8972" width="18.1640625" style="1048" customWidth="1"/>
    <col min="8973" max="8973" width="15" style="1048" bestFit="1" customWidth="1"/>
    <col min="8974" max="8974" width="17.5" style="1048" customWidth="1"/>
    <col min="8975" max="9216" width="9.33203125" style="1048"/>
    <col min="9217" max="9217" width="14.33203125" style="1048" customWidth="1"/>
    <col min="9218" max="9218" width="121" style="1048" customWidth="1"/>
    <col min="9219" max="9219" width="37.6640625" style="1048" customWidth="1"/>
    <col min="9220" max="9221" width="35.83203125" style="1048" customWidth="1"/>
    <col min="9222" max="9222" width="14.33203125" style="1048" customWidth="1"/>
    <col min="9223" max="9223" width="121" style="1048" customWidth="1"/>
    <col min="9224" max="9224" width="37.1640625" style="1048" customWidth="1"/>
    <col min="9225" max="9226" width="35.83203125" style="1048" customWidth="1"/>
    <col min="9227" max="9228" width="18.1640625" style="1048" customWidth="1"/>
    <col min="9229" max="9229" width="15" style="1048" bestFit="1" customWidth="1"/>
    <col min="9230" max="9230" width="17.5" style="1048" customWidth="1"/>
    <col min="9231" max="9472" width="9.33203125" style="1048"/>
    <col min="9473" max="9473" width="14.33203125" style="1048" customWidth="1"/>
    <col min="9474" max="9474" width="121" style="1048" customWidth="1"/>
    <col min="9475" max="9475" width="37.6640625" style="1048" customWidth="1"/>
    <col min="9476" max="9477" width="35.83203125" style="1048" customWidth="1"/>
    <col min="9478" max="9478" width="14.33203125" style="1048" customWidth="1"/>
    <col min="9479" max="9479" width="121" style="1048" customWidth="1"/>
    <col min="9480" max="9480" width="37.1640625" style="1048" customWidth="1"/>
    <col min="9481" max="9482" width="35.83203125" style="1048" customWidth="1"/>
    <col min="9483" max="9484" width="18.1640625" style="1048" customWidth="1"/>
    <col min="9485" max="9485" width="15" style="1048" bestFit="1" customWidth="1"/>
    <col min="9486" max="9486" width="17.5" style="1048" customWidth="1"/>
    <col min="9487" max="9728" width="9.33203125" style="1048"/>
    <col min="9729" max="9729" width="14.33203125" style="1048" customWidth="1"/>
    <col min="9730" max="9730" width="121" style="1048" customWidth="1"/>
    <col min="9731" max="9731" width="37.6640625" style="1048" customWidth="1"/>
    <col min="9732" max="9733" width="35.83203125" style="1048" customWidth="1"/>
    <col min="9734" max="9734" width="14.33203125" style="1048" customWidth="1"/>
    <col min="9735" max="9735" width="121" style="1048" customWidth="1"/>
    <col min="9736" max="9736" width="37.1640625" style="1048" customWidth="1"/>
    <col min="9737" max="9738" width="35.83203125" style="1048" customWidth="1"/>
    <col min="9739" max="9740" width="18.1640625" style="1048" customWidth="1"/>
    <col min="9741" max="9741" width="15" style="1048" bestFit="1" customWidth="1"/>
    <col min="9742" max="9742" width="17.5" style="1048" customWidth="1"/>
    <col min="9743" max="9984" width="9.33203125" style="1048"/>
    <col min="9985" max="9985" width="14.33203125" style="1048" customWidth="1"/>
    <col min="9986" max="9986" width="121" style="1048" customWidth="1"/>
    <col min="9987" max="9987" width="37.6640625" style="1048" customWidth="1"/>
    <col min="9988" max="9989" width="35.83203125" style="1048" customWidth="1"/>
    <col min="9990" max="9990" width="14.33203125" style="1048" customWidth="1"/>
    <col min="9991" max="9991" width="121" style="1048" customWidth="1"/>
    <col min="9992" max="9992" width="37.1640625" style="1048" customWidth="1"/>
    <col min="9993" max="9994" width="35.83203125" style="1048" customWidth="1"/>
    <col min="9995" max="9996" width="18.1640625" style="1048" customWidth="1"/>
    <col min="9997" max="9997" width="15" style="1048" bestFit="1" customWidth="1"/>
    <col min="9998" max="9998" width="17.5" style="1048" customWidth="1"/>
    <col min="9999" max="10240" width="9.33203125" style="1048"/>
    <col min="10241" max="10241" width="14.33203125" style="1048" customWidth="1"/>
    <col min="10242" max="10242" width="121" style="1048" customWidth="1"/>
    <col min="10243" max="10243" width="37.6640625" style="1048" customWidth="1"/>
    <col min="10244" max="10245" width="35.83203125" style="1048" customWidth="1"/>
    <col min="10246" max="10246" width="14.33203125" style="1048" customWidth="1"/>
    <col min="10247" max="10247" width="121" style="1048" customWidth="1"/>
    <col min="10248" max="10248" width="37.1640625" style="1048" customWidth="1"/>
    <col min="10249" max="10250" width="35.83203125" style="1048" customWidth="1"/>
    <col min="10251" max="10252" width="18.1640625" style="1048" customWidth="1"/>
    <col min="10253" max="10253" width="15" style="1048" bestFit="1" customWidth="1"/>
    <col min="10254" max="10254" width="17.5" style="1048" customWidth="1"/>
    <col min="10255" max="10496" width="9.33203125" style="1048"/>
    <col min="10497" max="10497" width="14.33203125" style="1048" customWidth="1"/>
    <col min="10498" max="10498" width="121" style="1048" customWidth="1"/>
    <col min="10499" max="10499" width="37.6640625" style="1048" customWidth="1"/>
    <col min="10500" max="10501" width="35.83203125" style="1048" customWidth="1"/>
    <col min="10502" max="10502" width="14.33203125" style="1048" customWidth="1"/>
    <col min="10503" max="10503" width="121" style="1048" customWidth="1"/>
    <col min="10504" max="10504" width="37.1640625" style="1048" customWidth="1"/>
    <col min="10505" max="10506" width="35.83203125" style="1048" customWidth="1"/>
    <col min="10507" max="10508" width="18.1640625" style="1048" customWidth="1"/>
    <col min="10509" max="10509" width="15" style="1048" bestFit="1" customWidth="1"/>
    <col min="10510" max="10510" width="17.5" style="1048" customWidth="1"/>
    <col min="10511" max="10752" width="9.33203125" style="1048"/>
    <col min="10753" max="10753" width="14.33203125" style="1048" customWidth="1"/>
    <col min="10754" max="10754" width="121" style="1048" customWidth="1"/>
    <col min="10755" max="10755" width="37.6640625" style="1048" customWidth="1"/>
    <col min="10756" max="10757" width="35.83203125" style="1048" customWidth="1"/>
    <col min="10758" max="10758" width="14.33203125" style="1048" customWidth="1"/>
    <col min="10759" max="10759" width="121" style="1048" customWidth="1"/>
    <col min="10760" max="10760" width="37.1640625" style="1048" customWidth="1"/>
    <col min="10761" max="10762" width="35.83203125" style="1048" customWidth="1"/>
    <col min="10763" max="10764" width="18.1640625" style="1048" customWidth="1"/>
    <col min="10765" max="10765" width="15" style="1048" bestFit="1" customWidth="1"/>
    <col min="10766" max="10766" width="17.5" style="1048" customWidth="1"/>
    <col min="10767" max="11008" width="9.33203125" style="1048"/>
    <col min="11009" max="11009" width="14.33203125" style="1048" customWidth="1"/>
    <col min="11010" max="11010" width="121" style="1048" customWidth="1"/>
    <col min="11011" max="11011" width="37.6640625" style="1048" customWidth="1"/>
    <col min="11012" max="11013" width="35.83203125" style="1048" customWidth="1"/>
    <col min="11014" max="11014" width="14.33203125" style="1048" customWidth="1"/>
    <col min="11015" max="11015" width="121" style="1048" customWidth="1"/>
    <col min="11016" max="11016" width="37.1640625" style="1048" customWidth="1"/>
    <col min="11017" max="11018" width="35.83203125" style="1048" customWidth="1"/>
    <col min="11019" max="11020" width="18.1640625" style="1048" customWidth="1"/>
    <col min="11021" max="11021" width="15" style="1048" bestFit="1" customWidth="1"/>
    <col min="11022" max="11022" width="17.5" style="1048" customWidth="1"/>
    <col min="11023" max="11264" width="9.33203125" style="1048"/>
    <col min="11265" max="11265" width="14.33203125" style="1048" customWidth="1"/>
    <col min="11266" max="11266" width="121" style="1048" customWidth="1"/>
    <col min="11267" max="11267" width="37.6640625" style="1048" customWidth="1"/>
    <col min="11268" max="11269" width="35.83203125" style="1048" customWidth="1"/>
    <col min="11270" max="11270" width="14.33203125" style="1048" customWidth="1"/>
    <col min="11271" max="11271" width="121" style="1048" customWidth="1"/>
    <col min="11272" max="11272" width="37.1640625" style="1048" customWidth="1"/>
    <col min="11273" max="11274" width="35.83203125" style="1048" customWidth="1"/>
    <col min="11275" max="11276" width="18.1640625" style="1048" customWidth="1"/>
    <col min="11277" max="11277" width="15" style="1048" bestFit="1" customWidth="1"/>
    <col min="11278" max="11278" width="17.5" style="1048" customWidth="1"/>
    <col min="11279" max="11520" width="9.33203125" style="1048"/>
    <col min="11521" max="11521" width="14.33203125" style="1048" customWidth="1"/>
    <col min="11522" max="11522" width="121" style="1048" customWidth="1"/>
    <col min="11523" max="11523" width="37.6640625" style="1048" customWidth="1"/>
    <col min="11524" max="11525" width="35.83203125" style="1048" customWidth="1"/>
    <col min="11526" max="11526" width="14.33203125" style="1048" customWidth="1"/>
    <col min="11527" max="11527" width="121" style="1048" customWidth="1"/>
    <col min="11528" max="11528" width="37.1640625" style="1048" customWidth="1"/>
    <col min="11529" max="11530" width="35.83203125" style="1048" customWidth="1"/>
    <col min="11531" max="11532" width="18.1640625" style="1048" customWidth="1"/>
    <col min="11533" max="11533" width="15" style="1048" bestFit="1" customWidth="1"/>
    <col min="11534" max="11534" width="17.5" style="1048" customWidth="1"/>
    <col min="11535" max="11776" width="9.33203125" style="1048"/>
    <col min="11777" max="11777" width="14.33203125" style="1048" customWidth="1"/>
    <col min="11778" max="11778" width="121" style="1048" customWidth="1"/>
    <col min="11779" max="11779" width="37.6640625" style="1048" customWidth="1"/>
    <col min="11780" max="11781" width="35.83203125" style="1048" customWidth="1"/>
    <col min="11782" max="11782" width="14.33203125" style="1048" customWidth="1"/>
    <col min="11783" max="11783" width="121" style="1048" customWidth="1"/>
    <col min="11784" max="11784" width="37.1640625" style="1048" customWidth="1"/>
    <col min="11785" max="11786" width="35.83203125" style="1048" customWidth="1"/>
    <col min="11787" max="11788" width="18.1640625" style="1048" customWidth="1"/>
    <col min="11789" max="11789" width="15" style="1048" bestFit="1" customWidth="1"/>
    <col min="11790" max="11790" width="17.5" style="1048" customWidth="1"/>
    <col min="11791" max="12032" width="9.33203125" style="1048"/>
    <col min="12033" max="12033" width="14.33203125" style="1048" customWidth="1"/>
    <col min="12034" max="12034" width="121" style="1048" customWidth="1"/>
    <col min="12035" max="12035" width="37.6640625" style="1048" customWidth="1"/>
    <col min="12036" max="12037" width="35.83203125" style="1048" customWidth="1"/>
    <col min="12038" max="12038" width="14.33203125" style="1048" customWidth="1"/>
    <col min="12039" max="12039" width="121" style="1048" customWidth="1"/>
    <col min="12040" max="12040" width="37.1640625" style="1048" customWidth="1"/>
    <col min="12041" max="12042" width="35.83203125" style="1048" customWidth="1"/>
    <col min="12043" max="12044" width="18.1640625" style="1048" customWidth="1"/>
    <col min="12045" max="12045" width="15" style="1048" bestFit="1" customWidth="1"/>
    <col min="12046" max="12046" width="17.5" style="1048" customWidth="1"/>
    <col min="12047" max="12288" width="9.33203125" style="1048"/>
    <col min="12289" max="12289" width="14.33203125" style="1048" customWidth="1"/>
    <col min="12290" max="12290" width="121" style="1048" customWidth="1"/>
    <col min="12291" max="12291" width="37.6640625" style="1048" customWidth="1"/>
    <col min="12292" max="12293" width="35.83203125" style="1048" customWidth="1"/>
    <col min="12294" max="12294" width="14.33203125" style="1048" customWidth="1"/>
    <col min="12295" max="12295" width="121" style="1048" customWidth="1"/>
    <col min="12296" max="12296" width="37.1640625" style="1048" customWidth="1"/>
    <col min="12297" max="12298" width="35.83203125" style="1048" customWidth="1"/>
    <col min="12299" max="12300" width="18.1640625" style="1048" customWidth="1"/>
    <col min="12301" max="12301" width="15" style="1048" bestFit="1" customWidth="1"/>
    <col min="12302" max="12302" width="17.5" style="1048" customWidth="1"/>
    <col min="12303" max="12544" width="9.33203125" style="1048"/>
    <col min="12545" max="12545" width="14.33203125" style="1048" customWidth="1"/>
    <col min="12546" max="12546" width="121" style="1048" customWidth="1"/>
    <col min="12547" max="12547" width="37.6640625" style="1048" customWidth="1"/>
    <col min="12548" max="12549" width="35.83203125" style="1048" customWidth="1"/>
    <col min="12550" max="12550" width="14.33203125" style="1048" customWidth="1"/>
    <col min="12551" max="12551" width="121" style="1048" customWidth="1"/>
    <col min="12552" max="12552" width="37.1640625" style="1048" customWidth="1"/>
    <col min="12553" max="12554" width="35.83203125" style="1048" customWidth="1"/>
    <col min="12555" max="12556" width="18.1640625" style="1048" customWidth="1"/>
    <col min="12557" max="12557" width="15" style="1048" bestFit="1" customWidth="1"/>
    <col min="12558" max="12558" width="17.5" style="1048" customWidth="1"/>
    <col min="12559" max="12800" width="9.33203125" style="1048"/>
    <col min="12801" max="12801" width="14.33203125" style="1048" customWidth="1"/>
    <col min="12802" max="12802" width="121" style="1048" customWidth="1"/>
    <col min="12803" max="12803" width="37.6640625" style="1048" customWidth="1"/>
    <col min="12804" max="12805" width="35.83203125" style="1048" customWidth="1"/>
    <col min="12806" max="12806" width="14.33203125" style="1048" customWidth="1"/>
    <col min="12807" max="12807" width="121" style="1048" customWidth="1"/>
    <col min="12808" max="12808" width="37.1640625" style="1048" customWidth="1"/>
    <col min="12809" max="12810" width="35.83203125" style="1048" customWidth="1"/>
    <col min="12811" max="12812" width="18.1640625" style="1048" customWidth="1"/>
    <col min="12813" max="12813" width="15" style="1048" bestFit="1" customWidth="1"/>
    <col min="12814" max="12814" width="17.5" style="1048" customWidth="1"/>
    <col min="12815" max="13056" width="9.33203125" style="1048"/>
    <col min="13057" max="13057" width="14.33203125" style="1048" customWidth="1"/>
    <col min="13058" max="13058" width="121" style="1048" customWidth="1"/>
    <col min="13059" max="13059" width="37.6640625" style="1048" customWidth="1"/>
    <col min="13060" max="13061" width="35.83203125" style="1048" customWidth="1"/>
    <col min="13062" max="13062" width="14.33203125" style="1048" customWidth="1"/>
    <col min="13063" max="13063" width="121" style="1048" customWidth="1"/>
    <col min="13064" max="13064" width="37.1640625" style="1048" customWidth="1"/>
    <col min="13065" max="13066" width="35.83203125" style="1048" customWidth="1"/>
    <col min="13067" max="13068" width="18.1640625" style="1048" customWidth="1"/>
    <col min="13069" max="13069" width="15" style="1048" bestFit="1" customWidth="1"/>
    <col min="13070" max="13070" width="17.5" style="1048" customWidth="1"/>
    <col min="13071" max="13312" width="9.33203125" style="1048"/>
    <col min="13313" max="13313" width="14.33203125" style="1048" customWidth="1"/>
    <col min="13314" max="13314" width="121" style="1048" customWidth="1"/>
    <col min="13315" max="13315" width="37.6640625" style="1048" customWidth="1"/>
    <col min="13316" max="13317" width="35.83203125" style="1048" customWidth="1"/>
    <col min="13318" max="13318" width="14.33203125" style="1048" customWidth="1"/>
    <col min="13319" max="13319" width="121" style="1048" customWidth="1"/>
    <col min="13320" max="13320" width="37.1640625" style="1048" customWidth="1"/>
    <col min="13321" max="13322" width="35.83203125" style="1048" customWidth="1"/>
    <col min="13323" max="13324" width="18.1640625" style="1048" customWidth="1"/>
    <col min="13325" max="13325" width="15" style="1048" bestFit="1" customWidth="1"/>
    <col min="13326" max="13326" width="17.5" style="1048" customWidth="1"/>
    <col min="13327" max="13568" width="9.33203125" style="1048"/>
    <col min="13569" max="13569" width="14.33203125" style="1048" customWidth="1"/>
    <col min="13570" max="13570" width="121" style="1048" customWidth="1"/>
    <col min="13571" max="13571" width="37.6640625" style="1048" customWidth="1"/>
    <col min="13572" max="13573" width="35.83203125" style="1048" customWidth="1"/>
    <col min="13574" max="13574" width="14.33203125" style="1048" customWidth="1"/>
    <col min="13575" max="13575" width="121" style="1048" customWidth="1"/>
    <col min="13576" max="13576" width="37.1640625" style="1048" customWidth="1"/>
    <col min="13577" max="13578" width="35.83203125" style="1048" customWidth="1"/>
    <col min="13579" max="13580" width="18.1640625" style="1048" customWidth="1"/>
    <col min="13581" max="13581" width="15" style="1048" bestFit="1" customWidth="1"/>
    <col min="13582" max="13582" width="17.5" style="1048" customWidth="1"/>
    <col min="13583" max="13824" width="9.33203125" style="1048"/>
    <col min="13825" max="13825" width="14.33203125" style="1048" customWidth="1"/>
    <col min="13826" max="13826" width="121" style="1048" customWidth="1"/>
    <col min="13827" max="13827" width="37.6640625" style="1048" customWidth="1"/>
    <col min="13828" max="13829" width="35.83203125" style="1048" customWidth="1"/>
    <col min="13830" max="13830" width="14.33203125" style="1048" customWidth="1"/>
    <col min="13831" max="13831" width="121" style="1048" customWidth="1"/>
    <col min="13832" max="13832" width="37.1640625" style="1048" customWidth="1"/>
    <col min="13833" max="13834" width="35.83203125" style="1048" customWidth="1"/>
    <col min="13835" max="13836" width="18.1640625" style="1048" customWidth="1"/>
    <col min="13837" max="13837" width="15" style="1048" bestFit="1" customWidth="1"/>
    <col min="13838" max="13838" width="17.5" style="1048" customWidth="1"/>
    <col min="13839" max="14080" width="9.33203125" style="1048"/>
    <col min="14081" max="14081" width="14.33203125" style="1048" customWidth="1"/>
    <col min="14082" max="14082" width="121" style="1048" customWidth="1"/>
    <col min="14083" max="14083" width="37.6640625" style="1048" customWidth="1"/>
    <col min="14084" max="14085" width="35.83203125" style="1048" customWidth="1"/>
    <col min="14086" max="14086" width="14.33203125" style="1048" customWidth="1"/>
    <col min="14087" max="14087" width="121" style="1048" customWidth="1"/>
    <col min="14088" max="14088" width="37.1640625" style="1048" customWidth="1"/>
    <col min="14089" max="14090" width="35.83203125" style="1048" customWidth="1"/>
    <col min="14091" max="14092" width="18.1640625" style="1048" customWidth="1"/>
    <col min="14093" max="14093" width="15" style="1048" bestFit="1" customWidth="1"/>
    <col min="14094" max="14094" width="17.5" style="1048" customWidth="1"/>
    <col min="14095" max="14336" width="9.33203125" style="1048"/>
    <col min="14337" max="14337" width="14.33203125" style="1048" customWidth="1"/>
    <col min="14338" max="14338" width="121" style="1048" customWidth="1"/>
    <col min="14339" max="14339" width="37.6640625" style="1048" customWidth="1"/>
    <col min="14340" max="14341" width="35.83203125" style="1048" customWidth="1"/>
    <col min="14342" max="14342" width="14.33203125" style="1048" customWidth="1"/>
    <col min="14343" max="14343" width="121" style="1048" customWidth="1"/>
    <col min="14344" max="14344" width="37.1640625" style="1048" customWidth="1"/>
    <col min="14345" max="14346" width="35.83203125" style="1048" customWidth="1"/>
    <col min="14347" max="14348" width="18.1640625" style="1048" customWidth="1"/>
    <col min="14349" max="14349" width="15" style="1048" bestFit="1" customWidth="1"/>
    <col min="14350" max="14350" width="17.5" style="1048" customWidth="1"/>
    <col min="14351" max="14592" width="9.33203125" style="1048"/>
    <col min="14593" max="14593" width="14.33203125" style="1048" customWidth="1"/>
    <col min="14594" max="14594" width="121" style="1048" customWidth="1"/>
    <col min="14595" max="14595" width="37.6640625" style="1048" customWidth="1"/>
    <col min="14596" max="14597" width="35.83203125" style="1048" customWidth="1"/>
    <col min="14598" max="14598" width="14.33203125" style="1048" customWidth="1"/>
    <col min="14599" max="14599" width="121" style="1048" customWidth="1"/>
    <col min="14600" max="14600" width="37.1640625" style="1048" customWidth="1"/>
    <col min="14601" max="14602" width="35.83203125" style="1048" customWidth="1"/>
    <col min="14603" max="14604" width="18.1640625" style="1048" customWidth="1"/>
    <col min="14605" max="14605" width="15" style="1048" bestFit="1" customWidth="1"/>
    <col min="14606" max="14606" width="17.5" style="1048" customWidth="1"/>
    <col min="14607" max="14848" width="9.33203125" style="1048"/>
    <col min="14849" max="14849" width="14.33203125" style="1048" customWidth="1"/>
    <col min="14850" max="14850" width="121" style="1048" customWidth="1"/>
    <col min="14851" max="14851" width="37.6640625" style="1048" customWidth="1"/>
    <col min="14852" max="14853" width="35.83203125" style="1048" customWidth="1"/>
    <col min="14854" max="14854" width="14.33203125" style="1048" customWidth="1"/>
    <col min="14855" max="14855" width="121" style="1048" customWidth="1"/>
    <col min="14856" max="14856" width="37.1640625" style="1048" customWidth="1"/>
    <col min="14857" max="14858" width="35.83203125" style="1048" customWidth="1"/>
    <col min="14859" max="14860" width="18.1640625" style="1048" customWidth="1"/>
    <col min="14861" max="14861" width="15" style="1048" bestFit="1" customWidth="1"/>
    <col min="14862" max="14862" width="17.5" style="1048" customWidth="1"/>
    <col min="14863" max="15104" width="9.33203125" style="1048"/>
    <col min="15105" max="15105" width="14.33203125" style="1048" customWidth="1"/>
    <col min="15106" max="15106" width="121" style="1048" customWidth="1"/>
    <col min="15107" max="15107" width="37.6640625" style="1048" customWidth="1"/>
    <col min="15108" max="15109" width="35.83203125" style="1048" customWidth="1"/>
    <col min="15110" max="15110" width="14.33203125" style="1048" customWidth="1"/>
    <col min="15111" max="15111" width="121" style="1048" customWidth="1"/>
    <col min="15112" max="15112" width="37.1640625" style="1048" customWidth="1"/>
    <col min="15113" max="15114" width="35.83203125" style="1048" customWidth="1"/>
    <col min="15115" max="15116" width="18.1640625" style="1048" customWidth="1"/>
    <col min="15117" max="15117" width="15" style="1048" bestFit="1" customWidth="1"/>
    <col min="15118" max="15118" width="17.5" style="1048" customWidth="1"/>
    <col min="15119" max="15360" width="9.33203125" style="1048"/>
    <col min="15361" max="15361" width="14.33203125" style="1048" customWidth="1"/>
    <col min="15362" max="15362" width="121" style="1048" customWidth="1"/>
    <col min="15363" max="15363" width="37.6640625" style="1048" customWidth="1"/>
    <col min="15364" max="15365" width="35.83203125" style="1048" customWidth="1"/>
    <col min="15366" max="15366" width="14.33203125" style="1048" customWidth="1"/>
    <col min="15367" max="15367" width="121" style="1048" customWidth="1"/>
    <col min="15368" max="15368" width="37.1640625" style="1048" customWidth="1"/>
    <col min="15369" max="15370" width="35.83203125" style="1048" customWidth="1"/>
    <col min="15371" max="15372" width="18.1640625" style="1048" customWidth="1"/>
    <col min="15373" max="15373" width="15" style="1048" bestFit="1" customWidth="1"/>
    <col min="15374" max="15374" width="17.5" style="1048" customWidth="1"/>
    <col min="15375" max="15616" width="9.33203125" style="1048"/>
    <col min="15617" max="15617" width="14.33203125" style="1048" customWidth="1"/>
    <col min="15618" max="15618" width="121" style="1048" customWidth="1"/>
    <col min="15619" max="15619" width="37.6640625" style="1048" customWidth="1"/>
    <col min="15620" max="15621" width="35.83203125" style="1048" customWidth="1"/>
    <col min="15622" max="15622" width="14.33203125" style="1048" customWidth="1"/>
    <col min="15623" max="15623" width="121" style="1048" customWidth="1"/>
    <col min="15624" max="15624" width="37.1640625" style="1048" customWidth="1"/>
    <col min="15625" max="15626" width="35.83203125" style="1048" customWidth="1"/>
    <col min="15627" max="15628" width="18.1640625" style="1048" customWidth="1"/>
    <col min="15629" max="15629" width="15" style="1048" bestFit="1" customWidth="1"/>
    <col min="15630" max="15630" width="17.5" style="1048" customWidth="1"/>
    <col min="15631" max="15872" width="9.33203125" style="1048"/>
    <col min="15873" max="15873" width="14.33203125" style="1048" customWidth="1"/>
    <col min="15874" max="15874" width="121" style="1048" customWidth="1"/>
    <col min="15875" max="15875" width="37.6640625" style="1048" customWidth="1"/>
    <col min="15876" max="15877" width="35.83203125" style="1048" customWidth="1"/>
    <col min="15878" max="15878" width="14.33203125" style="1048" customWidth="1"/>
    <col min="15879" max="15879" width="121" style="1048" customWidth="1"/>
    <col min="15880" max="15880" width="37.1640625" style="1048" customWidth="1"/>
    <col min="15881" max="15882" width="35.83203125" style="1048" customWidth="1"/>
    <col min="15883" max="15884" width="18.1640625" style="1048" customWidth="1"/>
    <col min="15885" max="15885" width="15" style="1048" bestFit="1" customWidth="1"/>
    <col min="15886" max="15886" width="17.5" style="1048" customWidth="1"/>
    <col min="15887" max="16128" width="9.33203125" style="1048"/>
    <col min="16129" max="16129" width="14.33203125" style="1048" customWidth="1"/>
    <col min="16130" max="16130" width="121" style="1048" customWidth="1"/>
    <col min="16131" max="16131" width="37.6640625" style="1048" customWidth="1"/>
    <col min="16132" max="16133" width="35.83203125" style="1048" customWidth="1"/>
    <col min="16134" max="16134" width="14.33203125" style="1048" customWidth="1"/>
    <col min="16135" max="16135" width="121" style="1048" customWidth="1"/>
    <col min="16136" max="16136" width="37.1640625" style="1048" customWidth="1"/>
    <col min="16137" max="16138" width="35.83203125" style="1048" customWidth="1"/>
    <col min="16139" max="16140" width="18.1640625" style="1048" customWidth="1"/>
    <col min="16141" max="16141" width="15" style="1048" bestFit="1" customWidth="1"/>
    <col min="16142" max="16142" width="17.5" style="1048" customWidth="1"/>
    <col min="16143" max="16384" width="9.33203125" style="1048"/>
  </cols>
  <sheetData>
    <row r="1" spans="1:36" s="1044" customFormat="1" ht="29.25" customHeight="1" x14ac:dyDescent="0.3">
      <c r="B1" s="2586" t="s">
        <v>722</v>
      </c>
      <c r="C1" s="2586"/>
      <c r="D1" s="2586"/>
      <c r="E1" s="2586"/>
      <c r="F1" s="462"/>
      <c r="G1" s="2586" t="s">
        <v>722</v>
      </c>
      <c r="H1" s="2586"/>
      <c r="I1" s="2586"/>
      <c r="J1" s="2586"/>
      <c r="K1" s="1045"/>
      <c r="L1" s="1045"/>
      <c r="M1" s="1045"/>
      <c r="N1" s="1045"/>
      <c r="O1" s="1045"/>
      <c r="P1" s="1046"/>
      <c r="Q1" s="1045"/>
      <c r="R1" s="1045"/>
      <c r="S1" s="1045"/>
      <c r="T1" s="1045"/>
      <c r="U1" s="1045"/>
      <c r="V1" s="1045"/>
      <c r="W1" s="1045"/>
      <c r="X1" s="1045"/>
      <c r="Y1" s="1045"/>
      <c r="Z1" s="1045"/>
      <c r="AA1" s="1045"/>
      <c r="AB1" s="1045"/>
      <c r="AC1" s="1045"/>
      <c r="AD1" s="1045"/>
      <c r="AE1" s="1045"/>
      <c r="AF1" s="1045"/>
      <c r="AG1" s="1045"/>
      <c r="AH1" s="1045"/>
      <c r="AI1" s="1045"/>
      <c r="AJ1" s="1045"/>
    </row>
    <row r="2" spans="1:36" s="1044" customFormat="1" ht="36" customHeight="1" x14ac:dyDescent="0.3">
      <c r="B2" s="2586" t="s">
        <v>774</v>
      </c>
      <c r="C2" s="2586"/>
      <c r="D2" s="2586"/>
      <c r="E2" s="2586"/>
      <c r="F2" s="462"/>
      <c r="G2" s="2586" t="s">
        <v>1256</v>
      </c>
      <c r="H2" s="2586"/>
      <c r="I2" s="2586"/>
      <c r="J2" s="2586"/>
      <c r="K2" s="1045"/>
      <c r="L2" s="1045"/>
      <c r="M2" s="1045"/>
      <c r="N2" s="1045"/>
      <c r="O2" s="1045"/>
      <c r="P2" s="1046"/>
      <c r="Q2" s="1045"/>
      <c r="R2" s="1045"/>
      <c r="S2" s="1045"/>
      <c r="T2" s="1045"/>
      <c r="U2" s="1045"/>
      <c r="V2" s="1045"/>
      <c r="W2" s="1045"/>
      <c r="X2" s="1045"/>
      <c r="Y2" s="1045"/>
      <c r="Z2" s="1045"/>
      <c r="AA2" s="1045"/>
      <c r="AB2" s="1045"/>
      <c r="AC2" s="1045"/>
      <c r="AD2" s="1045"/>
      <c r="AE2" s="1045"/>
      <c r="AF2" s="1045"/>
      <c r="AG2" s="1045"/>
      <c r="AH2" s="1045"/>
      <c r="AI2" s="1045"/>
      <c r="AJ2" s="1045"/>
    </row>
    <row r="3" spans="1:36" ht="16.5" thickBot="1" x14ac:dyDescent="0.3">
      <c r="A3" s="1047"/>
      <c r="J3" s="1050" t="s">
        <v>34</v>
      </c>
    </row>
    <row r="4" spans="1:36" s="1056" customFormat="1" ht="33.75" customHeight="1" x14ac:dyDescent="0.25">
      <c r="A4" s="1052"/>
      <c r="B4" s="1053" t="s">
        <v>723</v>
      </c>
      <c r="C4" s="1052" t="s">
        <v>724</v>
      </c>
      <c r="D4" s="1054" t="s">
        <v>725</v>
      </c>
      <c r="E4" s="1054" t="s">
        <v>679</v>
      </c>
      <c r="F4" s="1052"/>
      <c r="G4" s="1053" t="s">
        <v>726</v>
      </c>
      <c r="H4" s="1052" t="s">
        <v>724</v>
      </c>
      <c r="I4" s="1054" t="s">
        <v>725</v>
      </c>
      <c r="J4" s="1054" t="s">
        <v>679</v>
      </c>
      <c r="K4" s="1055"/>
      <c r="L4" s="1055"/>
      <c r="M4" s="1055"/>
      <c r="N4" s="1055"/>
      <c r="O4" s="1055"/>
      <c r="P4" s="1055"/>
      <c r="Q4" s="1055"/>
      <c r="R4" s="1055"/>
      <c r="S4" s="1055"/>
      <c r="T4" s="1055"/>
      <c r="U4" s="1055"/>
      <c r="V4" s="1055"/>
      <c r="W4" s="1055"/>
      <c r="X4" s="1055"/>
      <c r="Y4" s="1055"/>
      <c r="Z4" s="1055"/>
      <c r="AA4" s="1055"/>
      <c r="AB4" s="1055"/>
      <c r="AC4" s="1055"/>
      <c r="AD4" s="1055"/>
      <c r="AE4" s="1055"/>
      <c r="AF4" s="1055"/>
      <c r="AG4" s="1055"/>
      <c r="AH4" s="1055"/>
      <c r="AI4" s="1055"/>
      <c r="AJ4" s="1055"/>
    </row>
    <row r="5" spans="1:36" s="1056" customFormat="1" ht="25.5" customHeight="1" x14ac:dyDescent="0.25">
      <c r="A5" s="1057"/>
      <c r="B5" s="1058"/>
      <c r="C5" s="1057" t="s">
        <v>727</v>
      </c>
      <c r="D5" s="1059"/>
      <c r="E5" s="1059" t="s">
        <v>728</v>
      </c>
      <c r="F5" s="1057"/>
      <c r="G5" s="1058"/>
      <c r="H5" s="1057" t="s">
        <v>729</v>
      </c>
      <c r="I5" s="1059"/>
      <c r="J5" s="1059" t="s">
        <v>730</v>
      </c>
      <c r="K5" s="1055"/>
      <c r="L5" s="1055"/>
      <c r="M5" s="1055"/>
      <c r="N5" s="1055"/>
      <c r="O5" s="1055"/>
      <c r="P5" s="1055"/>
      <c r="Q5" s="1055"/>
      <c r="R5" s="1055"/>
      <c r="S5" s="1055"/>
      <c r="T5" s="1055"/>
      <c r="U5" s="1055"/>
      <c r="V5" s="1055"/>
      <c r="W5" s="1055"/>
      <c r="X5" s="1055"/>
      <c r="Y5" s="1055"/>
      <c r="Z5" s="1055"/>
      <c r="AA5" s="1055"/>
      <c r="AB5" s="1055"/>
      <c r="AC5" s="1055"/>
      <c r="AD5" s="1055"/>
      <c r="AE5" s="1055"/>
      <c r="AF5" s="1055"/>
      <c r="AG5" s="1055"/>
      <c r="AH5" s="1055"/>
      <c r="AI5" s="1055"/>
      <c r="AJ5" s="1055"/>
    </row>
    <row r="6" spans="1:36" s="1056" customFormat="1" ht="88.5" customHeight="1" thickBot="1" x14ac:dyDescent="0.3">
      <c r="A6" s="1060"/>
      <c r="B6" s="1061"/>
      <c r="C6" s="1062" t="s">
        <v>143</v>
      </c>
      <c r="D6" s="1063" t="s">
        <v>731</v>
      </c>
      <c r="E6" s="1064"/>
      <c r="F6" s="1060"/>
      <c r="G6" s="1061"/>
      <c r="H6" s="1062" t="s">
        <v>143</v>
      </c>
      <c r="I6" s="1063" t="s">
        <v>732</v>
      </c>
      <c r="J6" s="1064"/>
      <c r="K6" s="1065"/>
      <c r="L6" s="1065"/>
      <c r="M6" s="1055"/>
      <c r="N6" s="1055"/>
      <c r="O6" s="1055"/>
      <c r="P6" s="1055"/>
      <c r="Q6" s="1055"/>
      <c r="R6" s="1055"/>
      <c r="S6" s="1055"/>
      <c r="T6" s="1055"/>
      <c r="U6" s="1055"/>
      <c r="V6" s="1055"/>
      <c r="W6" s="1055"/>
      <c r="X6" s="1055"/>
      <c r="Y6" s="1055"/>
      <c r="Z6" s="1055"/>
      <c r="AA6" s="1055"/>
      <c r="AB6" s="1055"/>
      <c r="AC6" s="1055"/>
      <c r="AD6" s="1055"/>
      <c r="AE6" s="1055"/>
      <c r="AF6" s="1055"/>
      <c r="AG6" s="1055"/>
      <c r="AH6" s="1055"/>
      <c r="AI6" s="1055"/>
      <c r="AJ6" s="1055"/>
    </row>
    <row r="7" spans="1:36" ht="24" customHeight="1" x14ac:dyDescent="0.25">
      <c r="A7" s="1066"/>
      <c r="B7" s="1067" t="s">
        <v>733</v>
      </c>
      <c r="C7" s="1068"/>
      <c r="D7" s="1069"/>
      <c r="E7" s="1070"/>
      <c r="F7" s="1071"/>
      <c r="G7" s="1072" t="s">
        <v>734</v>
      </c>
      <c r="H7" s="1068"/>
      <c r="I7" s="1069"/>
      <c r="J7" s="1070"/>
      <c r="K7" s="1073"/>
      <c r="L7" s="1073"/>
    </row>
    <row r="8" spans="1:36" ht="27" customHeight="1" x14ac:dyDescent="0.25">
      <c r="A8" s="1074" t="s">
        <v>735</v>
      </c>
      <c r="B8" s="1075" t="s">
        <v>736</v>
      </c>
      <c r="C8" s="1076">
        <v>403621</v>
      </c>
      <c r="D8" s="1076">
        <v>4337286</v>
      </c>
      <c r="E8" s="1077">
        <f>SUM(C8:D8)</f>
        <v>4740907</v>
      </c>
      <c r="F8" s="1078" t="s">
        <v>737</v>
      </c>
      <c r="G8" s="1075" t="s">
        <v>738</v>
      </c>
      <c r="H8" s="1079">
        <v>5174266</v>
      </c>
      <c r="I8" s="1079">
        <f>186746-1</f>
        <v>186745</v>
      </c>
      <c r="J8" s="1080">
        <f>SUM(H8:I8)</f>
        <v>5361011</v>
      </c>
      <c r="K8" s="1081"/>
      <c r="L8" s="1081">
        <v>5361011</v>
      </c>
      <c r="M8" s="1081">
        <f>+L8-J8</f>
        <v>0</v>
      </c>
      <c r="N8" s="1081">
        <v>4740907</v>
      </c>
      <c r="O8" s="1081">
        <f>+N8-E8</f>
        <v>0</v>
      </c>
    </row>
    <row r="9" spans="1:36" ht="44.45" customHeight="1" x14ac:dyDescent="0.25">
      <c r="A9" s="1082" t="s">
        <v>739</v>
      </c>
      <c r="B9" s="1083" t="s">
        <v>150</v>
      </c>
      <c r="C9" s="1076">
        <v>3194</v>
      </c>
      <c r="D9" s="1076">
        <v>10621513</v>
      </c>
      <c r="E9" s="1077">
        <f>SUM(C9:D9)</f>
        <v>10624707</v>
      </c>
      <c r="F9" s="1084" t="s">
        <v>740</v>
      </c>
      <c r="G9" s="1085" t="s">
        <v>741</v>
      </c>
      <c r="H9" s="1086">
        <v>1092490</v>
      </c>
      <c r="I9" s="1086">
        <v>39298</v>
      </c>
      <c r="J9" s="1080">
        <f>SUM(H9:I9)</f>
        <v>1131788</v>
      </c>
      <c r="K9" s="1081"/>
      <c r="L9" s="1081">
        <v>1131788</v>
      </c>
      <c r="M9" s="1081">
        <f t="shared" ref="M9:M20" si="0">+L9-J9</f>
        <v>0</v>
      </c>
      <c r="N9" s="1081">
        <v>10624707</v>
      </c>
      <c r="O9" s="1081">
        <f t="shared" ref="O9:O20" si="1">+N9-E9</f>
        <v>0</v>
      </c>
    </row>
    <row r="10" spans="1:36" ht="27" customHeight="1" x14ac:dyDescent="0.25">
      <c r="A10" s="1074" t="s">
        <v>742</v>
      </c>
      <c r="B10" s="1075" t="s">
        <v>743</v>
      </c>
      <c r="C10" s="1076">
        <v>1520205</v>
      </c>
      <c r="D10" s="1076">
        <v>2103441</v>
      </c>
      <c r="E10" s="1077">
        <f>SUM(C10:D10)</f>
        <v>3623646</v>
      </c>
      <c r="F10" s="1084" t="s">
        <v>744</v>
      </c>
      <c r="G10" s="1083" t="s">
        <v>745</v>
      </c>
      <c r="H10" s="1086">
        <f>3215365</f>
        <v>3215365</v>
      </c>
      <c r="I10" s="1086">
        <v>3532432</v>
      </c>
      <c r="J10" s="1080">
        <f>SUM(H10:I10)</f>
        <v>6747797</v>
      </c>
      <c r="K10" s="1081"/>
      <c r="L10" s="1081">
        <v>6747797</v>
      </c>
      <c r="M10" s="1081">
        <f t="shared" si="0"/>
        <v>0</v>
      </c>
      <c r="N10" s="1081">
        <v>3623646</v>
      </c>
      <c r="O10" s="1081">
        <f t="shared" si="1"/>
        <v>0</v>
      </c>
    </row>
    <row r="11" spans="1:36" ht="27" customHeight="1" x14ac:dyDescent="0.25">
      <c r="A11" s="1082" t="s">
        <v>746</v>
      </c>
      <c r="B11" s="1083" t="s">
        <v>276</v>
      </c>
      <c r="C11" s="1076">
        <f>3854-1</f>
        <v>3853</v>
      </c>
      <c r="D11" s="1076">
        <v>60901</v>
      </c>
      <c r="E11" s="1077">
        <f>SUM(C11:D11)</f>
        <v>64754</v>
      </c>
      <c r="F11" s="1087" t="s">
        <v>747</v>
      </c>
      <c r="G11" s="1088" t="s">
        <v>748</v>
      </c>
      <c r="H11" s="1086">
        <v>0</v>
      </c>
      <c r="I11" s="1086">
        <v>161656</v>
      </c>
      <c r="J11" s="1080">
        <f>SUM(H11:I11)</f>
        <v>161656</v>
      </c>
      <c r="K11" s="1081"/>
      <c r="L11" s="1081">
        <v>161656</v>
      </c>
      <c r="M11" s="1081">
        <f t="shared" si="0"/>
        <v>0</v>
      </c>
      <c r="N11" s="1081">
        <v>64754</v>
      </c>
      <c r="O11" s="1081">
        <f t="shared" si="1"/>
        <v>0</v>
      </c>
    </row>
    <row r="12" spans="1:36" ht="24" customHeight="1" thickBot="1" x14ac:dyDescent="0.4">
      <c r="A12" s="1074"/>
      <c r="B12" s="1075"/>
      <c r="C12" s="1089"/>
      <c r="D12" s="1076"/>
      <c r="E12" s="1077"/>
      <c r="F12" s="1084" t="s">
        <v>749</v>
      </c>
      <c r="G12" s="1083" t="s">
        <v>750</v>
      </c>
      <c r="H12" s="1080">
        <v>61551</v>
      </c>
      <c r="I12" s="1080">
        <v>3774306</v>
      </c>
      <c r="J12" s="1080">
        <f>SUM(H12:I12)</f>
        <v>3835857</v>
      </c>
      <c r="K12" s="1090"/>
      <c r="L12" s="1081">
        <v>3835857</v>
      </c>
      <c r="M12" s="1081">
        <f t="shared" si="0"/>
        <v>0</v>
      </c>
      <c r="N12" s="1081"/>
      <c r="O12" s="1081">
        <f t="shared" si="1"/>
        <v>0</v>
      </c>
    </row>
    <row r="13" spans="1:36" ht="27" customHeight="1" thickBot="1" x14ac:dyDescent="0.4">
      <c r="A13" s="1091"/>
      <c r="B13" s="1092" t="s">
        <v>751</v>
      </c>
      <c r="C13" s="1093">
        <f>SUM(C8:C12)</f>
        <v>1930873</v>
      </c>
      <c r="D13" s="1093">
        <f>SUM(D8:D12)</f>
        <v>17123141</v>
      </c>
      <c r="E13" s="1093">
        <f>SUM(C13:D13)</f>
        <v>19054014</v>
      </c>
      <c r="F13" s="1094"/>
      <c r="G13" s="1092" t="s">
        <v>752</v>
      </c>
      <c r="H13" s="1095">
        <f>SUM(H8:H12)</f>
        <v>9543672</v>
      </c>
      <c r="I13" s="1095">
        <f>SUM(I8:I12)</f>
        <v>7694437</v>
      </c>
      <c r="J13" s="1095">
        <f>SUM(J8:J12)</f>
        <v>17238109</v>
      </c>
      <c r="K13" s="1090" t="s">
        <v>753</v>
      </c>
      <c r="L13" s="1081">
        <f>SUM(L8:L12)</f>
        <v>17238109</v>
      </c>
      <c r="M13" s="1081">
        <f t="shared" si="0"/>
        <v>0</v>
      </c>
      <c r="N13" s="1081">
        <f>SUM(N8:N11)</f>
        <v>19054014</v>
      </c>
      <c r="O13" s="1081">
        <f t="shared" si="1"/>
        <v>0</v>
      </c>
    </row>
    <row r="14" spans="1:36" s="1100" customFormat="1" ht="27" customHeight="1" x14ac:dyDescent="0.35">
      <c r="A14" s="1074" t="s">
        <v>754</v>
      </c>
      <c r="B14" s="1083" t="s">
        <v>283</v>
      </c>
      <c r="C14" s="1076">
        <v>28300</v>
      </c>
      <c r="D14" s="1076">
        <v>4393128</v>
      </c>
      <c r="E14" s="1077">
        <f>SUM(C14:D14)</f>
        <v>4421428</v>
      </c>
      <c r="F14" s="1096" t="s">
        <v>755</v>
      </c>
      <c r="G14" s="1097" t="s">
        <v>309</v>
      </c>
      <c r="H14" s="1098">
        <v>285838</v>
      </c>
      <c r="I14" s="1098">
        <f>194812+1</f>
        <v>194813</v>
      </c>
      <c r="J14" s="1080">
        <f>SUM(H14:I14)</f>
        <v>480651</v>
      </c>
      <c r="K14" s="1090"/>
      <c r="L14" s="1081">
        <v>480651</v>
      </c>
      <c r="M14" s="1081">
        <f t="shared" si="0"/>
        <v>0</v>
      </c>
      <c r="N14" s="1081">
        <v>4421428</v>
      </c>
      <c r="O14" s="1081">
        <f t="shared" si="1"/>
        <v>0</v>
      </c>
      <c r="P14" s="1099"/>
      <c r="Q14" s="1099"/>
      <c r="R14" s="1099"/>
      <c r="S14" s="1099"/>
      <c r="T14" s="1099"/>
      <c r="U14" s="1099"/>
      <c r="V14" s="1099"/>
      <c r="W14" s="1099"/>
      <c r="X14" s="1099"/>
      <c r="Y14" s="1099"/>
      <c r="Z14" s="1099"/>
      <c r="AA14" s="1099"/>
      <c r="AB14" s="1099"/>
      <c r="AC14" s="1099"/>
      <c r="AD14" s="1099"/>
      <c r="AE14" s="1099"/>
      <c r="AF14" s="1099"/>
      <c r="AG14" s="1099"/>
      <c r="AH14" s="1099"/>
      <c r="AI14" s="1099"/>
      <c r="AJ14" s="1099"/>
    </row>
    <row r="15" spans="1:36" ht="27" customHeight="1" x14ac:dyDescent="0.35">
      <c r="A15" s="1074" t="s">
        <v>756</v>
      </c>
      <c r="B15" s="1083" t="s">
        <v>290</v>
      </c>
      <c r="C15" s="1076">
        <f>3052+1</f>
        <v>3053</v>
      </c>
      <c r="D15" s="1076">
        <f>360845</f>
        <v>360845</v>
      </c>
      <c r="E15" s="1077">
        <f>SUM(C15:D15)</f>
        <v>363898</v>
      </c>
      <c r="F15" s="1101" t="s">
        <v>757</v>
      </c>
      <c r="G15" s="1083" t="s">
        <v>758</v>
      </c>
      <c r="H15" s="1086">
        <v>120994</v>
      </c>
      <c r="I15" s="1086">
        <v>2516448</v>
      </c>
      <c r="J15" s="1080">
        <f>SUM(H15:I15)</f>
        <v>2637442</v>
      </c>
      <c r="K15" s="1090"/>
      <c r="L15" s="1081">
        <v>2637442</v>
      </c>
      <c r="M15" s="1081">
        <f t="shared" si="0"/>
        <v>0</v>
      </c>
      <c r="N15" s="1081">
        <f>363898</f>
        <v>363898</v>
      </c>
      <c r="O15" s="1081">
        <f t="shared" si="1"/>
        <v>0</v>
      </c>
    </row>
    <row r="16" spans="1:36" ht="27" customHeight="1" thickBot="1" x14ac:dyDescent="0.4">
      <c r="A16" s="1074" t="s">
        <v>759</v>
      </c>
      <c r="B16" s="1083" t="s">
        <v>760</v>
      </c>
      <c r="C16" s="1076">
        <f>2755</f>
        <v>2755</v>
      </c>
      <c r="D16" s="1076">
        <f>56801+1</f>
        <v>56802</v>
      </c>
      <c r="E16" s="1077">
        <f>SUM(C16:D16)</f>
        <v>59557</v>
      </c>
      <c r="F16" s="1087" t="s">
        <v>761</v>
      </c>
      <c r="G16" s="1102" t="s">
        <v>762</v>
      </c>
      <c r="H16" s="1079">
        <v>0</v>
      </c>
      <c r="I16" s="1079">
        <v>1974621</v>
      </c>
      <c r="J16" s="1080">
        <f>SUM(H16:I16)</f>
        <v>1974621</v>
      </c>
      <c r="K16" s="1090"/>
      <c r="L16" s="1081">
        <v>1974621</v>
      </c>
      <c r="M16" s="1081">
        <f t="shared" si="0"/>
        <v>0</v>
      </c>
      <c r="N16" s="1081">
        <f>59557</f>
        <v>59557</v>
      </c>
      <c r="O16" s="1081">
        <f t="shared" si="1"/>
        <v>0</v>
      </c>
    </row>
    <row r="17" spans="1:36" ht="27" customHeight="1" thickBot="1" x14ac:dyDescent="0.4">
      <c r="A17" s="1103"/>
      <c r="B17" s="1092" t="s">
        <v>763</v>
      </c>
      <c r="C17" s="1093">
        <f>SUM(C14:C16)</f>
        <v>34108</v>
      </c>
      <c r="D17" s="1093">
        <f>SUM(D14:D16)</f>
        <v>4810775</v>
      </c>
      <c r="E17" s="1093">
        <f>SUM(E14:E16)</f>
        <v>4844883</v>
      </c>
      <c r="F17" s="1103"/>
      <c r="G17" s="1104" t="s">
        <v>764</v>
      </c>
      <c r="H17" s="1095">
        <f>SUM(H14:H16)</f>
        <v>406832</v>
      </c>
      <c r="I17" s="1095">
        <f>SUM(I14:I16)</f>
        <v>4685882</v>
      </c>
      <c r="J17" s="1095">
        <f>SUM(J14:J16)</f>
        <v>5092714</v>
      </c>
      <c r="K17" s="1090" t="s">
        <v>753</v>
      </c>
      <c r="L17" s="1081">
        <f>SUM(L14:L16)</f>
        <v>5092714</v>
      </c>
      <c r="M17" s="1081">
        <f t="shared" si="0"/>
        <v>0</v>
      </c>
      <c r="N17" s="1081">
        <f>SUM(N14:N16)</f>
        <v>4844883</v>
      </c>
      <c r="O17" s="1081">
        <f t="shared" si="1"/>
        <v>0</v>
      </c>
    </row>
    <row r="18" spans="1:36" ht="27" customHeight="1" thickBot="1" x14ac:dyDescent="0.3">
      <c r="A18" s="1105"/>
      <c r="B18" s="1104" t="s">
        <v>765</v>
      </c>
      <c r="C18" s="1093">
        <f>+C13+C17</f>
        <v>1964981</v>
      </c>
      <c r="D18" s="1093">
        <f>D13+D17</f>
        <v>21933916</v>
      </c>
      <c r="E18" s="1093">
        <f>SUM(E13+E17)</f>
        <v>23898897</v>
      </c>
      <c r="F18" s="1103"/>
      <c r="G18" s="1092" t="s">
        <v>766</v>
      </c>
      <c r="H18" s="1095">
        <f>SUM(H17,H13)</f>
        <v>9950504</v>
      </c>
      <c r="I18" s="1095">
        <f>SUM(I17,I13)</f>
        <v>12380319</v>
      </c>
      <c r="J18" s="1095">
        <f>SUM(J17,J13)</f>
        <v>22330823</v>
      </c>
      <c r="K18" s="1081"/>
      <c r="L18" s="1081">
        <f>+L13+L17</f>
        <v>22330823</v>
      </c>
      <c r="M18" s="1081">
        <f t="shared" si="0"/>
        <v>0</v>
      </c>
      <c r="N18" s="1081">
        <v>23898897</v>
      </c>
      <c r="O18" s="1081">
        <f t="shared" si="1"/>
        <v>0</v>
      </c>
    </row>
    <row r="19" spans="1:36" ht="27" customHeight="1" thickBot="1" x14ac:dyDescent="0.3">
      <c r="A19" s="1106" t="s">
        <v>767</v>
      </c>
      <c r="B19" s="1107" t="s">
        <v>768</v>
      </c>
      <c r="C19" s="1108">
        <v>208146</v>
      </c>
      <c r="D19" s="1109">
        <v>8670824</v>
      </c>
      <c r="E19" s="1077">
        <f>SUM(C19:D19)</f>
        <v>8878970</v>
      </c>
      <c r="F19" s="1110" t="s">
        <v>769</v>
      </c>
      <c r="G19" s="1111" t="s">
        <v>770</v>
      </c>
      <c r="H19" s="1086"/>
      <c r="I19" s="1086">
        <v>96553</v>
      </c>
      <c r="J19" s="1080">
        <f>SUM(H19:I19)</f>
        <v>96553</v>
      </c>
      <c r="K19" s="1081"/>
      <c r="L19" s="1081">
        <v>96553</v>
      </c>
      <c r="M19" s="1081">
        <f t="shared" si="0"/>
        <v>0</v>
      </c>
      <c r="N19" s="1051">
        <f>8785815+93155</f>
        <v>8878970</v>
      </c>
      <c r="O19" s="1081">
        <f t="shared" si="1"/>
        <v>0</v>
      </c>
    </row>
    <row r="20" spans="1:36" ht="49.5" customHeight="1" thickBot="1" x14ac:dyDescent="0.3">
      <c r="A20" s="1112"/>
      <c r="B20" s="1113" t="s">
        <v>771</v>
      </c>
      <c r="C20" s="1093">
        <f>SUM(C18:C19)</f>
        <v>2173127</v>
      </c>
      <c r="D20" s="1093">
        <f>SUM(D18:D19)</f>
        <v>30604740</v>
      </c>
      <c r="E20" s="1093">
        <f>SUM(C20:D20)</f>
        <v>32777867</v>
      </c>
      <c r="F20" s="1112"/>
      <c r="G20" s="1113" t="s">
        <v>772</v>
      </c>
      <c r="H20" s="1095">
        <f>SUM(H18:H19)</f>
        <v>9950504</v>
      </c>
      <c r="I20" s="1095">
        <f>SUM(I18:I19)</f>
        <v>12476872</v>
      </c>
      <c r="J20" s="1095">
        <f>SUM(J18:J19)</f>
        <v>22427376</v>
      </c>
      <c r="K20" s="1081"/>
      <c r="L20" s="1081">
        <f>SUM(L18:L19)</f>
        <v>22427376</v>
      </c>
      <c r="M20" s="1081">
        <f t="shared" si="0"/>
        <v>0</v>
      </c>
      <c r="N20" s="1081">
        <f>SUM(N18:N19)</f>
        <v>32777867</v>
      </c>
      <c r="O20" s="1081">
        <f t="shared" si="1"/>
        <v>0</v>
      </c>
    </row>
    <row r="21" spans="1:36" s="1114" customFormat="1" ht="24" customHeight="1" x14ac:dyDescent="0.25">
      <c r="E21" s="1115"/>
      <c r="F21" s="1115"/>
      <c r="H21" s="1116"/>
      <c r="I21" s="1116"/>
      <c r="J21" s="1117"/>
      <c r="K21" s="1118"/>
      <c r="L21" s="1118">
        <f>+'2 mérleg '!L56</f>
        <v>22427376</v>
      </c>
      <c r="M21" s="1081"/>
      <c r="N21" s="1081"/>
      <c r="O21" s="1081"/>
      <c r="P21" s="1081"/>
      <c r="Q21" s="1081"/>
      <c r="R21" s="1081"/>
      <c r="S21" s="1081"/>
      <c r="T21" s="1081"/>
      <c r="U21" s="1081"/>
      <c r="V21" s="1081"/>
      <c r="W21" s="1081"/>
      <c r="X21" s="1081"/>
      <c r="Y21" s="1081"/>
      <c r="Z21" s="1081"/>
      <c r="AA21" s="1081"/>
      <c r="AB21" s="1081"/>
      <c r="AC21" s="1081"/>
      <c r="AD21" s="1081"/>
      <c r="AE21" s="1081"/>
      <c r="AF21" s="1081"/>
      <c r="AG21" s="1081"/>
      <c r="AH21" s="1081"/>
      <c r="AI21" s="1081"/>
      <c r="AJ21" s="1081"/>
    </row>
    <row r="22" spans="1:36" ht="58.5" customHeight="1" x14ac:dyDescent="0.25">
      <c r="A22" s="1114"/>
      <c r="B22" s="1119"/>
      <c r="C22" s="1114"/>
      <c r="E22" s="1120"/>
      <c r="F22" s="1115"/>
      <c r="G22" s="2587" t="s">
        <v>773</v>
      </c>
      <c r="H22" s="2588"/>
      <c r="I22" s="2588"/>
      <c r="J22" s="2588"/>
      <c r="K22" s="1118"/>
      <c r="L22" s="1118"/>
    </row>
    <row r="23" spans="1:36" ht="24" customHeight="1" x14ac:dyDescent="0.25">
      <c r="A23" s="1114"/>
      <c r="B23" s="1121"/>
      <c r="C23" s="1114"/>
      <c r="E23" s="1122"/>
      <c r="F23" s="1115"/>
      <c r="H23" s="1123"/>
      <c r="I23" s="1124"/>
      <c r="J23" s="1125"/>
      <c r="K23" s="1118"/>
      <c r="L23" s="1118"/>
    </row>
    <row r="24" spans="1:36" ht="24" customHeight="1" x14ac:dyDescent="0.25">
      <c r="A24" s="1114"/>
      <c r="B24" s="1121"/>
      <c r="C24" s="1114"/>
      <c r="E24" s="1115"/>
      <c r="F24" s="1115"/>
      <c r="H24" s="1124"/>
      <c r="J24" s="1126"/>
      <c r="K24" s="1118"/>
      <c r="L24" s="1118"/>
    </row>
    <row r="25" spans="1:36" ht="24" customHeight="1" x14ac:dyDescent="0.25">
      <c r="A25" s="1114"/>
      <c r="B25" s="1127"/>
      <c r="C25" s="1114"/>
      <c r="E25" s="1115"/>
      <c r="F25" s="1115"/>
      <c r="H25" s="1124"/>
      <c r="I25" s="1123"/>
      <c r="J25" s="1126"/>
      <c r="K25" s="1118"/>
      <c r="L25" s="1118"/>
    </row>
    <row r="26" spans="1:36" ht="24" customHeight="1" x14ac:dyDescent="0.25">
      <c r="A26" s="1114"/>
      <c r="B26" s="1128"/>
      <c r="C26" s="1114"/>
      <c r="E26" s="1115"/>
      <c r="F26" s="1115"/>
      <c r="H26" s="1124"/>
      <c r="I26" s="1123"/>
      <c r="J26" s="1126"/>
      <c r="K26" s="1118"/>
      <c r="L26" s="1118"/>
    </row>
    <row r="27" spans="1:36" ht="24" customHeight="1" x14ac:dyDescent="0.25">
      <c r="A27" s="1114"/>
      <c r="C27" s="1114"/>
      <c r="E27" s="1115"/>
      <c r="F27" s="1115"/>
      <c r="H27" s="1124"/>
      <c r="I27" s="1123"/>
      <c r="J27" s="1126"/>
      <c r="K27" s="1118"/>
      <c r="L27" s="1118"/>
    </row>
    <row r="28" spans="1:36" ht="24" customHeight="1" x14ac:dyDescent="0.25">
      <c r="A28" s="1114"/>
      <c r="B28" s="1119"/>
      <c r="C28" s="1114"/>
      <c r="E28" s="1120"/>
      <c r="F28" s="1115"/>
      <c r="G28" s="1129"/>
      <c r="H28" s="1124"/>
      <c r="I28" s="1124"/>
      <c r="J28" s="1130"/>
      <c r="K28" s="1118"/>
      <c r="L28" s="1118"/>
    </row>
    <row r="29" spans="1:36" ht="24" customHeight="1" x14ac:dyDescent="0.25">
      <c r="A29" s="1114"/>
      <c r="B29" s="1121"/>
      <c r="C29" s="1114"/>
      <c r="E29" s="1122"/>
      <c r="F29" s="1115"/>
      <c r="H29" s="1123"/>
      <c r="I29" s="1124"/>
      <c r="J29" s="1125"/>
      <c r="K29" s="1118"/>
      <c r="L29" s="1118"/>
    </row>
    <row r="30" spans="1:36" ht="24" customHeight="1" x14ac:dyDescent="0.25">
      <c r="A30" s="1114"/>
      <c r="B30" s="1121"/>
      <c r="C30" s="1114"/>
      <c r="E30" s="1115"/>
      <c r="F30" s="1115"/>
      <c r="H30" s="1124"/>
      <c r="J30" s="1126"/>
      <c r="K30" s="1118"/>
      <c r="L30" s="1118"/>
    </row>
    <row r="31" spans="1:36" ht="24" customHeight="1" x14ac:dyDescent="0.25">
      <c r="A31" s="1114"/>
      <c r="B31" s="1127"/>
      <c r="C31" s="1114"/>
      <c r="E31" s="1115"/>
      <c r="F31" s="1115"/>
      <c r="H31" s="1124"/>
      <c r="I31" s="1123"/>
      <c r="J31" s="1126"/>
      <c r="K31" s="1118"/>
      <c r="L31" s="1118"/>
    </row>
    <row r="32" spans="1:36" ht="24" customHeight="1" x14ac:dyDescent="0.25">
      <c r="A32" s="1114"/>
      <c r="B32" s="1128"/>
      <c r="C32" s="1114"/>
      <c r="E32" s="1115"/>
      <c r="F32" s="1115"/>
      <c r="H32" s="1124"/>
      <c r="I32" s="1123"/>
      <c r="J32" s="1126"/>
      <c r="K32" s="1118"/>
      <c r="L32" s="1118"/>
    </row>
    <row r="33" spans="1:12" ht="24" customHeight="1" x14ac:dyDescent="0.25">
      <c r="A33" s="1114"/>
      <c r="B33" s="1128"/>
      <c r="C33" s="1114"/>
      <c r="E33" s="1115"/>
      <c r="F33" s="1115"/>
      <c r="H33" s="1124"/>
      <c r="I33" s="1123"/>
      <c r="J33" s="1126"/>
      <c r="K33" s="1118"/>
      <c r="L33" s="1118"/>
    </row>
    <row r="34" spans="1:12" ht="24" customHeight="1" x14ac:dyDescent="0.25">
      <c r="A34" s="1114"/>
      <c r="C34" s="1114"/>
      <c r="D34" s="1114"/>
      <c r="E34" s="1115"/>
      <c r="F34" s="1115"/>
      <c r="H34" s="1124"/>
      <c r="I34" s="1123"/>
      <c r="J34" s="1126"/>
      <c r="K34" s="1118"/>
      <c r="L34" s="1118"/>
    </row>
    <row r="35" spans="1:12" ht="24" customHeight="1" x14ac:dyDescent="0.25">
      <c r="A35" s="1114"/>
      <c r="C35" s="1114"/>
      <c r="E35" s="1115"/>
      <c r="F35" s="1115"/>
      <c r="H35" s="1123"/>
      <c r="I35" s="1123"/>
      <c r="J35" s="1131"/>
      <c r="K35" s="1118"/>
      <c r="L35" s="1118"/>
    </row>
    <row r="36" spans="1:12" ht="24" customHeight="1" x14ac:dyDescent="0.25">
      <c r="A36" s="1114"/>
      <c r="C36" s="1114"/>
      <c r="E36" s="1115"/>
      <c r="F36" s="1115"/>
      <c r="H36" s="1123"/>
      <c r="I36" s="1123"/>
      <c r="J36" s="1131"/>
      <c r="K36" s="1118"/>
      <c r="L36" s="1118"/>
    </row>
    <row r="37" spans="1:12" ht="24" customHeight="1" x14ac:dyDescent="0.25">
      <c r="A37" s="1114"/>
      <c r="C37" s="1114"/>
      <c r="E37" s="1115"/>
      <c r="F37" s="1115"/>
      <c r="H37" s="1123"/>
      <c r="I37" s="1123"/>
      <c r="K37" s="1118"/>
      <c r="L37" s="1118"/>
    </row>
    <row r="38" spans="1:12" ht="24" customHeight="1" x14ac:dyDescent="0.25">
      <c r="A38" s="1114"/>
      <c r="C38" s="1114"/>
      <c r="E38" s="1115"/>
      <c r="F38" s="1115"/>
      <c r="H38" s="1123"/>
      <c r="I38" s="1123"/>
      <c r="K38" s="1118"/>
      <c r="L38" s="1118"/>
    </row>
    <row r="39" spans="1:12" ht="24" customHeight="1" x14ac:dyDescent="0.25">
      <c r="A39" s="1123"/>
      <c r="B39" s="1127"/>
      <c r="C39" s="1114"/>
      <c r="E39" s="1114"/>
      <c r="F39" s="1115"/>
      <c r="G39" s="1119"/>
      <c r="H39" s="1123"/>
      <c r="K39" s="1132"/>
      <c r="L39" s="1132"/>
    </row>
    <row r="40" spans="1:12" ht="24" customHeight="1" x14ac:dyDescent="0.25">
      <c r="C40" s="1114"/>
      <c r="F40" s="1126"/>
      <c r="H40" s="1124"/>
      <c r="J40" s="1126"/>
      <c r="K40" s="1132"/>
      <c r="L40" s="1132"/>
    </row>
    <row r="41" spans="1:12" ht="24" customHeight="1" x14ac:dyDescent="0.25">
      <c r="C41" s="1114"/>
      <c r="E41" s="1048"/>
      <c r="F41" s="1126"/>
      <c r="H41" s="1124"/>
      <c r="J41" s="1114"/>
      <c r="K41" s="1133"/>
      <c r="L41" s="1133"/>
    </row>
    <row r="42" spans="1:12" ht="24" customHeight="1" x14ac:dyDescent="0.25">
      <c r="C42" s="1114"/>
      <c r="E42" s="1114"/>
      <c r="H42" s="1124"/>
      <c r="J42" s="1048"/>
      <c r="K42" s="1133"/>
      <c r="L42" s="1133"/>
    </row>
    <row r="43" spans="1:12" ht="24" customHeight="1" x14ac:dyDescent="0.25">
      <c r="E43" s="1048"/>
      <c r="F43" s="1115"/>
      <c r="J43" s="1048"/>
    </row>
    <row r="44" spans="1:12" ht="24" customHeight="1" x14ac:dyDescent="0.25">
      <c r="E44" s="1122"/>
      <c r="F44" s="1122"/>
      <c r="J44" s="1122"/>
    </row>
    <row r="45" spans="1:12" ht="24" customHeight="1" x14ac:dyDescent="0.25"/>
    <row r="46" spans="1:12" ht="24" customHeight="1" x14ac:dyDescent="0.25"/>
    <row r="47" spans="1:12" ht="24" customHeight="1" x14ac:dyDescent="0.25"/>
    <row r="48" spans="1:12" ht="24" customHeight="1" x14ac:dyDescent="0.25"/>
    <row r="49" ht="24" customHeight="1" x14ac:dyDescent="0.25"/>
  </sheetData>
  <mergeCells count="5">
    <mergeCell ref="B1:E1"/>
    <mergeCell ref="G1:J1"/>
    <mergeCell ref="B2:E2"/>
    <mergeCell ref="G2:J2"/>
    <mergeCell ref="G22:J22"/>
  </mergeCells>
  <printOptions horizontalCentered="1" verticalCentered="1"/>
  <pageMargins left="0.19685039370078741" right="0.19685039370078741" top="0.15748031496062992" bottom="0" header="0.55118110236220474" footer="0.15748031496062992"/>
  <pageSetup paperSize="9" scale="59" orientation="landscape" r:id="rId1"/>
  <headerFooter alignWithMargins="0">
    <oddHeader xml:space="preserve">&amp;R&amp;"Times New Roman CE,Félkövér"&amp;16 1. melléklet  a .../2019. (........) önkormányzati rendelethez </oddHeader>
  </headerFooter>
  <colBreaks count="1" manualBreakCount="1">
    <brk id="5" max="2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21"/>
  <dimension ref="A1:F47"/>
  <sheetViews>
    <sheetView zoomScaleNormal="100" zoomScaleSheetLayoutView="75" workbookViewId="0">
      <selection activeCell="L16" sqref="L16"/>
    </sheetView>
  </sheetViews>
  <sheetFormatPr defaultColWidth="9.33203125" defaultRowHeight="15" customHeight="1" x14ac:dyDescent="0.2"/>
  <cols>
    <col min="1" max="1" width="17.33203125" style="5" customWidth="1"/>
    <col min="2" max="2" width="111.1640625" style="5" customWidth="1"/>
    <col min="3" max="6" width="22.33203125" style="5" customWidth="1"/>
    <col min="7" max="16384" width="9.33203125" style="5"/>
  </cols>
  <sheetData>
    <row r="1" spans="1:6" ht="15" customHeight="1" x14ac:dyDescent="0.25">
      <c r="B1" s="2681"/>
      <c r="C1" s="2681"/>
      <c r="D1" s="108"/>
    </row>
    <row r="2" spans="1:6" ht="27" customHeight="1" x14ac:dyDescent="0.3">
      <c r="B2" s="2682" t="s">
        <v>39</v>
      </c>
      <c r="C2" s="2682"/>
      <c r="D2" s="2683"/>
      <c r="E2" s="2683"/>
      <c r="F2" s="2683"/>
    </row>
    <row r="3" spans="1:6" ht="18" customHeight="1" x14ac:dyDescent="0.25">
      <c r="B3" s="108"/>
      <c r="C3" s="108"/>
      <c r="D3" s="108"/>
      <c r="E3" s="117"/>
      <c r="F3" s="117"/>
    </row>
    <row r="4" spans="1:6" ht="27" customHeight="1" thickBot="1" x14ac:dyDescent="0.25">
      <c r="B4" s="222" t="s">
        <v>237</v>
      </c>
      <c r="C4" s="82"/>
      <c r="D4" s="82"/>
      <c r="E4" s="82"/>
      <c r="F4" s="32" t="s">
        <v>34</v>
      </c>
    </row>
    <row r="5" spans="1:6" ht="27" customHeight="1" x14ac:dyDescent="0.25">
      <c r="A5" s="118"/>
      <c r="B5" s="113" t="s">
        <v>51</v>
      </c>
      <c r="C5" s="2680" t="s">
        <v>622</v>
      </c>
      <c r="D5" s="2680"/>
      <c r="E5" s="490" t="s">
        <v>602</v>
      </c>
      <c r="F5" s="43" t="s">
        <v>166</v>
      </c>
    </row>
    <row r="6" spans="1:6" ht="27" customHeight="1" thickBot="1" x14ac:dyDescent="0.3">
      <c r="B6" s="114"/>
      <c r="C6" s="116" t="s">
        <v>325</v>
      </c>
      <c r="D6" s="116" t="s">
        <v>164</v>
      </c>
      <c r="E6" s="70" t="s">
        <v>165</v>
      </c>
      <c r="F6" s="44" t="s">
        <v>167</v>
      </c>
    </row>
    <row r="7" spans="1:6" ht="39" customHeight="1" x14ac:dyDescent="0.2">
      <c r="B7" s="346" t="s">
        <v>414</v>
      </c>
      <c r="C7" s="409">
        <v>621369</v>
      </c>
      <c r="D7" s="409">
        <v>728660</v>
      </c>
      <c r="E7" s="218">
        <f>863184-E8-E9</f>
        <v>695528</v>
      </c>
      <c r="F7" s="443">
        <f>+E7/D7*100</f>
        <v>95.453023357944716</v>
      </c>
    </row>
    <row r="8" spans="1:6" ht="39" customHeight="1" x14ac:dyDescent="0.2">
      <c r="B8" s="336" t="s">
        <v>415</v>
      </c>
      <c r="C8" s="218">
        <v>87867</v>
      </c>
      <c r="D8" s="218">
        <v>116240</v>
      </c>
      <c r="E8" s="218">
        <v>116240</v>
      </c>
      <c r="F8" s="311">
        <f>+E8/D8*100</f>
        <v>100</v>
      </c>
    </row>
    <row r="9" spans="1:6" ht="39" customHeight="1" x14ac:dyDescent="0.2">
      <c r="B9" s="336" t="s">
        <v>653</v>
      </c>
      <c r="C9" s="219"/>
      <c r="D9" s="219">
        <v>51416</v>
      </c>
      <c r="E9" s="219">
        <v>51416</v>
      </c>
      <c r="F9" s="443">
        <f>+E9/D9*100</f>
        <v>100</v>
      </c>
    </row>
    <row r="10" spans="1:6" ht="24.75" customHeight="1" thickBot="1" x14ac:dyDescent="0.3">
      <c r="B10" s="119" t="s">
        <v>236</v>
      </c>
      <c r="C10" s="111">
        <f>SUM(C7:C9)</f>
        <v>709236</v>
      </c>
      <c r="D10" s="111">
        <f>SUM(D7:D9)</f>
        <v>896316</v>
      </c>
      <c r="E10" s="111">
        <f>SUM(E7:E9)</f>
        <v>863184</v>
      </c>
      <c r="F10" s="94">
        <f>+E10/D10*100</f>
        <v>96.30353580656822</v>
      </c>
    </row>
    <row r="11" spans="1:6" ht="24.75" customHeight="1" x14ac:dyDescent="0.25">
      <c r="B11" s="2580" t="s">
        <v>230</v>
      </c>
      <c r="C11" s="2581"/>
      <c r="D11" s="2582"/>
      <c r="E11" s="2581"/>
      <c r="F11" s="2583"/>
    </row>
    <row r="12" spans="1:6" ht="24.75" customHeight="1" x14ac:dyDescent="0.2">
      <c r="B12" s="411" t="s">
        <v>26</v>
      </c>
      <c r="C12" s="326"/>
      <c r="D12" s="326">
        <v>11707</v>
      </c>
      <c r="E12" s="326">
        <v>11097</v>
      </c>
      <c r="F12" s="443">
        <f>+E12/D12*100</f>
        <v>94.78944221405996</v>
      </c>
    </row>
    <row r="13" spans="1:6" ht="39.75" customHeight="1" thickBot="1" x14ac:dyDescent="0.25">
      <c r="B13" s="411" t="s">
        <v>717</v>
      </c>
      <c r="C13" s="219"/>
      <c r="D13" s="219">
        <v>2292</v>
      </c>
      <c r="E13" s="219"/>
      <c r="F13" s="443">
        <f>+E13/D13*100</f>
        <v>0</v>
      </c>
    </row>
    <row r="14" spans="1:6" ht="24.75" customHeight="1" thickBot="1" x14ac:dyDescent="0.3">
      <c r="B14" s="121" t="s">
        <v>231</v>
      </c>
      <c r="C14" s="75">
        <f>SUM(C12:C13)</f>
        <v>0</v>
      </c>
      <c r="D14" s="75">
        <f>SUM(D12:D13)</f>
        <v>13999</v>
      </c>
      <c r="E14" s="75">
        <f>SUM(E12:E13)</f>
        <v>11097</v>
      </c>
      <c r="F14" s="1037">
        <f>+E14/D14*100</f>
        <v>79.269947853418103</v>
      </c>
    </row>
    <row r="15" spans="1:6" ht="24.75" customHeight="1" x14ac:dyDescent="0.2">
      <c r="A15" s="6"/>
      <c r="B15" s="120" t="s">
        <v>232</v>
      </c>
      <c r="C15" s="115"/>
      <c r="D15" s="98"/>
      <c r="E15" s="71"/>
      <c r="F15" s="360"/>
    </row>
    <row r="16" spans="1:6" ht="24.75" customHeight="1" x14ac:dyDescent="0.2">
      <c r="A16" s="6"/>
      <c r="B16" s="55" t="s">
        <v>142</v>
      </c>
      <c r="C16" s="74">
        <v>2000</v>
      </c>
      <c r="D16" s="74">
        <v>1638</v>
      </c>
      <c r="E16" s="54">
        <v>1080</v>
      </c>
      <c r="F16" s="407">
        <f t="shared" ref="F16:F27" si="0">+E16/D16*100</f>
        <v>65.934065934065927</v>
      </c>
    </row>
    <row r="17" spans="1:6" ht="24.75" customHeight="1" x14ac:dyDescent="0.2">
      <c r="A17" s="6"/>
      <c r="B17" s="336" t="s">
        <v>360</v>
      </c>
      <c r="C17" s="219">
        <v>120000</v>
      </c>
      <c r="D17" s="219">
        <v>120000</v>
      </c>
      <c r="E17" s="304">
        <v>120000</v>
      </c>
      <c r="F17" s="311">
        <f t="shared" si="0"/>
        <v>100</v>
      </c>
    </row>
    <row r="18" spans="1:6" ht="24.75" customHeight="1" x14ac:dyDescent="0.2">
      <c r="A18" s="6"/>
      <c r="B18" s="55" t="s">
        <v>263</v>
      </c>
      <c r="C18" s="74">
        <v>2210</v>
      </c>
      <c r="D18" s="74">
        <v>2210</v>
      </c>
      <c r="E18" s="54">
        <v>1985</v>
      </c>
      <c r="F18" s="361">
        <f t="shared" si="0"/>
        <v>89.819004524886878</v>
      </c>
    </row>
    <row r="19" spans="1:6" s="6" customFormat="1" ht="24.75" customHeight="1" x14ac:dyDescent="0.2">
      <c r="B19" s="100" t="s">
        <v>118</v>
      </c>
      <c r="C19" s="76">
        <v>118000</v>
      </c>
      <c r="D19" s="76">
        <v>148818</v>
      </c>
      <c r="E19" s="76">
        <v>146427</v>
      </c>
      <c r="F19" s="362">
        <f t="shared" si="0"/>
        <v>98.3933395153812</v>
      </c>
    </row>
    <row r="20" spans="1:6" ht="24.75" customHeight="1" x14ac:dyDescent="0.2">
      <c r="A20" s="6"/>
      <c r="B20" s="55" t="s">
        <v>109</v>
      </c>
      <c r="C20" s="74">
        <v>2000</v>
      </c>
      <c r="D20" s="74">
        <v>2449</v>
      </c>
      <c r="E20" s="54">
        <v>2413</v>
      </c>
      <c r="F20" s="361">
        <f t="shared" si="0"/>
        <v>98.530012249897908</v>
      </c>
    </row>
    <row r="21" spans="1:6" ht="24.75" customHeight="1" x14ac:dyDescent="0.2">
      <c r="A21" s="6"/>
      <c r="B21" s="55" t="s">
        <v>233</v>
      </c>
      <c r="C21" s="74">
        <v>2000</v>
      </c>
      <c r="D21" s="74"/>
      <c r="E21" s="54"/>
      <c r="F21" s="361">
        <v>0</v>
      </c>
    </row>
    <row r="22" spans="1:6" ht="24.75" customHeight="1" x14ac:dyDescent="0.2">
      <c r="B22" s="127" t="s">
        <v>81</v>
      </c>
      <c r="C22" s="74">
        <v>5000</v>
      </c>
      <c r="D22" s="74">
        <v>5000</v>
      </c>
      <c r="E22" s="54">
        <v>5000</v>
      </c>
      <c r="F22" s="361">
        <f t="shared" si="0"/>
        <v>100</v>
      </c>
    </row>
    <row r="23" spans="1:6" ht="24.75" customHeight="1" x14ac:dyDescent="0.2">
      <c r="A23" s="6"/>
      <c r="B23" s="55" t="s">
        <v>264</v>
      </c>
      <c r="C23" s="74">
        <v>2000</v>
      </c>
      <c r="D23" s="74">
        <v>9000</v>
      </c>
      <c r="E23" s="54">
        <v>9000</v>
      </c>
      <c r="F23" s="361">
        <f t="shared" si="0"/>
        <v>100</v>
      </c>
    </row>
    <row r="24" spans="1:6" ht="24.75" customHeight="1" x14ac:dyDescent="0.2">
      <c r="A24" s="6"/>
      <c r="B24" s="72" t="s">
        <v>361</v>
      </c>
      <c r="C24" s="74">
        <v>12000</v>
      </c>
      <c r="D24" s="74">
        <v>16217</v>
      </c>
      <c r="E24" s="74">
        <v>13858</v>
      </c>
      <c r="F24" s="361">
        <f t="shared" si="0"/>
        <v>85.453536412406734</v>
      </c>
    </row>
    <row r="25" spans="1:6" ht="24.75" customHeight="1" x14ac:dyDescent="0.2">
      <c r="A25" s="6"/>
      <c r="B25" s="72" t="s">
        <v>9</v>
      </c>
      <c r="C25" s="77">
        <v>42000</v>
      </c>
      <c r="D25" s="77">
        <v>44689</v>
      </c>
      <c r="E25" s="78">
        <v>29314</v>
      </c>
      <c r="F25" s="361">
        <f t="shared" si="0"/>
        <v>65.595560428740853</v>
      </c>
    </row>
    <row r="26" spans="1:6" ht="24.75" customHeight="1" x14ac:dyDescent="0.2">
      <c r="A26" s="6"/>
      <c r="B26" s="55" t="s">
        <v>82</v>
      </c>
      <c r="C26" s="74">
        <v>1500</v>
      </c>
      <c r="D26" s="74">
        <v>1500</v>
      </c>
      <c r="E26" s="74">
        <v>60</v>
      </c>
      <c r="F26" s="361">
        <f t="shared" si="0"/>
        <v>4</v>
      </c>
    </row>
    <row r="27" spans="1:6" ht="24.75" customHeight="1" x14ac:dyDescent="0.2">
      <c r="B27" s="112" t="s">
        <v>262</v>
      </c>
      <c r="C27" s="77">
        <v>2000</v>
      </c>
      <c r="D27" s="77">
        <v>2609</v>
      </c>
      <c r="E27" s="77">
        <v>1975</v>
      </c>
      <c r="F27" s="361">
        <f t="shared" si="0"/>
        <v>75.699501724798779</v>
      </c>
    </row>
    <row r="28" spans="1:6" ht="24.75" customHeight="1" x14ac:dyDescent="0.2">
      <c r="A28" s="6"/>
      <c r="B28" s="127" t="s">
        <v>425</v>
      </c>
      <c r="C28" s="74">
        <v>13000</v>
      </c>
      <c r="D28" s="74">
        <v>6946</v>
      </c>
      <c r="E28" s="54"/>
      <c r="F28" s="361">
        <f t="shared" ref="F28:F34" si="1">+E28/D28*100</f>
        <v>0</v>
      </c>
    </row>
    <row r="29" spans="1:6" ht="54.75" customHeight="1" x14ac:dyDescent="0.2">
      <c r="A29" s="6"/>
      <c r="B29" s="127" t="s">
        <v>349</v>
      </c>
      <c r="C29" s="74">
        <v>10000</v>
      </c>
      <c r="D29" s="74">
        <v>10000</v>
      </c>
      <c r="E29" s="54">
        <v>10000</v>
      </c>
      <c r="F29" s="361">
        <f t="shared" si="1"/>
        <v>100</v>
      </c>
    </row>
    <row r="30" spans="1:6" ht="24.75" customHeight="1" x14ac:dyDescent="0.2">
      <c r="A30" s="6"/>
      <c r="B30" s="127" t="s">
        <v>628</v>
      </c>
      <c r="C30" s="74">
        <v>5000</v>
      </c>
      <c r="D30" s="74">
        <v>4000</v>
      </c>
      <c r="E30" s="54">
        <v>1394</v>
      </c>
      <c r="F30" s="361">
        <f t="shared" si="1"/>
        <v>34.849999999999994</v>
      </c>
    </row>
    <row r="31" spans="1:6" ht="24.75" customHeight="1" thickBot="1" x14ac:dyDescent="0.25">
      <c r="B31" s="112" t="s">
        <v>674</v>
      </c>
      <c r="C31" s="950"/>
      <c r="D31" s="950">
        <v>1600</v>
      </c>
      <c r="E31" s="2">
        <v>1600</v>
      </c>
      <c r="F31" s="406">
        <f t="shared" si="1"/>
        <v>100</v>
      </c>
    </row>
    <row r="32" spans="1:6" ht="42" customHeight="1" thickBot="1" x14ac:dyDescent="0.3">
      <c r="B32" s="122" t="s">
        <v>234</v>
      </c>
      <c r="C32" s="75">
        <f>SUM(C16:C31)</f>
        <v>338710</v>
      </c>
      <c r="D32" s="75">
        <f>SUM(D16:D31)</f>
        <v>376676</v>
      </c>
      <c r="E32" s="75">
        <f>SUM(E16:E31)</f>
        <v>344106</v>
      </c>
      <c r="F32" s="95">
        <f t="shared" si="1"/>
        <v>91.353311599358605</v>
      </c>
    </row>
    <row r="33" spans="2:6" ht="27" customHeight="1" thickBot="1" x14ac:dyDescent="0.3">
      <c r="B33" s="24" t="s">
        <v>243</v>
      </c>
      <c r="C33" s="110">
        <f>C32+C14</f>
        <v>338710</v>
      </c>
      <c r="D33" s="110">
        <f>D32+D14</f>
        <v>390675</v>
      </c>
      <c r="E33" s="110">
        <f>E32+E14</f>
        <v>355203</v>
      </c>
      <c r="F33" s="95">
        <f t="shared" si="1"/>
        <v>90.920330197734685</v>
      </c>
    </row>
    <row r="34" spans="2:6" s="8" customFormat="1" ht="27" customHeight="1" thickBot="1" x14ac:dyDescent="0.3">
      <c r="B34" s="123" t="s">
        <v>244</v>
      </c>
      <c r="C34" s="75">
        <f>C10+C33</f>
        <v>1047946</v>
      </c>
      <c r="D34" s="75">
        <f>D10+D33</f>
        <v>1286991</v>
      </c>
      <c r="E34" s="75">
        <f>E10+E33</f>
        <v>1218387</v>
      </c>
      <c r="F34" s="95">
        <f t="shared" si="1"/>
        <v>94.669426592726751</v>
      </c>
    </row>
    <row r="35" spans="2:6" ht="27" customHeight="1" x14ac:dyDescent="0.2"/>
    <row r="36" spans="2:6" ht="27" customHeight="1" thickBot="1" x14ac:dyDescent="0.25">
      <c r="B36" s="444" t="s">
        <v>35</v>
      </c>
    </row>
    <row r="37" spans="2:6" ht="27" customHeight="1" x14ac:dyDescent="0.25">
      <c r="B37" s="113" t="s">
        <v>51</v>
      </c>
      <c r="C37" s="2680" t="s">
        <v>622</v>
      </c>
      <c r="D37" s="2680"/>
      <c r="E37" s="490" t="s">
        <v>602</v>
      </c>
      <c r="F37" s="43" t="s">
        <v>166</v>
      </c>
    </row>
    <row r="38" spans="2:6" ht="27" customHeight="1" thickBot="1" x14ac:dyDescent="0.3">
      <c r="B38" s="221"/>
      <c r="C38" s="57" t="s">
        <v>325</v>
      </c>
      <c r="D38" s="57" t="s">
        <v>164</v>
      </c>
      <c r="E38" s="70" t="s">
        <v>165</v>
      </c>
      <c r="F38" s="44" t="s">
        <v>167</v>
      </c>
    </row>
    <row r="39" spans="2:6" ht="42.75" customHeight="1" thickBot="1" x14ac:dyDescent="0.3">
      <c r="B39" s="447" t="s">
        <v>416</v>
      </c>
      <c r="C39" s="219"/>
      <c r="D39" s="219">
        <v>57009</v>
      </c>
      <c r="E39" s="219">
        <v>45520</v>
      </c>
      <c r="F39" s="448">
        <f>+E39/D39*100</f>
        <v>79.847041695170944</v>
      </c>
    </row>
    <row r="40" spans="2:6" ht="27" customHeight="1" thickBot="1" x14ac:dyDescent="0.3">
      <c r="B40" s="25" t="s">
        <v>236</v>
      </c>
      <c r="C40" s="140">
        <f>+C39</f>
        <v>0</v>
      </c>
      <c r="D40" s="140">
        <f>+D39</f>
        <v>57009</v>
      </c>
      <c r="E40" s="140">
        <f>+E39</f>
        <v>45520</v>
      </c>
      <c r="F40" s="359">
        <f>+E40/D40*100</f>
        <v>79.847041695170944</v>
      </c>
    </row>
    <row r="41" spans="2:6" ht="27" customHeight="1" thickBot="1" x14ac:dyDescent="0.25">
      <c r="B41" s="363"/>
      <c r="C41" s="4"/>
      <c r="D41" s="4"/>
      <c r="E41" s="4"/>
      <c r="F41" s="364"/>
    </row>
    <row r="42" spans="2:6" ht="27" customHeight="1" thickBot="1" x14ac:dyDescent="0.3">
      <c r="B42" s="199" t="s">
        <v>24</v>
      </c>
      <c r="C42" s="445">
        <f>+C34+C40</f>
        <v>1047946</v>
      </c>
      <c r="D42" s="445">
        <f>+D34+D40</f>
        <v>1344000</v>
      </c>
      <c r="E42" s="445">
        <f>+E34+E40</f>
        <v>1263907</v>
      </c>
      <c r="F42" s="95">
        <f>+E42/D42*100</f>
        <v>94.040699404761909</v>
      </c>
    </row>
    <row r="47" spans="2:6" ht="15" customHeight="1" x14ac:dyDescent="0.2">
      <c r="B47" s="446"/>
    </row>
  </sheetData>
  <mergeCells count="4">
    <mergeCell ref="B1:C1"/>
    <mergeCell ref="B2:F2"/>
    <mergeCell ref="C5:D5"/>
    <mergeCell ref="C37:D37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55" orientation="portrait" r:id="rId1"/>
  <headerFooter alignWithMargins="0">
    <oddHeader>&amp;R&amp;"Arial,Félkövér"&amp;14 10. melléklet a ...../2019. (........) önkormányzati 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8"/>
  <dimension ref="A1:H46"/>
  <sheetViews>
    <sheetView zoomScaleNormal="100" workbookViewId="0">
      <selection activeCell="G23" sqref="G23"/>
    </sheetView>
  </sheetViews>
  <sheetFormatPr defaultColWidth="9.33203125" defaultRowHeight="15" customHeight="1" x14ac:dyDescent="0.2"/>
  <cols>
    <col min="1" max="1" width="11.5" style="90" bestFit="1" customWidth="1"/>
    <col min="2" max="2" width="111.83203125" style="7" customWidth="1"/>
    <col min="3" max="6" width="22.1640625" style="7" customWidth="1"/>
    <col min="7" max="7" width="11.1640625" style="7" bestFit="1" customWidth="1"/>
    <col min="8" max="8" width="21" style="7" customWidth="1"/>
    <col min="9" max="16384" width="9.33203125" style="7"/>
  </cols>
  <sheetData>
    <row r="1" spans="1:8" ht="15" customHeight="1" x14ac:dyDescent="0.25">
      <c r="B1" s="2675"/>
      <c r="C1" s="2675"/>
    </row>
    <row r="2" spans="1:8" ht="24" customHeight="1" x14ac:dyDescent="0.3">
      <c r="B2" s="2682" t="s">
        <v>40</v>
      </c>
      <c r="C2" s="2682"/>
      <c r="D2" s="2683"/>
      <c r="E2" s="2683"/>
      <c r="F2" s="2683"/>
    </row>
    <row r="3" spans="1:8" ht="15" customHeight="1" x14ac:dyDescent="0.25">
      <c r="B3" s="12"/>
      <c r="C3" s="12"/>
    </row>
    <row r="4" spans="1:8" ht="22.5" customHeight="1" thickBot="1" x14ac:dyDescent="0.25">
      <c r="B4" s="222" t="s">
        <v>237</v>
      </c>
      <c r="C4" s="18"/>
      <c r="D4" s="18"/>
      <c r="E4" s="18"/>
      <c r="F4" s="14" t="s">
        <v>34</v>
      </c>
    </row>
    <row r="5" spans="1:8" ht="22.5" customHeight="1" x14ac:dyDescent="0.25">
      <c r="B5" s="401" t="s">
        <v>51</v>
      </c>
      <c r="C5" s="2684" t="s">
        <v>622</v>
      </c>
      <c r="D5" s="2685"/>
      <c r="E5" s="760" t="s">
        <v>602</v>
      </c>
      <c r="F5" s="43" t="s">
        <v>166</v>
      </c>
    </row>
    <row r="6" spans="1:8" ht="22.5" customHeight="1" thickBot="1" x14ac:dyDescent="0.3">
      <c r="B6" s="473"/>
      <c r="C6" s="57" t="s">
        <v>325</v>
      </c>
      <c r="D6" s="57" t="s">
        <v>164</v>
      </c>
      <c r="E6" s="70" t="s">
        <v>165</v>
      </c>
      <c r="F6" s="44" t="s">
        <v>167</v>
      </c>
    </row>
    <row r="7" spans="1:8" s="9" customFormat="1" ht="44.25" customHeight="1" x14ac:dyDescent="0.25">
      <c r="A7" s="91"/>
      <c r="B7" s="411" t="s">
        <v>55</v>
      </c>
      <c r="C7" s="326">
        <v>273199</v>
      </c>
      <c r="D7" s="326">
        <v>193677</v>
      </c>
      <c r="E7" s="326">
        <f>564736-E8-E9</f>
        <v>153735</v>
      </c>
      <c r="F7" s="443">
        <f t="shared" ref="F7:F25" si="0">+E7/D7*100</f>
        <v>79.377003980854724</v>
      </c>
      <c r="H7" s="8"/>
    </row>
    <row r="8" spans="1:8" s="9" customFormat="1" ht="54" customHeight="1" x14ac:dyDescent="0.25">
      <c r="A8" s="91"/>
      <c r="B8" s="411" t="s">
        <v>56</v>
      </c>
      <c r="C8" s="326">
        <v>260732</v>
      </c>
      <c r="D8" s="326">
        <v>387390</v>
      </c>
      <c r="E8" s="218">
        <v>387390</v>
      </c>
      <c r="F8" s="443">
        <f t="shared" si="0"/>
        <v>100</v>
      </c>
      <c r="H8" s="8"/>
    </row>
    <row r="9" spans="1:8" s="9" customFormat="1" ht="44.25" customHeight="1" thickBot="1" x14ac:dyDescent="0.3">
      <c r="A9" s="91"/>
      <c r="B9" s="336" t="s">
        <v>629</v>
      </c>
      <c r="C9" s="219"/>
      <c r="D9" s="219">
        <v>23611</v>
      </c>
      <c r="E9" s="219">
        <v>23611</v>
      </c>
      <c r="F9" s="443">
        <f t="shared" si="0"/>
        <v>100</v>
      </c>
      <c r="H9" s="8"/>
    </row>
    <row r="10" spans="1:8" s="9" customFormat="1" ht="22.5" customHeight="1" thickBot="1" x14ac:dyDescent="0.3">
      <c r="A10" s="91"/>
      <c r="B10" s="25" t="s">
        <v>238</v>
      </c>
      <c r="C10" s="224">
        <f>SUM(C7:C9)</f>
        <v>533931</v>
      </c>
      <c r="D10" s="75">
        <f>SUM(D7:D9)</f>
        <v>604678</v>
      </c>
      <c r="E10" s="224">
        <f>SUM(E7:E9)</f>
        <v>564736</v>
      </c>
      <c r="F10" s="68">
        <f t="shared" si="0"/>
        <v>93.394500874845789</v>
      </c>
      <c r="H10" s="8"/>
    </row>
    <row r="11" spans="1:8" ht="22.5" customHeight="1" x14ac:dyDescent="0.25">
      <c r="A11" s="408"/>
      <c r="B11" s="472" t="s">
        <v>83</v>
      </c>
      <c r="C11" s="409">
        <v>11770</v>
      </c>
      <c r="D11" s="409"/>
      <c r="E11" s="326"/>
      <c r="F11" s="443"/>
      <c r="H11" s="8"/>
    </row>
    <row r="12" spans="1:8" s="11" customFormat="1" ht="22.5" customHeight="1" x14ac:dyDescent="0.25">
      <c r="A12" s="455"/>
      <c r="B12" s="100" t="s">
        <v>362</v>
      </c>
      <c r="C12" s="76">
        <v>1000</v>
      </c>
      <c r="D12" s="76">
        <v>1000</v>
      </c>
      <c r="E12" s="76"/>
      <c r="F12" s="84">
        <f t="shared" si="0"/>
        <v>0</v>
      </c>
      <c r="H12" s="8"/>
    </row>
    <row r="13" spans="1:8" ht="22.5" customHeight="1" x14ac:dyDescent="0.25">
      <c r="B13" s="402" t="s">
        <v>96</v>
      </c>
      <c r="C13" s="73">
        <v>2000</v>
      </c>
      <c r="D13" s="73"/>
      <c r="E13" s="73"/>
      <c r="F13" s="84"/>
      <c r="H13" s="8"/>
    </row>
    <row r="14" spans="1:8" ht="22.5" customHeight="1" x14ac:dyDescent="0.25">
      <c r="B14" s="55" t="s">
        <v>115</v>
      </c>
      <c r="C14" s="54">
        <v>1500</v>
      </c>
      <c r="D14" s="54"/>
      <c r="E14" s="54"/>
      <c r="F14" s="84"/>
      <c r="H14" s="8"/>
    </row>
    <row r="15" spans="1:8" ht="22.5" customHeight="1" x14ac:dyDescent="0.25">
      <c r="B15" s="378" t="s">
        <v>1266</v>
      </c>
      <c r="C15" s="54">
        <v>1500</v>
      </c>
      <c r="D15" s="54">
        <v>1500</v>
      </c>
      <c r="E15" s="54">
        <f>781-1</f>
        <v>780</v>
      </c>
      <c r="F15" s="84">
        <f t="shared" si="0"/>
        <v>52</v>
      </c>
      <c r="H15" s="8"/>
    </row>
    <row r="16" spans="1:8" ht="22.5" customHeight="1" x14ac:dyDescent="0.25">
      <c r="B16" s="55" t="s">
        <v>265</v>
      </c>
      <c r="C16" s="54">
        <v>3000</v>
      </c>
      <c r="D16" s="54">
        <v>3000</v>
      </c>
      <c r="E16" s="54">
        <v>2711</v>
      </c>
      <c r="F16" s="84">
        <f t="shared" si="0"/>
        <v>90.36666666666666</v>
      </c>
      <c r="H16" s="8"/>
    </row>
    <row r="17" spans="1:8" ht="22.5" customHeight="1" x14ac:dyDescent="0.25">
      <c r="B17" s="55" t="s">
        <v>98</v>
      </c>
      <c r="C17" s="54">
        <v>2000</v>
      </c>
      <c r="D17" s="54">
        <v>2000</v>
      </c>
      <c r="E17" s="54">
        <v>2000</v>
      </c>
      <c r="F17" s="84">
        <f t="shared" si="0"/>
        <v>100</v>
      </c>
      <c r="H17" s="8"/>
    </row>
    <row r="18" spans="1:8" ht="22.5" customHeight="1" x14ac:dyDescent="0.25">
      <c r="B18" s="55" t="s">
        <v>116</v>
      </c>
      <c r="C18" s="54">
        <v>3000</v>
      </c>
      <c r="D18" s="54"/>
      <c r="E18" s="54"/>
      <c r="F18" s="84"/>
      <c r="H18" s="8"/>
    </row>
    <row r="19" spans="1:8" ht="39.75" customHeight="1" x14ac:dyDescent="0.25">
      <c r="B19" s="127" t="s">
        <v>84</v>
      </c>
      <c r="C19" s="54">
        <v>2000</v>
      </c>
      <c r="D19" s="54">
        <v>2000</v>
      </c>
      <c r="E19" s="54">
        <v>2000</v>
      </c>
      <c r="F19" s="84">
        <f t="shared" si="0"/>
        <v>100</v>
      </c>
      <c r="H19" s="8"/>
    </row>
    <row r="20" spans="1:8" ht="22.5" customHeight="1" x14ac:dyDescent="0.25">
      <c r="B20" s="220" t="s">
        <v>390</v>
      </c>
      <c r="C20" s="219">
        <v>34334</v>
      </c>
      <c r="D20" s="219">
        <v>34334</v>
      </c>
      <c r="E20" s="219">
        <v>34334</v>
      </c>
      <c r="F20" s="443">
        <f t="shared" si="0"/>
        <v>100</v>
      </c>
      <c r="H20" s="8"/>
    </row>
    <row r="21" spans="1:8" ht="22.5" customHeight="1" x14ac:dyDescent="0.25">
      <c r="B21" s="55" t="s">
        <v>131</v>
      </c>
      <c r="C21" s="54">
        <v>3000</v>
      </c>
      <c r="D21" s="54">
        <v>3000</v>
      </c>
      <c r="E21" s="74">
        <v>3000</v>
      </c>
      <c r="F21" s="84">
        <f t="shared" si="0"/>
        <v>100</v>
      </c>
      <c r="H21" s="8"/>
    </row>
    <row r="22" spans="1:8" ht="24.75" customHeight="1" x14ac:dyDescent="0.25">
      <c r="B22" s="330" t="s">
        <v>1267</v>
      </c>
      <c r="C22" s="78">
        <v>160</v>
      </c>
      <c r="D22" s="78">
        <v>160</v>
      </c>
      <c r="E22" s="77">
        <v>160</v>
      </c>
      <c r="F22" s="84">
        <f t="shared" si="0"/>
        <v>100</v>
      </c>
      <c r="H22" s="8"/>
    </row>
    <row r="23" spans="1:8" ht="22.5" customHeight="1" x14ac:dyDescent="0.25">
      <c r="B23" s="55" t="s">
        <v>363</v>
      </c>
      <c r="C23" s="54">
        <v>15000</v>
      </c>
      <c r="D23" s="54">
        <v>24046</v>
      </c>
      <c r="E23" s="74">
        <v>14947</v>
      </c>
      <c r="F23" s="84">
        <f t="shared" si="0"/>
        <v>62.160026615653329</v>
      </c>
      <c r="H23" s="8"/>
    </row>
    <row r="24" spans="1:8" ht="22.5" customHeight="1" thickBot="1" x14ac:dyDescent="0.3">
      <c r="B24" s="20" t="s">
        <v>245</v>
      </c>
      <c r="C24" s="60">
        <f>SUM(C11:C23)</f>
        <v>80264</v>
      </c>
      <c r="D24" s="111">
        <f>SUM(D11:D23)</f>
        <v>71040</v>
      </c>
      <c r="E24" s="60">
        <f>SUM(E11:E23)</f>
        <v>59932</v>
      </c>
      <c r="F24" s="312">
        <f t="shared" si="0"/>
        <v>84.363738738738732</v>
      </c>
      <c r="H24" s="8"/>
    </row>
    <row r="25" spans="1:8" s="9" customFormat="1" ht="22.5" customHeight="1" thickBot="1" x14ac:dyDescent="0.3">
      <c r="A25" s="91"/>
      <c r="B25" s="21" t="s">
        <v>246</v>
      </c>
      <c r="C25" s="61">
        <f>+C10+C24</f>
        <v>614195</v>
      </c>
      <c r="D25" s="110">
        <f>+D10+D24</f>
        <v>675718</v>
      </c>
      <c r="E25" s="61">
        <f>+E10+E24</f>
        <v>624668</v>
      </c>
      <c r="F25" s="141">
        <f t="shared" si="0"/>
        <v>92.445073240612203</v>
      </c>
      <c r="G25" s="8"/>
      <c r="H25" s="8"/>
    </row>
    <row r="26" spans="1:8" ht="15" customHeight="1" x14ac:dyDescent="0.25">
      <c r="H26" s="8"/>
    </row>
    <row r="27" spans="1:8" ht="23.25" customHeight="1" thickBot="1" x14ac:dyDescent="0.35">
      <c r="B27" s="196" t="s">
        <v>35</v>
      </c>
      <c r="C27" s="132"/>
      <c r="D27" s="132"/>
      <c r="E27" s="132"/>
      <c r="F27" s="14" t="s">
        <v>34</v>
      </c>
      <c r="H27" s="8"/>
    </row>
    <row r="28" spans="1:8" ht="22.5" customHeight="1" x14ac:dyDescent="0.25">
      <c r="B28" s="1977" t="s">
        <v>51</v>
      </c>
      <c r="C28" s="2684" t="s">
        <v>622</v>
      </c>
      <c r="D28" s="2680"/>
      <c r="E28" s="760" t="s">
        <v>602</v>
      </c>
      <c r="F28" s="43" t="s">
        <v>166</v>
      </c>
      <c r="H28" s="8"/>
    </row>
    <row r="29" spans="1:8" ht="22.5" customHeight="1" thickBot="1" x14ac:dyDescent="0.3">
      <c r="B29" s="89"/>
      <c r="C29" s="57" t="s">
        <v>325</v>
      </c>
      <c r="D29" s="57" t="s">
        <v>164</v>
      </c>
      <c r="E29" s="70" t="s">
        <v>165</v>
      </c>
      <c r="F29" s="44" t="s">
        <v>167</v>
      </c>
      <c r="H29" s="8"/>
    </row>
    <row r="30" spans="1:8" s="329" customFormat="1" ht="56.25" customHeight="1" x14ac:dyDescent="0.25">
      <c r="A30" s="332"/>
      <c r="B30" s="2102" t="s">
        <v>432</v>
      </c>
      <c r="C30" s="2103">
        <v>1990</v>
      </c>
      <c r="D30" s="2104">
        <v>14452</v>
      </c>
      <c r="E30" s="2104">
        <v>14452</v>
      </c>
      <c r="F30" s="424">
        <f>+E30/D30*100</f>
        <v>100</v>
      </c>
      <c r="H30" s="8"/>
    </row>
    <row r="31" spans="1:8" s="329" customFormat="1" ht="44.25" customHeight="1" thickBot="1" x14ac:dyDescent="0.3">
      <c r="A31" s="332"/>
      <c r="B31" s="389" t="s">
        <v>431</v>
      </c>
      <c r="C31" s="449">
        <v>5273</v>
      </c>
      <c r="D31" s="450">
        <v>55328</v>
      </c>
      <c r="E31" s="449">
        <f>45643-E30</f>
        <v>31191</v>
      </c>
      <c r="F31" s="341">
        <f>+E31/D31*100</f>
        <v>56.374710815500286</v>
      </c>
      <c r="H31" s="8"/>
    </row>
    <row r="32" spans="1:8" ht="22.5" customHeight="1" thickBot="1" x14ac:dyDescent="0.3">
      <c r="B32" s="25" t="s">
        <v>238</v>
      </c>
      <c r="C32" s="309">
        <f>SUM(C30:C31)</f>
        <v>7263</v>
      </c>
      <c r="D32" s="140">
        <f>SUM(D30:D31)</f>
        <v>69780</v>
      </c>
      <c r="E32" s="149">
        <f>SUM(E30:E31)</f>
        <v>45643</v>
      </c>
      <c r="F32" s="161">
        <f>+E32/D32*100</f>
        <v>65.40985955861278</v>
      </c>
      <c r="H32" s="8"/>
    </row>
    <row r="33" spans="2:8" ht="22.5" customHeight="1" thickBot="1" x14ac:dyDescent="0.3">
      <c r="B33" s="215"/>
      <c r="C33" s="198"/>
      <c r="D33" s="198"/>
      <c r="E33" s="223"/>
      <c r="F33" s="630"/>
      <c r="H33" s="8"/>
    </row>
    <row r="34" spans="2:8" ht="22.5" customHeight="1" thickBot="1" x14ac:dyDescent="0.3">
      <c r="B34" s="199" t="s">
        <v>21</v>
      </c>
      <c r="C34" s="200">
        <f>+C25+C32</f>
        <v>621458</v>
      </c>
      <c r="D34" s="200">
        <f>+D25+D32</f>
        <v>745498</v>
      </c>
      <c r="E34" s="200">
        <f>+E25+E32</f>
        <v>670311</v>
      </c>
      <c r="F34" s="308">
        <f>+E34/D34*100</f>
        <v>89.914526933673869</v>
      </c>
      <c r="H34" s="8"/>
    </row>
    <row r="35" spans="2:8" ht="15" customHeight="1" x14ac:dyDescent="0.25">
      <c r="H35" s="8"/>
    </row>
    <row r="36" spans="2:8" ht="15" customHeight="1" x14ac:dyDescent="0.25">
      <c r="E36" s="5"/>
      <c r="H36" s="8"/>
    </row>
    <row r="37" spans="2:8" ht="15" customHeight="1" x14ac:dyDescent="0.2">
      <c r="E37" s="5"/>
    </row>
    <row r="38" spans="2:8" ht="15" customHeight="1" x14ac:dyDescent="0.2">
      <c r="E38" s="5"/>
    </row>
    <row r="46" spans="2:8" ht="15" customHeight="1" x14ac:dyDescent="0.2">
      <c r="B46" s="331"/>
    </row>
  </sheetData>
  <mergeCells count="4">
    <mergeCell ref="B1:C1"/>
    <mergeCell ref="C5:D5"/>
    <mergeCell ref="B2:F2"/>
    <mergeCell ref="C28:D28"/>
  </mergeCells>
  <phoneticPr fontId="0" type="noConversion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58" orientation="portrait" r:id="rId1"/>
  <headerFooter alignWithMargins="0">
    <oddHeader xml:space="preserve">&amp;R&amp;"Arial,Félkövér"&amp;14 11. melléklet a ..../2019. (........) önkormányzati rendelethez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9"/>
  <dimension ref="A1:F47"/>
  <sheetViews>
    <sheetView zoomScaleNormal="100" workbookViewId="0">
      <selection activeCell="G23" sqref="G23"/>
    </sheetView>
  </sheetViews>
  <sheetFormatPr defaultColWidth="9.33203125" defaultRowHeight="15" customHeight="1" x14ac:dyDescent="0.2"/>
  <cols>
    <col min="1" max="1" width="17.83203125" style="90" customWidth="1"/>
    <col min="2" max="2" width="103.83203125" style="7" customWidth="1"/>
    <col min="3" max="3" width="22.33203125" style="7" customWidth="1"/>
    <col min="4" max="5" width="22.33203125" style="5" customWidth="1"/>
    <col min="6" max="6" width="22.33203125" style="7" customWidth="1"/>
    <col min="7" max="16384" width="9.33203125" style="7"/>
  </cols>
  <sheetData>
    <row r="1" spans="1:6" ht="15" customHeight="1" x14ac:dyDescent="0.25">
      <c r="B1" s="2675"/>
      <c r="C1" s="2675"/>
    </row>
    <row r="2" spans="1:6" ht="30.75" customHeight="1" x14ac:dyDescent="0.3">
      <c r="B2" s="2686" t="s">
        <v>53</v>
      </c>
      <c r="C2" s="2686"/>
      <c r="D2" s="2686"/>
      <c r="E2" s="2686"/>
      <c r="F2" s="2686"/>
    </row>
    <row r="4" spans="1:6" ht="24" customHeight="1" thickBot="1" x14ac:dyDescent="0.25">
      <c r="B4" s="222" t="s">
        <v>237</v>
      </c>
      <c r="C4" s="18"/>
      <c r="D4" s="82"/>
      <c r="E4" s="82"/>
      <c r="F4" s="14" t="s">
        <v>34</v>
      </c>
    </row>
    <row r="5" spans="1:6" ht="24" customHeight="1" x14ac:dyDescent="0.25">
      <c r="B5" s="401" t="s">
        <v>95</v>
      </c>
      <c r="C5" s="2684" t="s">
        <v>622</v>
      </c>
      <c r="D5" s="2685"/>
      <c r="E5" s="490" t="s">
        <v>602</v>
      </c>
      <c r="F5" s="43" t="s">
        <v>166</v>
      </c>
    </row>
    <row r="6" spans="1:6" ht="24" customHeight="1" thickBot="1" x14ac:dyDescent="0.3">
      <c r="B6" s="631"/>
      <c r="C6" s="57" t="s">
        <v>325</v>
      </c>
      <c r="D6" s="81" t="s">
        <v>164</v>
      </c>
      <c r="E6" s="70" t="s">
        <v>165</v>
      </c>
      <c r="F6" s="44" t="s">
        <v>167</v>
      </c>
    </row>
    <row r="7" spans="1:6" ht="39.950000000000003" customHeight="1" x14ac:dyDescent="0.2">
      <c r="B7" s="472" t="s">
        <v>57</v>
      </c>
      <c r="C7" s="409">
        <v>683468</v>
      </c>
      <c r="D7" s="409">
        <v>703984</v>
      </c>
      <c r="E7" s="218">
        <f>757916-E8-E9</f>
        <v>684656</v>
      </c>
      <c r="F7" s="443">
        <f t="shared" ref="F7:F15" si="0">+E7/D7*100</f>
        <v>97.254483056433102</v>
      </c>
    </row>
    <row r="8" spans="1:6" ht="39.950000000000003" customHeight="1" x14ac:dyDescent="0.2">
      <c r="B8" s="413" t="s">
        <v>58</v>
      </c>
      <c r="C8" s="218">
        <v>47906</v>
      </c>
      <c r="D8" s="218">
        <v>55901</v>
      </c>
      <c r="E8" s="218">
        <v>55901</v>
      </c>
      <c r="F8" s="311">
        <f t="shared" si="0"/>
        <v>100</v>
      </c>
    </row>
    <row r="9" spans="1:6" ht="39.950000000000003" customHeight="1" thickBot="1" x14ac:dyDescent="0.25">
      <c r="B9" s="414" t="s">
        <v>654</v>
      </c>
      <c r="C9" s="219"/>
      <c r="D9" s="219">
        <v>17359</v>
      </c>
      <c r="E9" s="219">
        <v>17359</v>
      </c>
      <c r="F9" s="443">
        <f t="shared" si="0"/>
        <v>100</v>
      </c>
    </row>
    <row r="10" spans="1:6" ht="24" customHeight="1" thickBot="1" x14ac:dyDescent="0.3">
      <c r="B10" s="25" t="s">
        <v>239</v>
      </c>
      <c r="C10" s="224">
        <f>SUM(C7:C9)</f>
        <v>731374</v>
      </c>
      <c r="D10" s="75">
        <f>SUM(D7:D9)</f>
        <v>777244</v>
      </c>
      <c r="E10" s="224">
        <f>SUM(E7:E9)</f>
        <v>757916</v>
      </c>
      <c r="F10" s="68">
        <f t="shared" si="0"/>
        <v>97.513264817740634</v>
      </c>
    </row>
    <row r="11" spans="1:6" ht="24" customHeight="1" x14ac:dyDescent="0.2">
      <c r="B11" s="225" t="s">
        <v>31</v>
      </c>
      <c r="C11" s="218">
        <v>300</v>
      </c>
      <c r="D11" s="218">
        <v>300</v>
      </c>
      <c r="E11" s="218"/>
      <c r="F11" s="311">
        <f t="shared" si="0"/>
        <v>0</v>
      </c>
    </row>
    <row r="12" spans="1:6" s="11" customFormat="1" ht="24" customHeight="1" x14ac:dyDescent="0.2">
      <c r="A12" s="92"/>
      <c r="B12" s="55" t="s">
        <v>89</v>
      </c>
      <c r="C12" s="52">
        <v>255</v>
      </c>
      <c r="D12" s="52">
        <v>255</v>
      </c>
      <c r="E12" s="52">
        <v>239</v>
      </c>
      <c r="F12" s="305">
        <f t="shared" si="0"/>
        <v>93.725490196078425</v>
      </c>
    </row>
    <row r="13" spans="1:6" ht="55.5" customHeight="1" thickBot="1" x14ac:dyDescent="0.25">
      <c r="B13" s="112" t="s">
        <v>196</v>
      </c>
      <c r="C13" s="46">
        <v>3000</v>
      </c>
      <c r="D13" s="46">
        <v>3000</v>
      </c>
      <c r="E13" s="46">
        <v>3000</v>
      </c>
      <c r="F13" s="84">
        <f t="shared" si="0"/>
        <v>100</v>
      </c>
    </row>
    <row r="14" spans="1:6" ht="24.75" customHeight="1" thickBot="1" x14ac:dyDescent="0.3">
      <c r="B14" s="25" t="s">
        <v>240</v>
      </c>
      <c r="C14" s="165">
        <f>SUM(C11:C13)</f>
        <v>3555</v>
      </c>
      <c r="D14" s="632">
        <f>SUM(D11:D13)</f>
        <v>3555</v>
      </c>
      <c r="E14" s="165">
        <f>SUM(E11:E13)</f>
        <v>3239</v>
      </c>
      <c r="F14" s="141">
        <f t="shared" si="0"/>
        <v>91.111111111111114</v>
      </c>
    </row>
    <row r="15" spans="1:6" ht="24" customHeight="1" thickBot="1" x14ac:dyDescent="0.3">
      <c r="B15" s="15" t="s">
        <v>241</v>
      </c>
      <c r="C15" s="61">
        <f>+C10+C14</f>
        <v>734929</v>
      </c>
      <c r="D15" s="110">
        <f>+D10+D14</f>
        <v>780799</v>
      </c>
      <c r="E15" s="61">
        <f>+E10+E14</f>
        <v>761155</v>
      </c>
      <c r="F15" s="68">
        <f t="shared" si="0"/>
        <v>97.484115630271035</v>
      </c>
    </row>
    <row r="16" spans="1:6" ht="20.100000000000001" customHeight="1" x14ac:dyDescent="0.25">
      <c r="B16" s="19"/>
      <c r="C16" s="3"/>
      <c r="D16" s="3"/>
      <c r="E16" s="3"/>
      <c r="F16" s="93"/>
    </row>
    <row r="17" spans="2:6" ht="24.75" customHeight="1" thickBot="1" x14ac:dyDescent="0.3">
      <c r="B17" s="222" t="s">
        <v>35</v>
      </c>
      <c r="C17" s="3"/>
      <c r="D17" s="3"/>
      <c r="E17" s="3"/>
      <c r="F17" s="93"/>
    </row>
    <row r="18" spans="2:6" ht="24.75" customHeight="1" x14ac:dyDescent="0.25">
      <c r="B18" s="492" t="s">
        <v>51</v>
      </c>
      <c r="C18" s="2684" t="s">
        <v>622</v>
      </c>
      <c r="D18" s="2685"/>
      <c r="E18" s="491" t="s">
        <v>602</v>
      </c>
      <c r="F18" s="43" t="s">
        <v>166</v>
      </c>
    </row>
    <row r="19" spans="2:6" ht="24.75" customHeight="1" thickBot="1" x14ac:dyDescent="0.3">
      <c r="B19" s="89"/>
      <c r="C19" s="486" t="s">
        <v>325</v>
      </c>
      <c r="D19" s="81" t="s">
        <v>164</v>
      </c>
      <c r="E19" s="240" t="s">
        <v>165</v>
      </c>
      <c r="F19" s="44" t="s">
        <v>167</v>
      </c>
    </row>
    <row r="20" spans="2:6" ht="41.1" customHeight="1" x14ac:dyDescent="0.2">
      <c r="B20" s="415" t="s">
        <v>58</v>
      </c>
      <c r="C20" s="633"/>
      <c r="D20" s="219">
        <v>908</v>
      </c>
      <c r="E20" s="634">
        <v>908</v>
      </c>
      <c r="F20" s="311">
        <f>+E20/D20*100</f>
        <v>100</v>
      </c>
    </row>
    <row r="21" spans="2:6" ht="41.1" customHeight="1" thickBot="1" x14ac:dyDescent="0.25">
      <c r="B21" s="336" t="s">
        <v>57</v>
      </c>
      <c r="C21" s="227">
        <v>14109</v>
      </c>
      <c r="D21" s="218">
        <v>30656</v>
      </c>
      <c r="E21" s="635">
        <f>27985-E20</f>
        <v>27077</v>
      </c>
      <c r="F21" s="311">
        <f>+E21/D21*100</f>
        <v>88.325287056367429</v>
      </c>
    </row>
    <row r="22" spans="2:6" ht="25.5" customHeight="1" thickBot="1" x14ac:dyDescent="0.3">
      <c r="B22" s="25" t="s">
        <v>247</v>
      </c>
      <c r="C22" s="138">
        <f>SUM(C20:C21)</f>
        <v>14109</v>
      </c>
      <c r="D22" s="26">
        <f>SUM(D20:D21)</f>
        <v>31564</v>
      </c>
      <c r="E22" s="636">
        <f>SUM(E20:E21)</f>
        <v>27985</v>
      </c>
      <c r="F22" s="637">
        <f>+E22/D22*100</f>
        <v>88.661132936256493</v>
      </c>
    </row>
    <row r="23" spans="2:6" ht="15" customHeight="1" thickBot="1" x14ac:dyDescent="0.3">
      <c r="B23" s="215"/>
      <c r="C23" s="198"/>
      <c r="D23" s="198"/>
      <c r="E23" s="223"/>
      <c r="F23" s="638"/>
    </row>
    <row r="24" spans="2:6" ht="24.75" customHeight="1" thickBot="1" x14ac:dyDescent="0.3">
      <c r="B24" s="199" t="s">
        <v>248</v>
      </c>
      <c r="C24" s="226">
        <f>C15+C22</f>
        <v>749038</v>
      </c>
      <c r="D24" s="200">
        <f>D15+D22</f>
        <v>812363</v>
      </c>
      <c r="E24" s="200">
        <f>E15+E22</f>
        <v>789140</v>
      </c>
      <c r="F24" s="308">
        <f>+E24/D24*100</f>
        <v>97.141302595022168</v>
      </c>
    </row>
    <row r="27" spans="2:6" ht="15" customHeight="1" x14ac:dyDescent="0.2">
      <c r="B27" s="14"/>
    </row>
    <row r="45" spans="1:2" ht="15" customHeight="1" x14ac:dyDescent="0.2">
      <c r="A45" s="365"/>
      <c r="B45" s="1"/>
    </row>
    <row r="46" spans="1:2" ht="15" customHeight="1" x14ac:dyDescent="0.2">
      <c r="A46" s="365"/>
      <c r="B46" s="366"/>
    </row>
    <row r="47" spans="1:2" ht="15" customHeight="1" x14ac:dyDescent="0.2">
      <c r="A47" s="365"/>
      <c r="B47" s="1"/>
    </row>
  </sheetData>
  <mergeCells count="4">
    <mergeCell ref="B1:C1"/>
    <mergeCell ref="C5:D5"/>
    <mergeCell ref="B2:F2"/>
    <mergeCell ref="C18:D18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headerFooter alignWithMargins="0">
    <oddHeader>&amp;R&amp;"Arial,Félkövér"&amp;14 12. melléklet a ..../2019. (........) 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20"/>
  <dimension ref="A1:I108"/>
  <sheetViews>
    <sheetView zoomScale="75" zoomScaleNormal="75" zoomScaleSheetLayoutView="50" workbookViewId="0">
      <selection activeCell="B84" sqref="B84"/>
    </sheetView>
  </sheetViews>
  <sheetFormatPr defaultColWidth="9.33203125" defaultRowHeight="15" customHeight="1" x14ac:dyDescent="0.2"/>
  <cols>
    <col min="1" max="1" width="33.5" style="90" bestFit="1" customWidth="1"/>
    <col min="2" max="2" width="167.83203125" style="7" customWidth="1"/>
    <col min="3" max="3" width="36.83203125" style="7" customWidth="1"/>
    <col min="4" max="5" width="36.83203125" style="5" customWidth="1"/>
    <col min="6" max="6" width="29.5" style="7" customWidth="1"/>
    <col min="7" max="7" width="24" style="7" customWidth="1"/>
    <col min="8" max="9" width="19.1640625" style="7" customWidth="1"/>
    <col min="10" max="16384" width="9.33203125" style="7"/>
  </cols>
  <sheetData>
    <row r="1" spans="1:9" ht="8.25" customHeight="1" x14ac:dyDescent="0.25">
      <c r="B1" s="2675"/>
      <c r="C1" s="2675"/>
    </row>
    <row r="2" spans="1:9" ht="33" customHeight="1" x14ac:dyDescent="0.35">
      <c r="B2" s="2689" t="s">
        <v>338</v>
      </c>
      <c r="C2" s="2689"/>
      <c r="D2" s="2689"/>
      <c r="E2" s="2689"/>
      <c r="F2" s="2689"/>
    </row>
    <row r="3" spans="1:9" ht="29.25" customHeight="1" thickBot="1" x14ac:dyDescent="0.35">
      <c r="B3" s="382"/>
      <c r="C3" s="383"/>
      <c r="D3" s="384"/>
      <c r="E3" s="384"/>
      <c r="F3" s="383" t="s">
        <v>34</v>
      </c>
    </row>
    <row r="4" spans="1:9" ht="30" customHeight="1" x14ac:dyDescent="0.3">
      <c r="A4" s="385"/>
      <c r="B4" s="639" t="s">
        <v>51</v>
      </c>
      <c r="C4" s="2687" t="s">
        <v>622</v>
      </c>
      <c r="D4" s="2688"/>
      <c r="E4" s="640" t="s">
        <v>602</v>
      </c>
      <c r="F4" s="641" t="s">
        <v>166</v>
      </c>
    </row>
    <row r="5" spans="1:9" ht="30" customHeight="1" thickBot="1" x14ac:dyDescent="0.35">
      <c r="A5" s="385"/>
      <c r="B5" s="642"/>
      <c r="C5" s="643" t="s">
        <v>325</v>
      </c>
      <c r="D5" s="644" t="s">
        <v>164</v>
      </c>
      <c r="E5" s="645" t="s">
        <v>165</v>
      </c>
      <c r="F5" s="646" t="s">
        <v>167</v>
      </c>
    </row>
    <row r="6" spans="1:9" ht="30" customHeight="1" x14ac:dyDescent="0.3">
      <c r="A6" s="385"/>
      <c r="B6" s="647" t="s">
        <v>111</v>
      </c>
      <c r="C6" s="648">
        <v>139148</v>
      </c>
      <c r="D6" s="648">
        <v>159293</v>
      </c>
      <c r="E6" s="648">
        <v>154696</v>
      </c>
      <c r="F6" s="649">
        <f>+E6/D6*100</f>
        <v>97.114123031143862</v>
      </c>
    </row>
    <row r="7" spans="1:9" ht="30" customHeight="1" x14ac:dyDescent="0.3">
      <c r="A7" s="385"/>
      <c r="B7" s="650" t="s">
        <v>75</v>
      </c>
      <c r="C7" s="651">
        <v>1706262</v>
      </c>
      <c r="D7" s="651">
        <v>1973519</v>
      </c>
      <c r="E7" s="652">
        <v>1718783</v>
      </c>
      <c r="F7" s="653">
        <f>+E7/D7*100</f>
        <v>87.092295539085256</v>
      </c>
    </row>
    <row r="8" spans="1:9" ht="30" customHeight="1" x14ac:dyDescent="0.3">
      <c r="A8" s="385"/>
      <c r="B8" s="654" t="s">
        <v>223</v>
      </c>
      <c r="C8" s="655">
        <v>185000</v>
      </c>
      <c r="D8" s="655">
        <v>200783</v>
      </c>
      <c r="E8" s="656">
        <v>184928</v>
      </c>
      <c r="F8" s="657">
        <f>+E8/D8*100</f>
        <v>92.103415129766958</v>
      </c>
    </row>
    <row r="9" spans="1:9" ht="30" customHeight="1" thickBot="1" x14ac:dyDescent="0.35">
      <c r="A9" s="385"/>
      <c r="B9" s="658" t="s">
        <v>337</v>
      </c>
      <c r="C9" s="659">
        <f>SUM(C6:C8)</f>
        <v>2030410</v>
      </c>
      <c r="D9" s="660">
        <f>SUM(D6:D8)</f>
        <v>2333595</v>
      </c>
      <c r="E9" s="660">
        <f>SUM(E6:E8)</f>
        <v>2058407</v>
      </c>
      <c r="F9" s="661">
        <f>+E9/D9*100</f>
        <v>88.207551010350983</v>
      </c>
    </row>
    <row r="10" spans="1:9" ht="30" customHeight="1" x14ac:dyDescent="0.35">
      <c r="A10" s="385"/>
      <c r="B10" s="662" t="s">
        <v>332</v>
      </c>
      <c r="C10" s="663"/>
      <c r="D10" s="648"/>
      <c r="E10" s="648"/>
      <c r="F10" s="649"/>
    </row>
    <row r="11" spans="1:9" s="11" customFormat="1" ht="30" customHeight="1" x14ac:dyDescent="0.3">
      <c r="A11" s="386"/>
      <c r="B11" s="664" t="s">
        <v>17</v>
      </c>
      <c r="C11" s="665">
        <v>250000</v>
      </c>
      <c r="D11" s="665">
        <v>250000</v>
      </c>
      <c r="E11" s="666">
        <v>428285</v>
      </c>
      <c r="F11" s="667">
        <f>+E11/D11*100</f>
        <v>171.31400000000002</v>
      </c>
    </row>
    <row r="12" spans="1:9" s="11" customFormat="1" ht="35.25" customHeight="1" x14ac:dyDescent="0.3">
      <c r="A12" s="387"/>
      <c r="B12" s="668" t="s">
        <v>333</v>
      </c>
      <c r="C12" s="669">
        <v>700000</v>
      </c>
      <c r="D12" s="669">
        <v>700000</v>
      </c>
      <c r="E12" s="669">
        <v>683545</v>
      </c>
      <c r="F12" s="670">
        <f>+E12/D12*100</f>
        <v>97.64928571428571</v>
      </c>
    </row>
    <row r="13" spans="1:9" s="11" customFormat="1" ht="30" customHeight="1" x14ac:dyDescent="0.3">
      <c r="A13" s="387"/>
      <c r="B13" s="668" t="s">
        <v>153</v>
      </c>
      <c r="C13" s="669">
        <v>70000</v>
      </c>
      <c r="D13" s="669"/>
      <c r="E13" s="671"/>
      <c r="F13" s="670"/>
    </row>
    <row r="14" spans="1:9" ht="30" customHeight="1" x14ac:dyDescent="0.3">
      <c r="A14" s="385"/>
      <c r="B14" s="668" t="s">
        <v>289</v>
      </c>
      <c r="C14" s="669"/>
      <c r="D14" s="669">
        <v>75867</v>
      </c>
      <c r="E14" s="669">
        <v>53251</v>
      </c>
      <c r="F14" s="670">
        <f>+E14/D14*100</f>
        <v>70.189937654052486</v>
      </c>
      <c r="G14" s="11"/>
      <c r="H14" s="11"/>
      <c r="I14" s="11"/>
    </row>
    <row r="15" spans="1:9" ht="30" customHeight="1" x14ac:dyDescent="0.3">
      <c r="A15" s="385"/>
      <c r="B15" s="668" t="s">
        <v>266</v>
      </c>
      <c r="C15" s="669"/>
      <c r="D15" s="669">
        <v>140895</v>
      </c>
      <c r="E15" s="669">
        <v>140895</v>
      </c>
      <c r="F15" s="670">
        <f>+E15/D15*100</f>
        <v>100</v>
      </c>
    </row>
    <row r="16" spans="1:9" ht="30" customHeight="1" x14ac:dyDescent="0.3">
      <c r="A16" s="385"/>
      <c r="B16" s="676" t="s">
        <v>267</v>
      </c>
      <c r="C16" s="666"/>
      <c r="D16" s="666">
        <v>26856</v>
      </c>
      <c r="E16" s="666">
        <v>26856</v>
      </c>
      <c r="F16" s="670">
        <f>+E16/D16*100</f>
        <v>100</v>
      </c>
    </row>
    <row r="17" spans="1:6" ht="30" customHeight="1" x14ac:dyDescent="0.3">
      <c r="A17" s="385"/>
      <c r="B17" s="668" t="s">
        <v>11</v>
      </c>
      <c r="C17" s="669">
        <v>389230</v>
      </c>
      <c r="D17" s="669">
        <v>408280</v>
      </c>
      <c r="E17" s="669">
        <v>401930</v>
      </c>
      <c r="F17" s="670">
        <f>+E17/D17*100</f>
        <v>98.444694817282254</v>
      </c>
    </row>
    <row r="18" spans="1:6" ht="30" customHeight="1" x14ac:dyDescent="0.3">
      <c r="A18" s="385"/>
      <c r="B18" s="677" t="s">
        <v>143</v>
      </c>
      <c r="C18" s="678">
        <f>SUM(C11:C17)</f>
        <v>1409230</v>
      </c>
      <c r="D18" s="679">
        <f>SUM(D11:D17)</f>
        <v>1601898</v>
      </c>
      <c r="E18" s="679">
        <f>SUM(E11:E17)</f>
        <v>1734762</v>
      </c>
      <c r="F18" s="680">
        <f t="shared" ref="F18" si="0">+E18/D18*100</f>
        <v>108.2941610514527</v>
      </c>
    </row>
    <row r="19" spans="1:6" ht="30" customHeight="1" x14ac:dyDescent="0.35">
      <c r="A19" s="385"/>
      <c r="B19" s="681" t="s">
        <v>45</v>
      </c>
      <c r="C19" s="655"/>
      <c r="D19" s="655"/>
      <c r="E19" s="655"/>
      <c r="F19" s="657"/>
    </row>
    <row r="20" spans="1:6" ht="30" customHeight="1" x14ac:dyDescent="0.3">
      <c r="A20" s="386"/>
      <c r="B20" s="676" t="s">
        <v>151</v>
      </c>
      <c r="C20" s="666">
        <v>48000</v>
      </c>
      <c r="D20" s="666">
        <v>48000</v>
      </c>
      <c r="E20" s="666">
        <v>46422</v>
      </c>
      <c r="F20" s="682">
        <f t="shared" ref="F20:F31" si="1">+E20/D20*100</f>
        <v>96.712500000000006</v>
      </c>
    </row>
    <row r="21" spans="1:6" ht="30" customHeight="1" x14ac:dyDescent="0.3">
      <c r="A21" s="385"/>
      <c r="B21" s="672" t="s">
        <v>403</v>
      </c>
      <c r="C21" s="673">
        <v>12000</v>
      </c>
      <c r="D21" s="673">
        <v>7013</v>
      </c>
      <c r="E21" s="673">
        <v>6595</v>
      </c>
      <c r="F21" s="675">
        <f t="shared" si="1"/>
        <v>94.039640667332108</v>
      </c>
    </row>
    <row r="22" spans="1:6" ht="30" customHeight="1" x14ac:dyDescent="0.3">
      <c r="A22" s="386"/>
      <c r="B22" s="676" t="s">
        <v>18</v>
      </c>
      <c r="C22" s="666">
        <v>12000</v>
      </c>
      <c r="D22" s="666">
        <v>12000</v>
      </c>
      <c r="E22" s="666">
        <v>10942</v>
      </c>
      <c r="F22" s="682">
        <f t="shared" si="1"/>
        <v>91.183333333333337</v>
      </c>
    </row>
    <row r="23" spans="1:6" ht="30" customHeight="1" x14ac:dyDescent="0.3">
      <c r="A23" s="385"/>
      <c r="B23" s="683" t="s">
        <v>206</v>
      </c>
      <c r="C23" s="673">
        <v>4000</v>
      </c>
      <c r="D23" s="673">
        <v>4969</v>
      </c>
      <c r="E23" s="673">
        <f>3275-1</f>
        <v>3274</v>
      </c>
      <c r="F23" s="685">
        <f t="shared" si="1"/>
        <v>65.888508754276515</v>
      </c>
    </row>
    <row r="24" spans="1:6" ht="30" customHeight="1" x14ac:dyDescent="0.3">
      <c r="A24" s="386"/>
      <c r="B24" s="683" t="s">
        <v>341</v>
      </c>
      <c r="C24" s="651">
        <v>6000</v>
      </c>
      <c r="D24" s="651">
        <v>7324</v>
      </c>
      <c r="E24" s="673">
        <v>6230</v>
      </c>
      <c r="F24" s="685">
        <f t="shared" si="1"/>
        <v>85.062807209175318</v>
      </c>
    </row>
    <row r="25" spans="1:6" s="11" customFormat="1" ht="30" customHeight="1" x14ac:dyDescent="0.3">
      <c r="A25" s="385"/>
      <c r="B25" s="683" t="s">
        <v>160</v>
      </c>
      <c r="C25" s="673">
        <v>6000</v>
      </c>
      <c r="D25" s="673">
        <v>13394</v>
      </c>
      <c r="E25" s="673">
        <v>13394</v>
      </c>
      <c r="F25" s="685">
        <f t="shared" si="1"/>
        <v>100</v>
      </c>
    </row>
    <row r="26" spans="1:6" ht="30" customHeight="1" x14ac:dyDescent="0.3">
      <c r="A26" s="386"/>
      <c r="B26" s="686" t="s">
        <v>385</v>
      </c>
      <c r="C26" s="665">
        <v>13040</v>
      </c>
      <c r="D26" s="665">
        <v>13040</v>
      </c>
      <c r="E26" s="665">
        <v>13040</v>
      </c>
      <c r="F26" s="682">
        <f t="shared" si="1"/>
        <v>100</v>
      </c>
    </row>
    <row r="27" spans="1:6" s="11" customFormat="1" ht="30" customHeight="1" x14ac:dyDescent="0.3">
      <c r="A27" s="385"/>
      <c r="B27" s="687" t="s">
        <v>665</v>
      </c>
      <c r="C27" s="688">
        <v>1000</v>
      </c>
      <c r="D27" s="688">
        <v>1000</v>
      </c>
      <c r="E27" s="688">
        <v>1000</v>
      </c>
      <c r="F27" s="685">
        <f t="shared" si="1"/>
        <v>100</v>
      </c>
    </row>
    <row r="28" spans="1:6" s="11" customFormat="1" ht="52.5" customHeight="1" x14ac:dyDescent="0.3">
      <c r="A28" s="385"/>
      <c r="B28" s="690" t="s">
        <v>666</v>
      </c>
      <c r="C28" s="688">
        <v>1370</v>
      </c>
      <c r="D28" s="688">
        <v>1370</v>
      </c>
      <c r="E28" s="688">
        <v>1370</v>
      </c>
      <c r="F28" s="685">
        <f t="shared" si="1"/>
        <v>100</v>
      </c>
    </row>
    <row r="29" spans="1:6" s="11" customFormat="1" ht="30" customHeight="1" x14ac:dyDescent="0.3">
      <c r="A29" s="385"/>
      <c r="B29" s="690" t="s">
        <v>170</v>
      </c>
      <c r="C29" s="651">
        <v>500</v>
      </c>
      <c r="D29" s="651">
        <v>700</v>
      </c>
      <c r="E29" s="673">
        <v>700</v>
      </c>
      <c r="F29" s="685">
        <f>+E29/D29*100</f>
        <v>100</v>
      </c>
    </row>
    <row r="30" spans="1:6" ht="30" customHeight="1" x14ac:dyDescent="0.3">
      <c r="A30" s="386"/>
      <c r="B30" s="691" t="s">
        <v>335</v>
      </c>
      <c r="C30" s="688">
        <v>3335</v>
      </c>
      <c r="D30" s="688">
        <v>3335</v>
      </c>
      <c r="E30" s="688">
        <v>1695</v>
      </c>
      <c r="F30" s="685">
        <f t="shared" si="1"/>
        <v>50.824587706146929</v>
      </c>
    </row>
    <row r="31" spans="1:6" ht="30" customHeight="1" x14ac:dyDescent="0.3">
      <c r="A31" s="385"/>
      <c r="B31" s="683" t="s">
        <v>334</v>
      </c>
      <c r="C31" s="673">
        <v>4400</v>
      </c>
      <c r="D31" s="673">
        <v>4700</v>
      </c>
      <c r="E31" s="673">
        <v>3790</v>
      </c>
      <c r="F31" s="685">
        <f t="shared" si="1"/>
        <v>80.638297872340431</v>
      </c>
    </row>
    <row r="32" spans="1:6" s="11" customFormat="1" ht="30" customHeight="1" x14ac:dyDescent="0.3">
      <c r="A32" s="386"/>
      <c r="B32" s="683" t="s">
        <v>317</v>
      </c>
      <c r="C32" s="673">
        <v>10000</v>
      </c>
      <c r="D32" s="673">
        <v>11000</v>
      </c>
      <c r="E32" s="673">
        <v>11000</v>
      </c>
      <c r="F32" s="685">
        <f>+E32/D32*100</f>
        <v>100</v>
      </c>
    </row>
    <row r="33" spans="1:6" s="11" customFormat="1" ht="30" customHeight="1" x14ac:dyDescent="0.3">
      <c r="A33" s="386"/>
      <c r="B33" s="683" t="s">
        <v>331</v>
      </c>
      <c r="C33" s="673">
        <v>4000</v>
      </c>
      <c r="D33" s="673">
        <v>19780</v>
      </c>
      <c r="E33" s="673">
        <v>14235</v>
      </c>
      <c r="F33" s="685">
        <f>+E33/D33*100</f>
        <v>71.966632962588477</v>
      </c>
    </row>
    <row r="34" spans="1:6" s="11" customFormat="1" ht="30" customHeight="1" x14ac:dyDescent="0.3">
      <c r="A34" s="385"/>
      <c r="B34" s="690" t="s">
        <v>386</v>
      </c>
      <c r="C34" s="651">
        <v>2200</v>
      </c>
      <c r="D34" s="651">
        <v>2200</v>
      </c>
      <c r="E34" s="673">
        <v>2200</v>
      </c>
      <c r="F34" s="685">
        <f t="shared" ref="F34:F55" si="2">+E34/D34*100</f>
        <v>100</v>
      </c>
    </row>
    <row r="35" spans="1:6" s="11" customFormat="1" ht="30" customHeight="1" x14ac:dyDescent="0.3">
      <c r="A35" s="385"/>
      <c r="B35" s="690" t="s">
        <v>632</v>
      </c>
      <c r="C35" s="651">
        <v>1000</v>
      </c>
      <c r="D35" s="651">
        <v>1000</v>
      </c>
      <c r="E35" s="674">
        <v>1000</v>
      </c>
      <c r="F35" s="685">
        <f t="shared" si="2"/>
        <v>100</v>
      </c>
    </row>
    <row r="36" spans="1:6" s="11" customFormat="1" ht="30" customHeight="1" x14ac:dyDescent="0.3">
      <c r="A36" s="386"/>
      <c r="B36" s="690" t="s">
        <v>347</v>
      </c>
      <c r="C36" s="651">
        <v>380000</v>
      </c>
      <c r="D36" s="651">
        <v>330000</v>
      </c>
      <c r="E36" s="674">
        <v>330000</v>
      </c>
      <c r="F36" s="685">
        <f t="shared" si="2"/>
        <v>100</v>
      </c>
    </row>
    <row r="37" spans="1:6" s="11" customFormat="1" ht="30" customHeight="1" x14ac:dyDescent="0.3">
      <c r="A37" s="385"/>
      <c r="B37" s="683" t="s">
        <v>68</v>
      </c>
      <c r="C37" s="651">
        <v>600</v>
      </c>
      <c r="D37" s="651"/>
      <c r="E37" s="674"/>
      <c r="F37" s="685"/>
    </row>
    <row r="38" spans="1:6" s="11" customFormat="1" ht="52.5" customHeight="1" x14ac:dyDescent="0.3">
      <c r="A38" s="386"/>
      <c r="B38" s="692" t="s">
        <v>1268</v>
      </c>
      <c r="C38" s="673">
        <v>2300</v>
      </c>
      <c r="D38" s="673">
        <v>100</v>
      </c>
      <c r="E38" s="673">
        <v>100</v>
      </c>
      <c r="F38" s="685">
        <f t="shared" si="2"/>
        <v>100</v>
      </c>
    </row>
    <row r="39" spans="1:6" s="11" customFormat="1" ht="30" customHeight="1" x14ac:dyDescent="0.3">
      <c r="A39" s="386"/>
      <c r="B39" s="683" t="s">
        <v>27</v>
      </c>
      <c r="C39" s="694">
        <v>5000</v>
      </c>
      <c r="D39" s="694">
        <v>5000</v>
      </c>
      <c r="E39" s="695">
        <v>5000</v>
      </c>
      <c r="F39" s="657">
        <f t="shared" si="2"/>
        <v>100</v>
      </c>
    </row>
    <row r="40" spans="1:6" s="11" customFormat="1" ht="51.95" customHeight="1" x14ac:dyDescent="0.3">
      <c r="A40" s="387"/>
      <c r="B40" s="693" t="s">
        <v>527</v>
      </c>
      <c r="C40" s="673">
        <v>5500</v>
      </c>
      <c r="D40" s="673">
        <v>5500</v>
      </c>
      <c r="E40" s="674">
        <v>3575</v>
      </c>
      <c r="F40" s="653">
        <f t="shared" si="2"/>
        <v>65</v>
      </c>
    </row>
    <row r="41" spans="1:6" s="11" customFormat="1" ht="30" customHeight="1" x14ac:dyDescent="0.3">
      <c r="A41" s="385"/>
      <c r="B41" s="793" t="s">
        <v>528</v>
      </c>
      <c r="C41" s="694"/>
      <c r="D41" s="694"/>
      <c r="E41" s="695"/>
      <c r="F41" s="696"/>
    </row>
    <row r="42" spans="1:6" s="11" customFormat="1" ht="30" customHeight="1" x14ac:dyDescent="0.3">
      <c r="A42" s="385"/>
      <c r="B42" s="794" t="s">
        <v>529</v>
      </c>
      <c r="C42" s="694">
        <v>20000</v>
      </c>
      <c r="D42" s="694">
        <v>20000</v>
      </c>
      <c r="E42" s="695">
        <v>20000</v>
      </c>
      <c r="F42" s="696">
        <f t="shared" si="2"/>
        <v>100</v>
      </c>
    </row>
    <row r="43" spans="1:6" s="11" customFormat="1" ht="30" customHeight="1" x14ac:dyDescent="0.3">
      <c r="A43" s="385"/>
      <c r="B43" s="794" t="s">
        <v>563</v>
      </c>
      <c r="C43" s="694"/>
      <c r="D43" s="694">
        <v>11430</v>
      </c>
      <c r="E43" s="695">
        <v>10000</v>
      </c>
      <c r="F43" s="696">
        <f t="shared" si="2"/>
        <v>87.489063867016625</v>
      </c>
    </row>
    <row r="44" spans="1:6" s="11" customFormat="1" ht="30" customHeight="1" x14ac:dyDescent="0.3">
      <c r="A44" s="385"/>
      <c r="B44" s="795" t="s">
        <v>530</v>
      </c>
      <c r="C44" s="694">
        <v>20000</v>
      </c>
      <c r="D44" s="694">
        <v>22000</v>
      </c>
      <c r="E44" s="695">
        <v>20000</v>
      </c>
      <c r="F44" s="696">
        <f t="shared" si="2"/>
        <v>90.909090909090907</v>
      </c>
    </row>
    <row r="45" spans="1:6" s="11" customFormat="1" ht="30" customHeight="1" x14ac:dyDescent="0.3">
      <c r="A45" s="385"/>
      <c r="B45" s="795" t="s">
        <v>531</v>
      </c>
      <c r="C45" s="694">
        <v>15000</v>
      </c>
      <c r="D45" s="694">
        <v>15800</v>
      </c>
      <c r="E45" s="695">
        <v>15000</v>
      </c>
      <c r="F45" s="696">
        <f t="shared" si="2"/>
        <v>94.936708860759495</v>
      </c>
    </row>
    <row r="46" spans="1:6" s="11" customFormat="1" ht="30" customHeight="1" x14ac:dyDescent="0.3">
      <c r="A46" s="385"/>
      <c r="B46" s="795" t="s">
        <v>661</v>
      </c>
      <c r="C46" s="694"/>
      <c r="D46" s="694">
        <v>15000</v>
      </c>
      <c r="E46" s="695">
        <v>15000</v>
      </c>
      <c r="F46" s="696">
        <f t="shared" si="2"/>
        <v>100</v>
      </c>
    </row>
    <row r="47" spans="1:6" s="11" customFormat="1" ht="30" customHeight="1" x14ac:dyDescent="0.3">
      <c r="A47" s="385"/>
      <c r="B47" s="795" t="s">
        <v>662</v>
      </c>
      <c r="C47" s="694"/>
      <c r="D47" s="694">
        <v>5000</v>
      </c>
      <c r="E47" s="695"/>
      <c r="F47" s="696">
        <f t="shared" si="2"/>
        <v>0</v>
      </c>
    </row>
    <row r="48" spans="1:6" s="11" customFormat="1" ht="30" customHeight="1" x14ac:dyDescent="0.3">
      <c r="A48" s="385"/>
      <c r="B48" s="795" t="s">
        <v>532</v>
      </c>
      <c r="C48" s="694">
        <v>80000</v>
      </c>
      <c r="D48" s="694">
        <v>80000</v>
      </c>
      <c r="E48" s="695">
        <v>80000</v>
      </c>
      <c r="F48" s="696">
        <f t="shared" si="2"/>
        <v>100</v>
      </c>
    </row>
    <row r="49" spans="1:6" s="11" customFormat="1" ht="42.75" customHeight="1" x14ac:dyDescent="0.3">
      <c r="A49" s="385"/>
      <c r="B49" s="795" t="s">
        <v>533</v>
      </c>
      <c r="C49" s="694">
        <v>10000</v>
      </c>
      <c r="D49" s="694">
        <v>10000</v>
      </c>
      <c r="E49" s="695">
        <v>10000</v>
      </c>
      <c r="F49" s="696">
        <f t="shared" si="2"/>
        <v>100</v>
      </c>
    </row>
    <row r="50" spans="1:6" s="11" customFormat="1" ht="45.75" customHeight="1" x14ac:dyDescent="0.3">
      <c r="A50" s="385"/>
      <c r="B50" s="795" t="s">
        <v>534</v>
      </c>
      <c r="C50" s="694">
        <v>10000</v>
      </c>
      <c r="D50" s="694">
        <v>10000</v>
      </c>
      <c r="E50" s="695">
        <v>10000</v>
      </c>
      <c r="F50" s="696">
        <f t="shared" si="2"/>
        <v>100</v>
      </c>
    </row>
    <row r="51" spans="1:6" s="11" customFormat="1" ht="30" customHeight="1" x14ac:dyDescent="0.3">
      <c r="A51" s="385"/>
      <c r="B51" s="795" t="s">
        <v>535</v>
      </c>
      <c r="C51" s="694">
        <v>48000</v>
      </c>
      <c r="D51" s="694">
        <v>32216</v>
      </c>
      <c r="E51" s="695">
        <v>3300</v>
      </c>
      <c r="F51" s="696">
        <f t="shared" si="2"/>
        <v>10.243357337968712</v>
      </c>
    </row>
    <row r="52" spans="1:6" s="11" customFormat="1" ht="47.25" customHeight="1" x14ac:dyDescent="0.3">
      <c r="A52" s="385"/>
      <c r="B52" s="795" t="s">
        <v>630</v>
      </c>
      <c r="C52" s="694">
        <v>7000</v>
      </c>
      <c r="D52" s="694">
        <v>7000</v>
      </c>
      <c r="E52" s="695">
        <v>7000</v>
      </c>
      <c r="F52" s="696">
        <f t="shared" si="2"/>
        <v>100</v>
      </c>
    </row>
    <row r="53" spans="1:6" s="11" customFormat="1" ht="46.5" customHeight="1" x14ac:dyDescent="0.3">
      <c r="A53" s="385"/>
      <c r="B53" s="795" t="s">
        <v>566</v>
      </c>
      <c r="C53" s="694"/>
      <c r="D53" s="694">
        <v>12192</v>
      </c>
      <c r="E53" s="695"/>
      <c r="F53" s="696">
        <f t="shared" si="2"/>
        <v>0</v>
      </c>
    </row>
    <row r="54" spans="1:6" s="11" customFormat="1" ht="36" customHeight="1" x14ac:dyDescent="0.3">
      <c r="A54" s="387"/>
      <c r="B54" s="690" t="s">
        <v>526</v>
      </c>
      <c r="C54" s="673">
        <v>180000</v>
      </c>
      <c r="D54" s="673">
        <v>172500</v>
      </c>
      <c r="E54" s="673">
        <f>16673+46729+57500+44887</f>
        <v>165789</v>
      </c>
      <c r="F54" s="696">
        <f>+E54/D54*100</f>
        <v>96.109565217391307</v>
      </c>
    </row>
    <row r="55" spans="1:6" s="11" customFormat="1" ht="30" customHeight="1" x14ac:dyDescent="0.3">
      <c r="A55" s="385"/>
      <c r="B55" s="795" t="s">
        <v>536</v>
      </c>
      <c r="C55" s="694">
        <v>804919</v>
      </c>
      <c r="D55" s="694">
        <v>804919</v>
      </c>
      <c r="E55" s="674">
        <v>804919</v>
      </c>
      <c r="F55" s="653">
        <f t="shared" si="2"/>
        <v>100</v>
      </c>
    </row>
    <row r="56" spans="1:6" s="11" customFormat="1" ht="30" customHeight="1" x14ac:dyDescent="0.3">
      <c r="A56" s="387"/>
      <c r="B56" s="697" t="s">
        <v>46</v>
      </c>
      <c r="C56" s="673"/>
      <c r="D56" s="673"/>
      <c r="E56" s="689"/>
      <c r="F56" s="685"/>
    </row>
    <row r="57" spans="1:6" ht="35.25" customHeight="1" x14ac:dyDescent="0.3">
      <c r="A57" s="385"/>
      <c r="B57" s="668" t="s">
        <v>159</v>
      </c>
      <c r="C57" s="669">
        <v>1905</v>
      </c>
      <c r="D57" s="669">
        <v>3835</v>
      </c>
      <c r="E57" s="669">
        <v>1930</v>
      </c>
      <c r="F57" s="670">
        <f t="shared" ref="F57:F67" si="3">+E57/D57*100</f>
        <v>50.325945241199477</v>
      </c>
    </row>
    <row r="58" spans="1:6" ht="30" customHeight="1" x14ac:dyDescent="0.3">
      <c r="A58" s="385"/>
      <c r="B58" s="683" t="s">
        <v>291</v>
      </c>
      <c r="C58" s="673">
        <v>16040</v>
      </c>
      <c r="D58" s="673">
        <v>18636</v>
      </c>
      <c r="E58" s="673">
        <v>13340</v>
      </c>
      <c r="F58" s="685">
        <f t="shared" si="3"/>
        <v>71.581884524576083</v>
      </c>
    </row>
    <row r="59" spans="1:6" s="11" customFormat="1" ht="45" customHeight="1" x14ac:dyDescent="0.3">
      <c r="A59" s="385"/>
      <c r="B59" s="692" t="s">
        <v>419</v>
      </c>
      <c r="C59" s="673">
        <v>10000</v>
      </c>
      <c r="D59" s="673">
        <v>5808</v>
      </c>
      <c r="E59" s="673">
        <v>4266</v>
      </c>
      <c r="F59" s="685">
        <f t="shared" si="3"/>
        <v>73.450413223140501</v>
      </c>
    </row>
    <row r="60" spans="1:6" s="11" customFormat="1" ht="30" customHeight="1" x14ac:dyDescent="0.3">
      <c r="A60" s="385"/>
      <c r="B60" s="683" t="s">
        <v>136</v>
      </c>
      <c r="C60" s="673">
        <v>69458</v>
      </c>
      <c r="D60" s="673">
        <v>71059</v>
      </c>
      <c r="E60" s="674">
        <v>71059</v>
      </c>
      <c r="F60" s="685">
        <f t="shared" si="3"/>
        <v>100</v>
      </c>
    </row>
    <row r="61" spans="1:6" s="11" customFormat="1" ht="30" customHeight="1" x14ac:dyDescent="0.3">
      <c r="A61" s="385"/>
      <c r="B61" s="683" t="s">
        <v>137</v>
      </c>
      <c r="C61" s="673">
        <v>39669</v>
      </c>
      <c r="D61" s="673">
        <v>40621</v>
      </c>
      <c r="E61" s="674">
        <v>40621</v>
      </c>
      <c r="F61" s="685">
        <f t="shared" si="3"/>
        <v>100</v>
      </c>
    </row>
    <row r="62" spans="1:6" s="11" customFormat="1" ht="30" customHeight="1" x14ac:dyDescent="0.3">
      <c r="A62" s="385"/>
      <c r="B62" s="693" t="s">
        <v>152</v>
      </c>
      <c r="C62" s="694">
        <v>5000</v>
      </c>
      <c r="D62" s="694">
        <v>4409</v>
      </c>
      <c r="E62" s="695">
        <v>224</v>
      </c>
      <c r="F62" s="685">
        <f t="shared" si="3"/>
        <v>5.0805171240644142</v>
      </c>
    </row>
    <row r="63" spans="1:6" s="11" customFormat="1" ht="30" customHeight="1" x14ac:dyDescent="0.3">
      <c r="A63" s="385"/>
      <c r="B63" s="693" t="s">
        <v>458</v>
      </c>
      <c r="C63" s="694">
        <v>90000</v>
      </c>
      <c r="D63" s="694">
        <v>100000</v>
      </c>
      <c r="E63" s="695">
        <v>100000</v>
      </c>
      <c r="F63" s="685">
        <f t="shared" si="3"/>
        <v>100</v>
      </c>
    </row>
    <row r="64" spans="1:6" s="11" customFormat="1" ht="49.5" customHeight="1" x14ac:dyDescent="0.3">
      <c r="A64" s="385"/>
      <c r="B64" s="693" t="s">
        <v>555</v>
      </c>
      <c r="C64" s="673">
        <v>60000</v>
      </c>
      <c r="D64" s="673">
        <v>120000</v>
      </c>
      <c r="E64" s="674">
        <v>120000</v>
      </c>
      <c r="F64" s="653">
        <f t="shared" si="3"/>
        <v>100</v>
      </c>
    </row>
    <row r="65" spans="1:6" s="11" customFormat="1" ht="53.25" customHeight="1" x14ac:dyDescent="0.3">
      <c r="A65" s="385"/>
      <c r="B65" s="693" t="s">
        <v>556</v>
      </c>
      <c r="C65" s="673">
        <v>12000</v>
      </c>
      <c r="D65" s="673">
        <v>18000</v>
      </c>
      <c r="E65" s="957">
        <v>10316</v>
      </c>
      <c r="F65" s="653">
        <f t="shared" si="3"/>
        <v>57.31111111111111</v>
      </c>
    </row>
    <row r="66" spans="1:6" s="11" customFormat="1" ht="30" customHeight="1" x14ac:dyDescent="0.3">
      <c r="A66" s="386"/>
      <c r="B66" s="697" t="s">
        <v>36</v>
      </c>
      <c r="C66" s="673"/>
      <c r="D66" s="673"/>
      <c r="E66" s="674"/>
      <c r="F66" s="653"/>
    </row>
    <row r="67" spans="1:6" ht="45.75" customHeight="1" x14ac:dyDescent="0.3">
      <c r="A67" s="385"/>
      <c r="B67" s="690" t="s">
        <v>207</v>
      </c>
      <c r="C67" s="651">
        <v>4500</v>
      </c>
      <c r="D67" s="651">
        <v>4500</v>
      </c>
      <c r="E67" s="652">
        <v>4203</v>
      </c>
      <c r="F67" s="653">
        <f t="shared" si="3"/>
        <v>93.4</v>
      </c>
    </row>
    <row r="68" spans="1:6" s="11" customFormat="1" ht="30" customHeight="1" x14ac:dyDescent="0.3">
      <c r="A68" s="385"/>
      <c r="B68" s="698" t="s">
        <v>387</v>
      </c>
      <c r="C68" s="694">
        <v>29000</v>
      </c>
      <c r="D68" s="694">
        <v>30458</v>
      </c>
      <c r="E68" s="695">
        <v>25460</v>
      </c>
      <c r="F68" s="685">
        <f t="shared" ref="F68:F72" si="4">+E68/D68*100</f>
        <v>83.590518090485261</v>
      </c>
    </row>
    <row r="69" spans="1:6" s="11" customFormat="1" ht="30" customHeight="1" x14ac:dyDescent="0.3">
      <c r="A69" s="387"/>
      <c r="B69" s="699" t="s">
        <v>225</v>
      </c>
      <c r="C69" s="700">
        <v>3500</v>
      </c>
      <c r="D69" s="700">
        <v>3769</v>
      </c>
      <c r="E69" s="695">
        <v>3458</v>
      </c>
      <c r="F69" s="685">
        <f t="shared" si="4"/>
        <v>91.748474396391615</v>
      </c>
    </row>
    <row r="70" spans="1:6" s="11" customFormat="1" ht="30" customHeight="1" x14ac:dyDescent="0.3">
      <c r="A70" s="385"/>
      <c r="B70" s="699" t="s">
        <v>224</v>
      </c>
      <c r="C70" s="651">
        <v>6500</v>
      </c>
      <c r="D70" s="651">
        <v>8148</v>
      </c>
      <c r="E70" s="674">
        <v>5624</v>
      </c>
      <c r="F70" s="685">
        <f t="shared" si="4"/>
        <v>69.023073146784483</v>
      </c>
    </row>
    <row r="71" spans="1:6" s="11" customFormat="1" ht="30" customHeight="1" x14ac:dyDescent="0.3">
      <c r="A71" s="387"/>
      <c r="B71" s="699" t="s">
        <v>345</v>
      </c>
      <c r="C71" s="651">
        <v>9800</v>
      </c>
      <c r="D71" s="651">
        <v>10580</v>
      </c>
      <c r="E71" s="674">
        <v>9766</v>
      </c>
      <c r="F71" s="685">
        <f t="shared" si="4"/>
        <v>92.306238185255197</v>
      </c>
    </row>
    <row r="72" spans="1:6" s="11" customFormat="1" ht="30" customHeight="1" x14ac:dyDescent="0.3">
      <c r="A72" s="387"/>
      <c r="B72" s="699" t="s">
        <v>154</v>
      </c>
      <c r="C72" s="651">
        <v>600</v>
      </c>
      <c r="D72" s="651">
        <v>600</v>
      </c>
      <c r="E72" s="674">
        <v>600</v>
      </c>
      <c r="F72" s="685">
        <f t="shared" si="4"/>
        <v>100</v>
      </c>
    </row>
    <row r="73" spans="1:6" s="11" customFormat="1" ht="30" customHeight="1" x14ac:dyDescent="0.3">
      <c r="A73" s="385"/>
      <c r="B73" s="683" t="s">
        <v>226</v>
      </c>
      <c r="C73" s="673">
        <v>7000</v>
      </c>
      <c r="D73" s="673">
        <v>8715</v>
      </c>
      <c r="E73" s="674">
        <v>6858</v>
      </c>
      <c r="F73" s="653">
        <f t="shared" ref="F73:F77" si="5">+E73/D73*100</f>
        <v>78.691910499139411</v>
      </c>
    </row>
    <row r="74" spans="1:6" s="11" customFormat="1" ht="30" customHeight="1" x14ac:dyDescent="0.3">
      <c r="A74" s="385"/>
      <c r="B74" s="683" t="s">
        <v>537</v>
      </c>
      <c r="C74" s="673">
        <v>811</v>
      </c>
      <c r="D74" s="673">
        <v>811</v>
      </c>
      <c r="E74" s="674"/>
      <c r="F74" s="685">
        <f t="shared" si="5"/>
        <v>0</v>
      </c>
    </row>
    <row r="75" spans="1:6" s="11" customFormat="1" ht="30" customHeight="1" x14ac:dyDescent="0.3">
      <c r="A75" s="385"/>
      <c r="B75" s="683" t="s">
        <v>567</v>
      </c>
      <c r="C75" s="673"/>
      <c r="D75" s="673">
        <v>27442</v>
      </c>
      <c r="E75" s="674">
        <v>26925</v>
      </c>
      <c r="F75" s="653">
        <f t="shared" si="5"/>
        <v>98.116026528678674</v>
      </c>
    </row>
    <row r="76" spans="1:6" s="11" customFormat="1" ht="30" customHeight="1" x14ac:dyDescent="0.3">
      <c r="A76" s="385"/>
      <c r="B76" s="683" t="s">
        <v>631</v>
      </c>
      <c r="C76" s="673">
        <v>4000</v>
      </c>
      <c r="D76" s="673">
        <v>6376</v>
      </c>
      <c r="E76" s="674"/>
      <c r="F76" s="653">
        <f t="shared" si="5"/>
        <v>0</v>
      </c>
    </row>
    <row r="77" spans="1:6" s="11" customFormat="1" ht="30" customHeight="1" x14ac:dyDescent="0.3">
      <c r="A77" s="385"/>
      <c r="B77" s="683" t="s">
        <v>718</v>
      </c>
      <c r="C77" s="673"/>
      <c r="D77" s="673">
        <v>1429</v>
      </c>
      <c r="E77" s="674"/>
      <c r="F77" s="653">
        <f t="shared" si="5"/>
        <v>0</v>
      </c>
    </row>
    <row r="78" spans="1:6" s="11" customFormat="1" ht="30" customHeight="1" x14ac:dyDescent="0.3">
      <c r="A78" s="386"/>
      <c r="B78" s="701" t="s">
        <v>47</v>
      </c>
      <c r="C78" s="702"/>
      <c r="D78" s="702"/>
      <c r="E78" s="703"/>
      <c r="F78" s="685"/>
    </row>
    <row r="79" spans="1:6" ht="50.25" customHeight="1" x14ac:dyDescent="0.3">
      <c r="A79" s="1014"/>
      <c r="B79" s="683" t="s">
        <v>205</v>
      </c>
      <c r="C79" s="651">
        <v>20000</v>
      </c>
      <c r="D79" s="651">
        <v>86101</v>
      </c>
      <c r="E79" s="673">
        <v>58440</v>
      </c>
      <c r="F79" s="685">
        <f>+E79/D79*100</f>
        <v>67.873776146618496</v>
      </c>
    </row>
    <row r="80" spans="1:6" s="11" customFormat="1" ht="30" customHeight="1" x14ac:dyDescent="0.3">
      <c r="A80" s="385"/>
      <c r="B80" s="697" t="s">
        <v>48</v>
      </c>
      <c r="C80" s="702"/>
      <c r="D80" s="702"/>
      <c r="E80" s="703"/>
      <c r="F80" s="657"/>
    </row>
    <row r="81" spans="1:9" ht="30" customHeight="1" x14ac:dyDescent="0.3">
      <c r="A81" s="385"/>
      <c r="B81" s="668" t="s">
        <v>452</v>
      </c>
      <c r="C81" s="669">
        <v>8604</v>
      </c>
      <c r="D81" s="669">
        <v>14435</v>
      </c>
      <c r="E81" s="669"/>
      <c r="F81" s="670">
        <f>+E81/D81*100</f>
        <v>0</v>
      </c>
    </row>
    <row r="82" spans="1:9" s="11" customFormat="1" ht="30" customHeight="1" x14ac:dyDescent="0.3">
      <c r="A82" s="386"/>
      <c r="B82" s="672" t="s">
        <v>538</v>
      </c>
      <c r="C82" s="673"/>
      <c r="D82" s="673">
        <v>38923</v>
      </c>
      <c r="E82" s="673">
        <v>20958</v>
      </c>
      <c r="F82" s="675">
        <f>+E82/D82*100</f>
        <v>53.844770444210369</v>
      </c>
    </row>
    <row r="83" spans="1:9" ht="30" customHeight="1" thickBot="1" x14ac:dyDescent="0.35">
      <c r="A83" s="385"/>
      <c r="B83" s="704" t="s">
        <v>336</v>
      </c>
      <c r="C83" s="705">
        <f>SUM(C20:C82)</f>
        <v>2115551</v>
      </c>
      <c r="D83" s="705">
        <f>SUM(D20:D82)</f>
        <v>2334137</v>
      </c>
      <c r="E83" s="706">
        <f>SUM(E20:E82)</f>
        <v>2160618</v>
      </c>
      <c r="F83" s="707">
        <f>+E83/D83*100</f>
        <v>92.566031899584303</v>
      </c>
    </row>
    <row r="84" spans="1:9" ht="30" customHeight="1" x14ac:dyDescent="0.35">
      <c r="A84" s="385"/>
      <c r="B84" s="708" t="s">
        <v>171</v>
      </c>
      <c r="C84" s="663"/>
      <c r="D84" s="709"/>
      <c r="E84" s="709"/>
      <c r="F84" s="710"/>
    </row>
    <row r="85" spans="1:9" ht="30" customHeight="1" x14ac:dyDescent="0.3">
      <c r="A85" s="385"/>
      <c r="B85" s="693" t="s">
        <v>268</v>
      </c>
      <c r="C85" s="651"/>
      <c r="D85" s="652">
        <v>8069</v>
      </c>
      <c r="E85" s="674">
        <v>6253</v>
      </c>
      <c r="F85" s="653">
        <f t="shared" ref="F85:F95" si="6">+E85/D85*100</f>
        <v>77.494113273020204</v>
      </c>
    </row>
    <row r="86" spans="1:9" ht="30" customHeight="1" x14ac:dyDescent="0.3">
      <c r="A86" s="385"/>
      <c r="B86" s="693" t="s">
        <v>457</v>
      </c>
      <c r="C86" s="651"/>
      <c r="D86" s="652">
        <v>54373</v>
      </c>
      <c r="E86" s="674">
        <v>9657</v>
      </c>
      <c r="F86" s="653">
        <f t="shared" si="6"/>
        <v>17.760653265407463</v>
      </c>
      <c r="H86" s="5"/>
      <c r="I86" s="5"/>
    </row>
    <row r="87" spans="1:9" ht="51.95" customHeight="1" x14ac:dyDescent="0.3">
      <c r="A87" s="385"/>
      <c r="B87" s="693" t="s">
        <v>481</v>
      </c>
      <c r="C87" s="651"/>
      <c r="D87" s="652">
        <v>4400</v>
      </c>
      <c r="E87" s="674"/>
      <c r="F87" s="653">
        <f>+E87/D87*100</f>
        <v>0</v>
      </c>
      <c r="H87" s="5"/>
      <c r="I87" s="5"/>
    </row>
    <row r="88" spans="1:9" ht="50.25" customHeight="1" x14ac:dyDescent="0.3">
      <c r="A88" s="385"/>
      <c r="B88" s="693" t="s">
        <v>456</v>
      </c>
      <c r="C88" s="651"/>
      <c r="D88" s="652">
        <v>1687</v>
      </c>
      <c r="E88" s="674">
        <v>1128</v>
      </c>
      <c r="F88" s="653">
        <f>+E88/D88*100</f>
        <v>66.864256075874323</v>
      </c>
      <c r="H88" s="5"/>
      <c r="I88" s="5"/>
    </row>
    <row r="89" spans="1:9" ht="51.95" customHeight="1" x14ac:dyDescent="0.3">
      <c r="A89" s="385"/>
      <c r="B89" s="693" t="s">
        <v>467</v>
      </c>
      <c r="C89" s="651"/>
      <c r="D89" s="652">
        <v>2015</v>
      </c>
      <c r="E89" s="674"/>
      <c r="F89" s="653">
        <f t="shared" si="6"/>
        <v>0</v>
      </c>
      <c r="H89" s="5"/>
      <c r="I89" s="5"/>
    </row>
    <row r="90" spans="1:9" ht="51.95" customHeight="1" x14ac:dyDescent="0.3">
      <c r="A90" s="385"/>
      <c r="B90" s="693" t="s">
        <v>700</v>
      </c>
      <c r="C90" s="700"/>
      <c r="D90" s="934">
        <v>1410</v>
      </c>
      <c r="E90" s="695">
        <v>705</v>
      </c>
      <c r="F90" s="653">
        <f t="shared" si="6"/>
        <v>50</v>
      </c>
      <c r="H90" s="5"/>
      <c r="I90" s="5"/>
    </row>
    <row r="91" spans="1:9" ht="51.95" customHeight="1" x14ac:dyDescent="0.3">
      <c r="A91" s="385"/>
      <c r="B91" s="933" t="s">
        <v>616</v>
      </c>
      <c r="C91" s="700"/>
      <c r="D91" s="934">
        <v>17922</v>
      </c>
      <c r="E91" s="695">
        <v>14835</v>
      </c>
      <c r="F91" s="653">
        <f t="shared" si="6"/>
        <v>82.775359892869105</v>
      </c>
      <c r="H91" s="5"/>
      <c r="I91" s="5"/>
    </row>
    <row r="92" spans="1:9" ht="51.95" customHeight="1" x14ac:dyDescent="0.3">
      <c r="A92" s="385"/>
      <c r="B92" s="711" t="s">
        <v>684</v>
      </c>
      <c r="C92" s="712"/>
      <c r="D92" s="713">
        <v>82764</v>
      </c>
      <c r="E92" s="714">
        <v>23643</v>
      </c>
      <c r="F92" s="834">
        <f t="shared" si="6"/>
        <v>28.566768160069593</v>
      </c>
      <c r="H92" s="5"/>
      <c r="I92" s="5"/>
    </row>
    <row r="93" spans="1:9" ht="34.5" customHeight="1" thickBot="1" x14ac:dyDescent="0.35">
      <c r="A93" s="385"/>
      <c r="B93" s="715" t="s">
        <v>336</v>
      </c>
      <c r="C93" s="716">
        <f>SUM(C85:C89)</f>
        <v>0</v>
      </c>
      <c r="D93" s="716">
        <f>SUM(D85:D92)</f>
        <v>172640</v>
      </c>
      <c r="E93" s="716">
        <f>SUM(E85:E92)</f>
        <v>56221</v>
      </c>
      <c r="F93" s="717">
        <f t="shared" si="6"/>
        <v>32.565454124189067</v>
      </c>
    </row>
    <row r="94" spans="1:9" ht="34.5" customHeight="1" thickBot="1" x14ac:dyDescent="0.35">
      <c r="A94" s="385"/>
      <c r="B94" s="718" t="s">
        <v>253</v>
      </c>
      <c r="C94" s="719">
        <f>+C18+C83+C93</f>
        <v>3524781</v>
      </c>
      <c r="D94" s="720">
        <f>+D18+D83+D93</f>
        <v>4108675</v>
      </c>
      <c r="E94" s="720">
        <f>+E18+E83+E93</f>
        <v>3951601</v>
      </c>
      <c r="F94" s="721">
        <f t="shared" si="6"/>
        <v>96.177015704576291</v>
      </c>
    </row>
    <row r="95" spans="1:9" s="9" customFormat="1" ht="43.5" customHeight="1" thickBot="1" x14ac:dyDescent="0.35">
      <c r="A95" s="388"/>
      <c r="B95" s="722" t="s">
        <v>254</v>
      </c>
      <c r="C95" s="716">
        <f>+C9+C94</f>
        <v>5555191</v>
      </c>
      <c r="D95" s="723">
        <f>+D9+D94</f>
        <v>6442270</v>
      </c>
      <c r="E95" s="723">
        <f>+E9+E94</f>
        <v>6010008</v>
      </c>
      <c r="F95" s="721">
        <f t="shared" si="6"/>
        <v>93.290222235330091</v>
      </c>
    </row>
    <row r="96" spans="1:9" ht="15" customHeight="1" x14ac:dyDescent="0.3">
      <c r="A96" s="385"/>
      <c r="B96" s="724"/>
      <c r="C96" s="724"/>
      <c r="D96" s="725"/>
      <c r="E96" s="725"/>
      <c r="F96" s="724"/>
    </row>
    <row r="97" spans="1:6" ht="36" customHeight="1" thickBot="1" x14ac:dyDescent="0.35">
      <c r="A97" s="385"/>
      <c r="B97" s="726" t="s">
        <v>35</v>
      </c>
      <c r="C97" s="727"/>
      <c r="D97" s="727"/>
      <c r="E97" s="727"/>
      <c r="F97" s="727" t="s">
        <v>34</v>
      </c>
    </row>
    <row r="98" spans="1:6" ht="35.1" customHeight="1" x14ac:dyDescent="0.3">
      <c r="A98" s="385"/>
      <c r="B98" s="728" t="s">
        <v>51</v>
      </c>
      <c r="C98" s="2690" t="s">
        <v>622</v>
      </c>
      <c r="D98" s="2691"/>
      <c r="E98" s="729" t="s">
        <v>602</v>
      </c>
      <c r="F98" s="730" t="s">
        <v>166</v>
      </c>
    </row>
    <row r="99" spans="1:6" ht="35.1" customHeight="1" thickBot="1" x14ac:dyDescent="0.35">
      <c r="A99" s="385"/>
      <c r="B99" s="715"/>
      <c r="C99" s="643" t="s">
        <v>325</v>
      </c>
      <c r="D99" s="644" t="s">
        <v>164</v>
      </c>
      <c r="E99" s="731" t="s">
        <v>165</v>
      </c>
      <c r="F99" s="732" t="s">
        <v>167</v>
      </c>
    </row>
    <row r="100" spans="1:6" ht="34.5" customHeight="1" x14ac:dyDescent="0.3">
      <c r="A100" s="385"/>
      <c r="B100" s="733" t="s">
        <v>111</v>
      </c>
      <c r="C100" s="734">
        <v>600</v>
      </c>
      <c r="D100" s="734">
        <v>12100</v>
      </c>
      <c r="E100" s="734">
        <v>3475</v>
      </c>
      <c r="F100" s="649">
        <f>+E100/D100*100</f>
        <v>28.719008264462808</v>
      </c>
    </row>
    <row r="101" spans="1:6" ht="35.1" customHeight="1" x14ac:dyDescent="0.3">
      <c r="A101" s="385"/>
      <c r="B101" s="683" t="s">
        <v>75</v>
      </c>
      <c r="C101" s="684">
        <v>10000</v>
      </c>
      <c r="D101" s="684">
        <v>58196</v>
      </c>
      <c r="E101" s="684">
        <v>53136</v>
      </c>
      <c r="F101" s="653">
        <f>+E101/D101*100</f>
        <v>91.3052443466905</v>
      </c>
    </row>
    <row r="102" spans="1:6" ht="35.1" customHeight="1" thickBot="1" x14ac:dyDescent="0.35">
      <c r="A102" s="385"/>
      <c r="B102" s="735" t="s">
        <v>223</v>
      </c>
      <c r="C102" s="736"/>
      <c r="D102" s="736">
        <v>4577</v>
      </c>
      <c r="E102" s="736">
        <v>4415</v>
      </c>
      <c r="F102" s="737">
        <f>+E102/D102*100</f>
        <v>96.460563688005237</v>
      </c>
    </row>
    <row r="103" spans="1:6" ht="35.25" customHeight="1" thickBot="1" x14ac:dyDescent="0.35">
      <c r="A103" s="385"/>
      <c r="B103" s="738" t="s">
        <v>249</v>
      </c>
      <c r="C103" s="739">
        <f>SUM(C100:C102)</f>
        <v>10600</v>
      </c>
      <c r="D103" s="739">
        <f>SUM(D100:D102)</f>
        <v>74873</v>
      </c>
      <c r="E103" s="739">
        <f>SUM(E100:E102)</f>
        <v>61026</v>
      </c>
      <c r="F103" s="721">
        <f>+E103/D103*100</f>
        <v>81.506016855208145</v>
      </c>
    </row>
    <row r="104" spans="1:6" ht="15" customHeight="1" thickBot="1" x14ac:dyDescent="0.35">
      <c r="A104" s="385"/>
      <c r="B104" s="740"/>
      <c r="C104" s="741"/>
      <c r="D104" s="741"/>
      <c r="E104" s="742"/>
      <c r="F104" s="743"/>
    </row>
    <row r="105" spans="1:6" ht="50.25" customHeight="1" thickBot="1" x14ac:dyDescent="0.35">
      <c r="A105" s="385"/>
      <c r="B105" s="744" t="s">
        <v>252</v>
      </c>
      <c r="C105" s="745">
        <f>C95+C103</f>
        <v>5565791</v>
      </c>
      <c r="D105" s="745">
        <f>D95+D103</f>
        <v>6517143</v>
      </c>
      <c r="E105" s="739">
        <f>E95+E103</f>
        <v>6071034</v>
      </c>
      <c r="F105" s="721">
        <f>+E105/D105*100</f>
        <v>93.154837940490182</v>
      </c>
    </row>
    <row r="107" spans="1:6" ht="15" customHeight="1" x14ac:dyDescent="0.2">
      <c r="F107" s="5"/>
    </row>
    <row r="108" spans="1:6" ht="15" customHeight="1" x14ac:dyDescent="0.2">
      <c r="F108" s="5"/>
    </row>
  </sheetData>
  <mergeCells count="4">
    <mergeCell ref="B1:C1"/>
    <mergeCell ref="C4:D4"/>
    <mergeCell ref="B2:F2"/>
    <mergeCell ref="C98:D98"/>
  </mergeCells>
  <phoneticPr fontId="0" type="noConversion"/>
  <printOptions horizontalCentered="1" verticalCentered="1"/>
  <pageMargins left="0.39370078740157483" right="0.39370078740157483" top="0.39370078740157483" bottom="0.39370078740157483" header="0.11811023622047245" footer="0.11811023622047245"/>
  <pageSetup paperSize="9" scale="38" orientation="portrait" r:id="rId1"/>
  <headerFooter alignWithMargins="0">
    <oddHeader>&amp;R&amp;"Arial,Félkövér"&amp;16
&amp;20 13. melléklet a ..../2019. (........) önkormányzati rendelethez</oddHeader>
  </headerFooter>
  <rowBreaks count="1" manualBreakCount="1">
    <brk id="65" min="1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27"/>
  <dimension ref="A1:F38"/>
  <sheetViews>
    <sheetView zoomScaleNormal="100" zoomScaleSheetLayoutView="75" workbookViewId="0">
      <selection activeCell="G23" sqref="G23"/>
    </sheetView>
  </sheetViews>
  <sheetFormatPr defaultColWidth="9.33203125" defaultRowHeight="15" customHeight="1" x14ac:dyDescent="0.2"/>
  <cols>
    <col min="1" max="1" width="11.83203125" style="92" bestFit="1" customWidth="1"/>
    <col min="2" max="2" width="94" style="11" customWidth="1"/>
    <col min="3" max="3" width="21.83203125" style="11" customWidth="1"/>
    <col min="4" max="5" width="21.83203125" style="6" customWidth="1"/>
    <col min="6" max="6" width="21.83203125" style="11" customWidth="1"/>
    <col min="7" max="16384" width="9.33203125" style="11"/>
  </cols>
  <sheetData>
    <row r="1" spans="2:6" ht="15" customHeight="1" x14ac:dyDescent="0.25">
      <c r="B1" s="2675"/>
      <c r="C1" s="2675"/>
    </row>
    <row r="2" spans="2:6" ht="30" customHeight="1" x14ac:dyDescent="0.25">
      <c r="B2" s="2599" t="s">
        <v>41</v>
      </c>
      <c r="C2" s="2599"/>
      <c r="D2" s="2599"/>
      <c r="E2" s="2599"/>
      <c r="F2" s="2599"/>
    </row>
    <row r="3" spans="2:6" ht="14.25" customHeight="1" x14ac:dyDescent="0.25">
      <c r="B3" s="27" t="s">
        <v>95</v>
      </c>
    </row>
    <row r="4" spans="2:6" ht="18.75" customHeight="1" thickBot="1" x14ac:dyDescent="0.25">
      <c r="C4" s="23"/>
      <c r="D4" s="80"/>
      <c r="E4" s="80"/>
      <c r="F4" s="23" t="s">
        <v>34</v>
      </c>
    </row>
    <row r="5" spans="2:6" ht="30" customHeight="1" x14ac:dyDescent="0.25">
      <c r="B5" s="492" t="s">
        <v>51</v>
      </c>
      <c r="C5" s="2684" t="s">
        <v>622</v>
      </c>
      <c r="D5" s="2680"/>
      <c r="E5" s="490" t="s">
        <v>602</v>
      </c>
      <c r="F5" s="43" t="s">
        <v>166</v>
      </c>
    </row>
    <row r="6" spans="2:6" ht="30" customHeight="1" thickBot="1" x14ac:dyDescent="0.3">
      <c r="B6" s="216"/>
      <c r="C6" s="57" t="s">
        <v>325</v>
      </c>
      <c r="D6" s="57" t="s">
        <v>164</v>
      </c>
      <c r="E6" s="70" t="s">
        <v>165</v>
      </c>
      <c r="F6" s="44" t="s">
        <v>167</v>
      </c>
    </row>
    <row r="7" spans="2:6" ht="30" customHeight="1" x14ac:dyDescent="0.2">
      <c r="B7" s="100" t="s">
        <v>172</v>
      </c>
      <c r="C7" s="457">
        <v>125000</v>
      </c>
      <c r="D7" s="457">
        <v>129891</v>
      </c>
      <c r="E7" s="74">
        <v>129891</v>
      </c>
      <c r="F7" s="86">
        <f t="shared" ref="F7:F23" si="0">+E7/D7*100</f>
        <v>100</v>
      </c>
    </row>
    <row r="8" spans="2:6" ht="30" customHeight="1" x14ac:dyDescent="0.2">
      <c r="B8" s="55" t="s">
        <v>346</v>
      </c>
      <c r="C8" s="74"/>
      <c r="D8" s="74">
        <v>99572</v>
      </c>
      <c r="E8" s="74">
        <v>99572</v>
      </c>
      <c r="F8" s="86">
        <f t="shared" si="0"/>
        <v>100</v>
      </c>
    </row>
    <row r="9" spans="2:6" ht="30" customHeight="1" x14ac:dyDescent="0.2">
      <c r="B9" s="232" t="s">
        <v>86</v>
      </c>
      <c r="C9" s="218">
        <v>25000</v>
      </c>
      <c r="D9" s="218">
        <v>27605</v>
      </c>
      <c r="E9" s="218">
        <v>26645</v>
      </c>
      <c r="F9" s="311">
        <f t="shared" si="0"/>
        <v>96.522369136026086</v>
      </c>
    </row>
    <row r="10" spans="2:6" ht="30" customHeight="1" x14ac:dyDescent="0.2">
      <c r="B10" s="16" t="s">
        <v>364</v>
      </c>
      <c r="C10" s="77">
        <v>3000</v>
      </c>
      <c r="D10" s="77">
        <v>3000</v>
      </c>
      <c r="E10" s="79">
        <v>3000</v>
      </c>
      <c r="F10" s="305">
        <f t="shared" si="0"/>
        <v>100</v>
      </c>
    </row>
    <row r="11" spans="2:6" ht="30" customHeight="1" x14ac:dyDescent="0.2">
      <c r="B11" s="72" t="s">
        <v>355</v>
      </c>
      <c r="C11" s="77">
        <v>45000</v>
      </c>
      <c r="D11" s="77">
        <v>47384</v>
      </c>
      <c r="E11" s="79">
        <v>44176</v>
      </c>
      <c r="F11" s="86">
        <f t="shared" si="0"/>
        <v>93.229782204963698</v>
      </c>
    </row>
    <row r="12" spans="2:6" ht="30" customHeight="1" x14ac:dyDescent="0.2">
      <c r="B12" s="55" t="s">
        <v>1269</v>
      </c>
      <c r="C12" s="74">
        <v>1100</v>
      </c>
      <c r="D12" s="74">
        <v>1892</v>
      </c>
      <c r="E12" s="74">
        <v>1783</v>
      </c>
      <c r="F12" s="86">
        <f t="shared" si="0"/>
        <v>94.238900634249461</v>
      </c>
    </row>
    <row r="13" spans="2:6" ht="30" customHeight="1" x14ac:dyDescent="0.2">
      <c r="B13" s="55" t="s">
        <v>1270</v>
      </c>
      <c r="C13" s="74">
        <v>5000</v>
      </c>
      <c r="D13" s="74">
        <v>6500</v>
      </c>
      <c r="E13" s="74">
        <v>6500</v>
      </c>
      <c r="F13" s="86">
        <f t="shared" si="0"/>
        <v>100</v>
      </c>
    </row>
    <row r="14" spans="2:6" ht="30" customHeight="1" x14ac:dyDescent="0.2">
      <c r="B14" s="55" t="s">
        <v>138</v>
      </c>
      <c r="C14" s="74">
        <v>13000</v>
      </c>
      <c r="D14" s="74">
        <v>12820</v>
      </c>
      <c r="E14" s="74">
        <v>12820</v>
      </c>
      <c r="F14" s="86">
        <f t="shared" si="0"/>
        <v>100</v>
      </c>
    </row>
    <row r="15" spans="2:6" ht="30" customHeight="1" x14ac:dyDescent="0.2">
      <c r="B15" s="55" t="s">
        <v>365</v>
      </c>
      <c r="C15" s="74">
        <v>110000</v>
      </c>
      <c r="D15" s="74">
        <v>41539</v>
      </c>
      <c r="E15" s="74">
        <v>40000</v>
      </c>
      <c r="F15" s="86">
        <f t="shared" si="0"/>
        <v>96.295048027155204</v>
      </c>
    </row>
    <row r="16" spans="2:6" ht="30" customHeight="1" x14ac:dyDescent="0.2">
      <c r="B16" s="55" t="s">
        <v>708</v>
      </c>
      <c r="C16" s="74"/>
      <c r="D16" s="74">
        <v>15000</v>
      </c>
      <c r="E16" s="74">
        <v>15000</v>
      </c>
      <c r="F16" s="86">
        <f t="shared" si="0"/>
        <v>100</v>
      </c>
    </row>
    <row r="17" spans="2:6" ht="30" customHeight="1" x14ac:dyDescent="0.2">
      <c r="B17" s="378" t="s">
        <v>702</v>
      </c>
      <c r="C17" s="74"/>
      <c r="D17" s="74">
        <v>132000</v>
      </c>
      <c r="E17" s="74">
        <v>132000</v>
      </c>
      <c r="F17" s="86">
        <f t="shared" si="0"/>
        <v>100</v>
      </c>
    </row>
    <row r="18" spans="2:6" ht="30" customHeight="1" x14ac:dyDescent="0.2">
      <c r="B18" s="378" t="s">
        <v>703</v>
      </c>
      <c r="C18" s="74"/>
      <c r="D18" s="74">
        <v>37000</v>
      </c>
      <c r="E18" s="74">
        <v>37000</v>
      </c>
      <c r="F18" s="86">
        <f t="shared" si="0"/>
        <v>100</v>
      </c>
    </row>
    <row r="19" spans="2:6" ht="30" customHeight="1" x14ac:dyDescent="0.2">
      <c r="B19" s="55" t="s">
        <v>1273</v>
      </c>
      <c r="C19" s="74">
        <v>4000</v>
      </c>
      <c r="D19" s="74">
        <v>4000</v>
      </c>
      <c r="E19" s="74">
        <v>4000</v>
      </c>
      <c r="F19" s="86">
        <f t="shared" si="0"/>
        <v>100</v>
      </c>
    </row>
    <row r="20" spans="2:6" ht="30" customHeight="1" x14ac:dyDescent="0.2">
      <c r="B20" s="55" t="s">
        <v>366</v>
      </c>
      <c r="C20" s="74">
        <v>5000</v>
      </c>
      <c r="D20" s="74">
        <v>5000</v>
      </c>
      <c r="E20" s="74">
        <v>5000</v>
      </c>
      <c r="F20" s="86">
        <f t="shared" si="0"/>
        <v>100</v>
      </c>
    </row>
    <row r="21" spans="2:6" ht="30" customHeight="1" x14ac:dyDescent="0.2">
      <c r="B21" s="811" t="s">
        <v>1271</v>
      </c>
      <c r="C21" s="74"/>
      <c r="D21" s="74">
        <v>1150</v>
      </c>
      <c r="E21" s="74">
        <v>1150</v>
      </c>
      <c r="F21" s="86">
        <f t="shared" si="0"/>
        <v>100</v>
      </c>
    </row>
    <row r="22" spans="2:6" ht="30" customHeight="1" x14ac:dyDescent="0.2">
      <c r="B22" s="55" t="s">
        <v>485</v>
      </c>
      <c r="C22" s="74">
        <v>15000</v>
      </c>
      <c r="D22" s="74">
        <v>30000</v>
      </c>
      <c r="E22" s="74">
        <v>30000</v>
      </c>
      <c r="F22" s="86">
        <f t="shared" si="0"/>
        <v>100</v>
      </c>
    </row>
    <row r="23" spans="2:6" ht="30" customHeight="1" x14ac:dyDescent="0.2">
      <c r="B23" s="55" t="s">
        <v>489</v>
      </c>
      <c r="C23" s="74"/>
      <c r="D23" s="74">
        <v>2500</v>
      </c>
      <c r="E23" s="74">
        <v>2497</v>
      </c>
      <c r="F23" s="86">
        <f t="shared" si="0"/>
        <v>99.88</v>
      </c>
    </row>
    <row r="24" spans="2:6" ht="30" customHeight="1" x14ac:dyDescent="0.2">
      <c r="B24" s="55" t="s">
        <v>87</v>
      </c>
      <c r="C24" s="74">
        <v>3000</v>
      </c>
      <c r="D24" s="74">
        <v>3000</v>
      </c>
      <c r="E24" s="74">
        <v>2998</v>
      </c>
      <c r="F24" s="86">
        <f t="shared" ref="F24:F36" si="1">+E24/D24*100</f>
        <v>99.933333333333323</v>
      </c>
    </row>
    <row r="25" spans="2:6" ht="30" customHeight="1" x14ac:dyDescent="0.2">
      <c r="B25" s="55" t="s">
        <v>88</v>
      </c>
      <c r="C25" s="74">
        <v>15000</v>
      </c>
      <c r="D25" s="74">
        <v>15000</v>
      </c>
      <c r="E25" s="74">
        <v>15000</v>
      </c>
      <c r="F25" s="86">
        <f t="shared" si="1"/>
        <v>100</v>
      </c>
    </row>
    <row r="26" spans="2:6" ht="30" customHeight="1" x14ac:dyDescent="0.2">
      <c r="B26" s="72" t="s">
        <v>540</v>
      </c>
      <c r="C26" s="77">
        <v>75000</v>
      </c>
      <c r="D26" s="77">
        <v>175000</v>
      </c>
      <c r="E26" s="79">
        <v>149062</v>
      </c>
      <c r="F26" s="86">
        <f t="shared" si="1"/>
        <v>85.178285714285721</v>
      </c>
    </row>
    <row r="27" spans="2:6" ht="37.5" customHeight="1" x14ac:dyDescent="0.2">
      <c r="B27" s="127" t="s">
        <v>655</v>
      </c>
      <c r="C27" s="74"/>
      <c r="D27" s="77">
        <v>2901</v>
      </c>
      <c r="E27" s="79">
        <v>2901</v>
      </c>
      <c r="F27" s="86">
        <f t="shared" si="1"/>
        <v>100</v>
      </c>
    </row>
    <row r="28" spans="2:6" ht="30" customHeight="1" x14ac:dyDescent="0.2">
      <c r="B28" s="72" t="s">
        <v>92</v>
      </c>
      <c r="C28" s="77">
        <v>35000</v>
      </c>
      <c r="D28" s="77">
        <v>35000</v>
      </c>
      <c r="E28" s="79">
        <v>35000</v>
      </c>
      <c r="F28" s="86">
        <f t="shared" si="1"/>
        <v>100</v>
      </c>
    </row>
    <row r="29" spans="2:6" ht="30" customHeight="1" x14ac:dyDescent="0.2">
      <c r="B29" s="378" t="s">
        <v>269</v>
      </c>
      <c r="C29" s="77">
        <v>100000</v>
      </c>
      <c r="D29" s="77">
        <v>157938</v>
      </c>
      <c r="E29" s="79">
        <v>157938</v>
      </c>
      <c r="F29" s="86">
        <f t="shared" si="1"/>
        <v>100</v>
      </c>
    </row>
    <row r="30" spans="2:6" ht="30" customHeight="1" x14ac:dyDescent="0.2">
      <c r="B30" s="55" t="s">
        <v>539</v>
      </c>
      <c r="C30" s="74">
        <v>2500</v>
      </c>
      <c r="D30" s="74">
        <v>3500</v>
      </c>
      <c r="E30" s="74">
        <v>3500</v>
      </c>
      <c r="F30" s="86">
        <f t="shared" si="1"/>
        <v>100</v>
      </c>
    </row>
    <row r="31" spans="2:6" ht="30" customHeight="1" x14ac:dyDescent="0.2">
      <c r="B31" s="72" t="s">
        <v>90</v>
      </c>
      <c r="C31" s="77">
        <v>9000</v>
      </c>
      <c r="D31" s="77">
        <v>9000</v>
      </c>
      <c r="E31" s="79">
        <v>9000</v>
      </c>
      <c r="F31" s="86">
        <f t="shared" si="1"/>
        <v>100</v>
      </c>
    </row>
    <row r="32" spans="2:6" ht="30" customHeight="1" x14ac:dyDescent="0.2">
      <c r="B32" s="72" t="s">
        <v>135</v>
      </c>
      <c r="C32" s="77">
        <v>3000</v>
      </c>
      <c r="D32" s="77">
        <v>2000</v>
      </c>
      <c r="E32" s="79">
        <v>1567</v>
      </c>
      <c r="F32" s="86">
        <f t="shared" si="1"/>
        <v>78.349999999999994</v>
      </c>
    </row>
    <row r="33" spans="2:6" ht="30" customHeight="1" x14ac:dyDescent="0.2">
      <c r="B33" s="456" t="s">
        <v>1272</v>
      </c>
      <c r="C33" s="77"/>
      <c r="D33" s="77">
        <v>5324</v>
      </c>
      <c r="E33" s="79">
        <v>5324</v>
      </c>
      <c r="F33" s="86">
        <f t="shared" si="1"/>
        <v>100</v>
      </c>
    </row>
    <row r="34" spans="2:6" ht="30" customHeight="1" x14ac:dyDescent="0.2">
      <c r="B34" s="456" t="s">
        <v>564</v>
      </c>
      <c r="C34" s="77">
        <v>20000</v>
      </c>
      <c r="D34" s="77">
        <v>20000</v>
      </c>
      <c r="E34" s="79">
        <v>20000</v>
      </c>
      <c r="F34" s="86">
        <f t="shared" si="1"/>
        <v>100</v>
      </c>
    </row>
    <row r="35" spans="2:6" ht="30" customHeight="1" thickBot="1" x14ac:dyDescent="0.25">
      <c r="B35" s="456" t="s">
        <v>656</v>
      </c>
      <c r="C35" s="77"/>
      <c r="D35" s="77">
        <v>3000</v>
      </c>
      <c r="E35" s="79">
        <v>3000</v>
      </c>
      <c r="F35" s="86">
        <f t="shared" si="1"/>
        <v>100</v>
      </c>
    </row>
    <row r="36" spans="2:6" ht="30" customHeight="1" thickBot="1" x14ac:dyDescent="0.3">
      <c r="B36" s="25" t="s">
        <v>23</v>
      </c>
      <c r="C36" s="26">
        <f>SUM(C7:C35)</f>
        <v>613600</v>
      </c>
      <c r="D36" s="138">
        <f>SUM(D7:D35)</f>
        <v>1028516</v>
      </c>
      <c r="E36" s="138">
        <f>SUM(E7:E35)</f>
        <v>996324</v>
      </c>
      <c r="F36" s="139">
        <f t="shared" si="1"/>
        <v>96.870053552885906</v>
      </c>
    </row>
    <row r="37" spans="2:6" ht="20.100000000000001" customHeight="1" x14ac:dyDescent="0.2"/>
    <row r="38" spans="2:6" ht="15" customHeight="1" x14ac:dyDescent="0.2">
      <c r="C38" s="6"/>
    </row>
  </sheetData>
  <mergeCells count="3">
    <mergeCell ref="B1:C1"/>
    <mergeCell ref="C5:D5"/>
    <mergeCell ref="B2:F2"/>
  </mergeCells>
  <phoneticPr fontId="0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63" orientation="portrait" r:id="rId1"/>
  <headerFooter alignWithMargins="0">
    <oddHeader xml:space="preserve">&amp;C
&amp;R&amp;"Arial CE,Normál"&amp;14 &amp;"Arial CE,Félkövér"14. melléklet a ..../2019. (........) önkormányzati rendelethez
&amp;"Arial CE,Normál"&amp;12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15"/>
  <dimension ref="A1:J37"/>
  <sheetViews>
    <sheetView zoomScaleNormal="100" workbookViewId="0">
      <selection activeCell="K34" sqref="K34"/>
    </sheetView>
  </sheetViews>
  <sheetFormatPr defaultColWidth="9.33203125" defaultRowHeight="15" customHeight="1" x14ac:dyDescent="0.2"/>
  <cols>
    <col min="1" max="1" width="17.33203125" style="6" customWidth="1"/>
    <col min="2" max="2" width="5.33203125" style="11" customWidth="1"/>
    <col min="3" max="3" width="9.33203125" style="11"/>
    <col min="4" max="4" width="15.83203125" style="11" customWidth="1"/>
    <col min="5" max="5" width="25.83203125" style="11" customWidth="1"/>
    <col min="6" max="6" width="53.83203125" style="11" customWidth="1"/>
    <col min="7" max="9" width="20.83203125" style="11" customWidth="1"/>
    <col min="10" max="10" width="17.5" style="11" customWidth="1"/>
    <col min="11" max="16384" width="9.33203125" style="11"/>
  </cols>
  <sheetData>
    <row r="1" spans="2:10" ht="15" customHeight="1" x14ac:dyDescent="0.25">
      <c r="B1" s="2675"/>
      <c r="C1" s="2675"/>
      <c r="D1" s="2675"/>
      <c r="E1" s="2675"/>
      <c r="F1" s="2675"/>
      <c r="G1" s="2675"/>
    </row>
    <row r="2" spans="2:10" ht="23.25" customHeight="1" x14ac:dyDescent="0.3">
      <c r="B2" s="2700" t="s">
        <v>149</v>
      </c>
      <c r="C2" s="2700"/>
      <c r="D2" s="2700"/>
      <c r="E2" s="2700"/>
      <c r="F2" s="2700"/>
      <c r="G2" s="2700"/>
      <c r="H2" s="2700"/>
      <c r="I2" s="2700"/>
      <c r="J2" s="2700"/>
    </row>
    <row r="4" spans="2:10" ht="15" customHeight="1" thickBot="1" x14ac:dyDescent="0.25">
      <c r="B4" s="33"/>
      <c r="C4" s="33"/>
      <c r="D4" s="33"/>
      <c r="E4" s="33"/>
      <c r="G4" s="23"/>
      <c r="H4" s="23"/>
      <c r="I4" s="23"/>
      <c r="J4" s="23" t="s">
        <v>34</v>
      </c>
    </row>
    <row r="5" spans="2:10" ht="24" customHeight="1" x14ac:dyDescent="0.25">
      <c r="B5" s="2698" t="s">
        <v>51</v>
      </c>
      <c r="C5" s="2699"/>
      <c r="D5" s="2699"/>
      <c r="E5" s="2699"/>
      <c r="F5" s="2699"/>
      <c r="G5" s="2676" t="s">
        <v>622</v>
      </c>
      <c r="H5" s="2677"/>
      <c r="I5" s="760" t="s">
        <v>602</v>
      </c>
      <c r="J5" s="43" t="s">
        <v>166</v>
      </c>
    </row>
    <row r="6" spans="2:10" ht="24" customHeight="1" thickBot="1" x14ac:dyDescent="0.3">
      <c r="B6" s="47"/>
      <c r="C6" s="48"/>
      <c r="D6" s="48"/>
      <c r="E6" s="48"/>
      <c r="F6" s="48"/>
      <c r="G6" s="57" t="s">
        <v>325</v>
      </c>
      <c r="H6" s="57" t="s">
        <v>164</v>
      </c>
      <c r="I6" s="70" t="s">
        <v>165</v>
      </c>
      <c r="J6" s="44" t="s">
        <v>167</v>
      </c>
    </row>
    <row r="7" spans="2:10" ht="24" customHeight="1" x14ac:dyDescent="0.2">
      <c r="B7" s="62" t="s">
        <v>102</v>
      </c>
      <c r="C7" s="63"/>
      <c r="D7" s="63"/>
      <c r="E7" s="63"/>
      <c r="F7" s="63"/>
      <c r="G7" s="64"/>
      <c r="H7" s="59"/>
      <c r="I7" s="59"/>
      <c r="J7" s="87"/>
    </row>
    <row r="8" spans="2:10" ht="24" customHeight="1" x14ac:dyDescent="0.2">
      <c r="B8" s="35"/>
      <c r="C8" s="951" t="s">
        <v>104</v>
      </c>
      <c r="D8" s="951"/>
      <c r="E8" s="951"/>
      <c r="F8" s="951"/>
      <c r="G8" s="227">
        <v>47000</v>
      </c>
      <c r="H8" s="227">
        <v>73214</v>
      </c>
      <c r="I8" s="952">
        <v>65789</v>
      </c>
      <c r="J8" s="228">
        <f>+I8/H8*100</f>
        <v>89.858497008768808</v>
      </c>
    </row>
    <row r="9" spans="2:10" ht="24" customHeight="1" x14ac:dyDescent="0.2">
      <c r="B9" s="35"/>
      <c r="C9" s="951" t="s">
        <v>103</v>
      </c>
      <c r="D9" s="951"/>
      <c r="E9" s="951"/>
      <c r="F9" s="951"/>
      <c r="G9" s="227">
        <v>270000</v>
      </c>
      <c r="H9" s="227">
        <v>270680</v>
      </c>
      <c r="I9" s="952">
        <v>262722</v>
      </c>
      <c r="J9" s="228">
        <f>+I9/H9*100</f>
        <v>97.059997044480568</v>
      </c>
    </row>
    <row r="10" spans="2:10" ht="24" customHeight="1" x14ac:dyDescent="0.2">
      <c r="B10" s="35"/>
      <c r="C10" s="953" t="s">
        <v>583</v>
      </c>
      <c r="D10" s="953"/>
      <c r="E10" s="953"/>
      <c r="F10" s="953"/>
      <c r="G10" s="52">
        <v>930</v>
      </c>
      <c r="H10" s="52">
        <v>939</v>
      </c>
      <c r="I10" s="954">
        <v>897</v>
      </c>
      <c r="J10" s="86">
        <f>+I10/H10*100</f>
        <v>95.527156549520768</v>
      </c>
    </row>
    <row r="11" spans="2:10" ht="24" customHeight="1" x14ac:dyDescent="0.2">
      <c r="B11" s="35"/>
      <c r="C11" s="955" t="s">
        <v>633</v>
      </c>
      <c r="D11" s="34"/>
      <c r="E11" s="34"/>
      <c r="F11" s="34"/>
      <c r="G11" s="45">
        <v>3600</v>
      </c>
      <c r="H11" s="45">
        <v>3600</v>
      </c>
      <c r="I11" s="838"/>
      <c r="J11" s="86">
        <f>+I11/H11*100</f>
        <v>0</v>
      </c>
    </row>
    <row r="12" spans="2:10" ht="24" customHeight="1" thickBot="1" x14ac:dyDescent="0.3">
      <c r="B12" s="2701" t="s">
        <v>105</v>
      </c>
      <c r="C12" s="2702"/>
      <c r="D12" s="2702"/>
      <c r="E12" s="36" t="s">
        <v>95</v>
      </c>
      <c r="F12" s="36"/>
      <c r="G12" s="58">
        <f>SUM(G7:G11)</f>
        <v>321530</v>
      </c>
      <c r="H12" s="58">
        <f>SUM(H7:H11)</f>
        <v>348433</v>
      </c>
      <c r="I12" s="58">
        <f>SUM(I7:I10)</f>
        <v>329408</v>
      </c>
      <c r="J12" s="85">
        <f>+I12/H12*100</f>
        <v>94.539839797034148</v>
      </c>
    </row>
    <row r="13" spans="2:10" ht="24" customHeight="1" x14ac:dyDescent="0.25">
      <c r="B13" s="966" t="s">
        <v>1274</v>
      </c>
      <c r="C13" s="962"/>
      <c r="D13" s="962"/>
      <c r="E13" s="963"/>
      <c r="F13" s="963"/>
      <c r="G13" s="964"/>
      <c r="H13" s="964"/>
      <c r="I13" s="964"/>
      <c r="J13" s="965"/>
    </row>
    <row r="14" spans="2:10" ht="24" customHeight="1" x14ac:dyDescent="0.2">
      <c r="B14" s="451"/>
      <c r="C14" s="1993" t="s">
        <v>106</v>
      </c>
      <c r="D14" s="452"/>
      <c r="E14" s="452"/>
      <c r="F14" s="453"/>
      <c r="G14" s="230"/>
      <c r="H14" s="230">
        <v>3850</v>
      </c>
      <c r="I14" s="231">
        <v>0</v>
      </c>
      <c r="J14" s="229">
        <f t="shared" ref="J14:J23" si="0">+I14/H14*100</f>
        <v>0</v>
      </c>
    </row>
    <row r="15" spans="2:10" ht="24" customHeight="1" x14ac:dyDescent="0.2">
      <c r="B15" s="451" t="s">
        <v>354</v>
      </c>
      <c r="C15" s="1991"/>
      <c r="D15" s="1991"/>
      <c r="E15" s="1991"/>
      <c r="F15" s="1992"/>
      <c r="G15" s="230">
        <v>290000</v>
      </c>
      <c r="H15" s="230">
        <v>379688</v>
      </c>
      <c r="I15" s="231">
        <v>357175</v>
      </c>
      <c r="J15" s="229">
        <f t="shared" si="0"/>
        <v>94.07065801394829</v>
      </c>
    </row>
    <row r="16" spans="2:10" ht="24" customHeight="1" x14ac:dyDescent="0.2">
      <c r="B16" s="451" t="s">
        <v>1275</v>
      </c>
      <c r="C16" s="452"/>
      <c r="D16" s="452"/>
      <c r="E16" s="452"/>
      <c r="F16" s="453"/>
      <c r="G16" s="230">
        <v>3000</v>
      </c>
      <c r="H16" s="230">
        <v>6588</v>
      </c>
      <c r="I16" s="231">
        <v>1767</v>
      </c>
      <c r="J16" s="229">
        <f t="shared" si="0"/>
        <v>26.821493624772312</v>
      </c>
    </row>
    <row r="17" spans="2:10" ht="24" customHeight="1" x14ac:dyDescent="0.2">
      <c r="B17" s="451" t="s">
        <v>634</v>
      </c>
      <c r="C17" s="452"/>
      <c r="D17" s="452"/>
      <c r="E17" s="452"/>
      <c r="F17" s="453"/>
      <c r="G17" s="230">
        <v>15000</v>
      </c>
      <c r="H17" s="230">
        <v>10511</v>
      </c>
      <c r="I17" s="231">
        <v>3038</v>
      </c>
      <c r="J17" s="229">
        <f t="shared" si="0"/>
        <v>28.903053943487773</v>
      </c>
    </row>
    <row r="18" spans="2:10" ht="24" customHeight="1" x14ac:dyDescent="0.2">
      <c r="B18" s="451" t="s">
        <v>163</v>
      </c>
      <c r="C18" s="452"/>
      <c r="D18" s="452"/>
      <c r="E18" s="452"/>
      <c r="F18" s="453"/>
      <c r="G18" s="230">
        <v>370000</v>
      </c>
      <c r="H18" s="230">
        <v>450485</v>
      </c>
      <c r="I18" s="231">
        <v>383544</v>
      </c>
      <c r="J18" s="229">
        <f t="shared" si="0"/>
        <v>85.140237743765056</v>
      </c>
    </row>
    <row r="19" spans="2:10" ht="24" customHeight="1" x14ac:dyDescent="0.2">
      <c r="B19" s="451" t="s">
        <v>344</v>
      </c>
      <c r="C19" s="452"/>
      <c r="D19" s="452"/>
      <c r="E19" s="452"/>
      <c r="F19" s="453"/>
      <c r="G19" s="230">
        <v>1580</v>
      </c>
      <c r="H19" s="230">
        <v>2620</v>
      </c>
      <c r="I19" s="231">
        <v>556</v>
      </c>
      <c r="J19" s="229">
        <f t="shared" si="0"/>
        <v>21.221374045801529</v>
      </c>
    </row>
    <row r="20" spans="2:10" ht="24" customHeight="1" x14ac:dyDescent="0.2">
      <c r="B20" s="451" t="s">
        <v>635</v>
      </c>
      <c r="C20" s="452"/>
      <c r="D20" s="452"/>
      <c r="E20" s="452"/>
      <c r="F20" s="453"/>
      <c r="G20" s="230">
        <v>30000</v>
      </c>
      <c r="H20" s="230">
        <v>46195</v>
      </c>
      <c r="I20" s="231">
        <v>46195</v>
      </c>
      <c r="J20" s="229">
        <f t="shared" si="0"/>
        <v>100</v>
      </c>
    </row>
    <row r="21" spans="2:10" ht="24" customHeight="1" x14ac:dyDescent="0.2">
      <c r="B21" s="451" t="s">
        <v>161</v>
      </c>
      <c r="C21" s="452"/>
      <c r="D21" s="452"/>
      <c r="E21" s="452"/>
      <c r="F21" s="453"/>
      <c r="G21" s="230">
        <v>2401</v>
      </c>
      <c r="H21" s="230">
        <v>2537</v>
      </c>
      <c r="I21" s="231">
        <v>2437</v>
      </c>
      <c r="J21" s="229">
        <f t="shared" si="0"/>
        <v>96.05833661805282</v>
      </c>
    </row>
    <row r="22" spans="2:10" ht="24" customHeight="1" x14ac:dyDescent="0.2">
      <c r="B22" s="451" t="s">
        <v>219</v>
      </c>
      <c r="C22" s="452"/>
      <c r="D22" s="452"/>
      <c r="E22" s="452"/>
      <c r="F22" s="453"/>
      <c r="G22" s="230">
        <v>1310</v>
      </c>
      <c r="H22" s="230">
        <v>1892</v>
      </c>
      <c r="I22" s="231">
        <v>1215</v>
      </c>
      <c r="J22" s="229">
        <f t="shared" si="0"/>
        <v>64.217758985200845</v>
      </c>
    </row>
    <row r="23" spans="2:10" ht="24" customHeight="1" x14ac:dyDescent="0.2">
      <c r="B23" s="451" t="s">
        <v>162</v>
      </c>
      <c r="C23" s="452"/>
      <c r="D23" s="452"/>
      <c r="E23" s="452"/>
      <c r="F23" s="453"/>
      <c r="G23" s="230">
        <v>3781</v>
      </c>
      <c r="H23" s="230">
        <v>9123</v>
      </c>
      <c r="I23" s="231">
        <v>2892</v>
      </c>
      <c r="J23" s="229">
        <f t="shared" si="0"/>
        <v>31.700098651759291</v>
      </c>
    </row>
    <row r="24" spans="2:10" ht="24" customHeight="1" x14ac:dyDescent="0.2">
      <c r="B24" s="451" t="s">
        <v>453</v>
      </c>
      <c r="C24" s="452"/>
      <c r="D24" s="452"/>
      <c r="E24" s="452"/>
      <c r="F24" s="453"/>
      <c r="G24" s="230">
        <v>1700</v>
      </c>
      <c r="H24" s="230">
        <v>2503</v>
      </c>
      <c r="I24" s="231">
        <v>1955</v>
      </c>
      <c r="J24" s="229">
        <f t="shared" ref="J24:J31" si="1">+I24/H24*100</f>
        <v>78.106272473032362</v>
      </c>
    </row>
    <row r="25" spans="2:10" ht="24" customHeight="1" x14ac:dyDescent="0.2">
      <c r="B25" s="451" t="s">
        <v>318</v>
      </c>
      <c r="C25" s="452"/>
      <c r="D25" s="452"/>
      <c r="E25" s="452"/>
      <c r="F25" s="453"/>
      <c r="G25" s="233">
        <v>3000</v>
      </c>
      <c r="H25" s="233">
        <v>2108</v>
      </c>
      <c r="I25" s="218">
        <v>958</v>
      </c>
      <c r="J25" s="228">
        <f t="shared" si="1"/>
        <v>45.445920303605313</v>
      </c>
    </row>
    <row r="26" spans="2:10" ht="24" customHeight="1" x14ac:dyDescent="0.2">
      <c r="B26" s="1005" t="s">
        <v>675</v>
      </c>
      <c r="C26" s="1006"/>
      <c r="D26" s="1006"/>
      <c r="E26" s="1006"/>
      <c r="F26" s="1007"/>
      <c r="G26" s="1008"/>
      <c r="H26" s="1008">
        <v>8998</v>
      </c>
      <c r="I26" s="53">
        <v>8998</v>
      </c>
      <c r="J26" s="1009">
        <f t="shared" si="1"/>
        <v>100</v>
      </c>
    </row>
    <row r="27" spans="2:10" ht="24" customHeight="1" thickBot="1" x14ac:dyDescent="0.3">
      <c r="B27" s="2695" t="s">
        <v>490</v>
      </c>
      <c r="C27" s="2696"/>
      <c r="D27" s="2696"/>
      <c r="E27" s="2696"/>
      <c r="F27" s="2697"/>
      <c r="G27" s="51">
        <f>SUM(G14:G25)</f>
        <v>721772</v>
      </c>
      <c r="H27" s="51">
        <f>SUM(H14:H26)</f>
        <v>927098</v>
      </c>
      <c r="I27" s="51">
        <f>SUM(I14:I26)</f>
        <v>810730</v>
      </c>
      <c r="J27" s="166">
        <f t="shared" si="1"/>
        <v>87.448144640588154</v>
      </c>
    </row>
    <row r="28" spans="2:10" ht="24" customHeight="1" thickBot="1" x14ac:dyDescent="0.3">
      <c r="B28" s="2695" t="s">
        <v>176</v>
      </c>
      <c r="C28" s="2696"/>
      <c r="D28" s="2696"/>
      <c r="E28" s="2696"/>
      <c r="F28" s="2697"/>
      <c r="G28" s="51">
        <f>G27+G12</f>
        <v>1043302</v>
      </c>
      <c r="H28" s="51">
        <f>H27+H12</f>
        <v>1275531</v>
      </c>
      <c r="I28" s="51">
        <f>I27+I12</f>
        <v>1140138</v>
      </c>
      <c r="J28" s="85">
        <f t="shared" si="1"/>
        <v>89.385361861060218</v>
      </c>
    </row>
    <row r="29" spans="2:10" ht="24" customHeight="1" x14ac:dyDescent="0.2">
      <c r="B29" s="416" t="s">
        <v>175</v>
      </c>
      <c r="C29" s="417"/>
      <c r="D29" s="417"/>
      <c r="E29" s="417"/>
      <c r="F29" s="417"/>
      <c r="G29" s="418">
        <v>3000</v>
      </c>
      <c r="H29" s="418">
        <v>3062</v>
      </c>
      <c r="I29" s="418">
        <v>510</v>
      </c>
      <c r="J29" s="835">
        <f t="shared" si="1"/>
        <v>16.655780535597646</v>
      </c>
    </row>
    <row r="30" spans="2:10" ht="24" customHeight="1" x14ac:dyDescent="0.2">
      <c r="B30" s="16" t="s">
        <v>367</v>
      </c>
      <c r="C30" s="476"/>
      <c r="D30" s="476"/>
      <c r="E30" s="476"/>
      <c r="F30" s="476"/>
      <c r="G30" s="65">
        <v>2000</v>
      </c>
      <c r="H30" s="65">
        <v>5000</v>
      </c>
      <c r="I30" s="65"/>
      <c r="J30" s="2396">
        <f t="shared" si="1"/>
        <v>0</v>
      </c>
    </row>
    <row r="31" spans="2:10" ht="24" customHeight="1" thickBot="1" x14ac:dyDescent="0.3">
      <c r="B31" s="2692" t="s">
        <v>177</v>
      </c>
      <c r="C31" s="2693"/>
      <c r="D31" s="2693"/>
      <c r="E31" s="2693"/>
      <c r="F31" s="2694"/>
      <c r="G31" s="133">
        <f>G28+G29+G30</f>
        <v>1048302</v>
      </c>
      <c r="H31" s="133">
        <f t="shared" ref="H31:I31" si="2">H28+H29+H30</f>
        <v>1283593</v>
      </c>
      <c r="I31" s="133">
        <f t="shared" si="2"/>
        <v>1140648</v>
      </c>
      <c r="J31" s="166">
        <f t="shared" si="1"/>
        <v>88.863681868006452</v>
      </c>
    </row>
    <row r="33" spans="9:9" ht="15" customHeight="1" x14ac:dyDescent="0.2">
      <c r="I33" s="6"/>
    </row>
    <row r="34" spans="9:9" ht="15" customHeight="1" x14ac:dyDescent="0.2">
      <c r="I34" s="6"/>
    </row>
    <row r="35" spans="9:9" ht="15" customHeight="1" x14ac:dyDescent="0.2">
      <c r="I35" s="6"/>
    </row>
    <row r="37" spans="9:9" ht="15" customHeight="1" x14ac:dyDescent="0.2">
      <c r="I37" s="6"/>
    </row>
  </sheetData>
  <mergeCells count="8">
    <mergeCell ref="B31:F31"/>
    <mergeCell ref="B27:F27"/>
    <mergeCell ref="B1:G1"/>
    <mergeCell ref="B5:F5"/>
    <mergeCell ref="G5:H5"/>
    <mergeCell ref="B2:J2"/>
    <mergeCell ref="B12:D12"/>
    <mergeCell ref="B28:F28"/>
  </mergeCells>
  <phoneticPr fontId="0" type="noConversion"/>
  <printOptions horizontalCentered="1" verticalCentered="1"/>
  <pageMargins left="0.27559055118110237" right="0" top="0.59055118110236227" bottom="0.59055118110236227" header="0.31496062992125984" footer="0.31496062992125984"/>
  <pageSetup paperSize="9" scale="60" orientation="portrait" r:id="rId1"/>
  <headerFooter alignWithMargins="0">
    <oddHeader>&amp;L
&amp;R&amp;"Arial,Félkövér"&amp;14 15. melléklet a ..../2019. (........)  önkormányzati rendelethez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6"/>
  <dimension ref="A1:G148"/>
  <sheetViews>
    <sheetView zoomScaleNormal="100" workbookViewId="0">
      <selection activeCell="G23" sqref="G23"/>
    </sheetView>
  </sheetViews>
  <sheetFormatPr defaultColWidth="12" defaultRowHeight="15" customHeight="1" x14ac:dyDescent="0.2"/>
  <cols>
    <col min="1" max="1" width="12" style="90" bestFit="1" customWidth="1"/>
    <col min="2" max="2" width="89.33203125" style="7" customWidth="1"/>
    <col min="3" max="3" width="22.1640625" style="7" customWidth="1"/>
    <col min="4" max="5" width="22.1640625" style="5" customWidth="1"/>
    <col min="6" max="6" width="20.1640625" style="7" customWidth="1"/>
    <col min="7" max="16384" width="12" style="7"/>
  </cols>
  <sheetData>
    <row r="1" spans="2:7" ht="15" customHeight="1" x14ac:dyDescent="0.25">
      <c r="B1" s="2675"/>
      <c r="C1" s="2675"/>
    </row>
    <row r="2" spans="2:7" ht="24" customHeight="1" x14ac:dyDescent="0.3">
      <c r="B2" s="2703" t="s">
        <v>643</v>
      </c>
      <c r="C2" s="2703"/>
      <c r="D2" s="2703"/>
      <c r="E2" s="2703"/>
      <c r="F2" s="2703"/>
    </row>
    <row r="3" spans="2:7" ht="12" customHeight="1" x14ac:dyDescent="0.25">
      <c r="B3" s="37"/>
      <c r="C3" s="37"/>
    </row>
    <row r="4" spans="2:7" ht="15" customHeight="1" thickBot="1" x14ac:dyDescent="0.3">
      <c r="B4" s="13"/>
      <c r="C4" s="14"/>
      <c r="D4" s="32"/>
      <c r="E4" s="32"/>
      <c r="F4" s="14" t="s">
        <v>34</v>
      </c>
    </row>
    <row r="5" spans="2:7" ht="24" customHeight="1" x14ac:dyDescent="0.25">
      <c r="B5" s="39" t="s">
        <v>51</v>
      </c>
      <c r="C5" s="2676" t="s">
        <v>622</v>
      </c>
      <c r="D5" s="2677"/>
      <c r="E5" s="69" t="s">
        <v>602</v>
      </c>
      <c r="F5" s="43" t="s">
        <v>166</v>
      </c>
    </row>
    <row r="6" spans="2:7" ht="24" customHeight="1" thickBot="1" x14ac:dyDescent="0.3">
      <c r="B6" s="50"/>
      <c r="C6" s="57" t="s">
        <v>325</v>
      </c>
      <c r="D6" s="81" t="s">
        <v>164</v>
      </c>
      <c r="E6" s="70" t="s">
        <v>165</v>
      </c>
      <c r="F6" s="44" t="s">
        <v>167</v>
      </c>
    </row>
    <row r="7" spans="2:7" ht="24" customHeight="1" x14ac:dyDescent="0.2">
      <c r="B7" s="234" t="s">
        <v>108</v>
      </c>
      <c r="C7" s="233">
        <v>37500</v>
      </c>
      <c r="D7" s="233">
        <v>38760</v>
      </c>
      <c r="E7" s="218">
        <v>33158</v>
      </c>
      <c r="F7" s="228">
        <f>+E7/D7*100</f>
        <v>85.546955624355007</v>
      </c>
      <c r="G7" s="5"/>
    </row>
    <row r="8" spans="2:7" ht="24" customHeight="1" x14ac:dyDescent="0.2">
      <c r="B8" s="235" t="s">
        <v>326</v>
      </c>
      <c r="C8" s="233">
        <v>5000</v>
      </c>
      <c r="D8" s="233">
        <v>5000</v>
      </c>
      <c r="E8" s="218">
        <v>5000</v>
      </c>
      <c r="F8" s="228">
        <f>+E8/D8*100</f>
        <v>100</v>
      </c>
      <c r="G8" s="5"/>
    </row>
    <row r="9" spans="2:7" ht="24" customHeight="1" x14ac:dyDescent="0.2">
      <c r="B9" s="235" t="s">
        <v>327</v>
      </c>
      <c r="C9" s="233">
        <v>7300</v>
      </c>
      <c r="D9" s="233">
        <v>8703</v>
      </c>
      <c r="E9" s="218">
        <v>7980</v>
      </c>
      <c r="F9" s="228">
        <f>+E9/D9*100</f>
        <v>91.692519820751457</v>
      </c>
      <c r="G9" s="5"/>
    </row>
    <row r="10" spans="2:7" ht="24" customHeight="1" x14ac:dyDescent="0.2">
      <c r="B10" s="235" t="s">
        <v>71</v>
      </c>
      <c r="C10" s="233">
        <v>3000</v>
      </c>
      <c r="D10" s="233">
        <v>3002</v>
      </c>
      <c r="E10" s="218"/>
      <c r="F10" s="228">
        <f t="shared" ref="F10:F16" si="0">+E10/D10*100</f>
        <v>0</v>
      </c>
      <c r="G10" s="5"/>
    </row>
    <row r="11" spans="2:7" ht="24" customHeight="1" x14ac:dyDescent="0.2">
      <c r="B11" s="235" t="s">
        <v>1276</v>
      </c>
      <c r="C11" s="233">
        <v>60000</v>
      </c>
      <c r="D11" s="233">
        <v>92328</v>
      </c>
      <c r="E11" s="218">
        <v>89992</v>
      </c>
      <c r="F11" s="228">
        <f t="shared" si="0"/>
        <v>97.469889957542676</v>
      </c>
      <c r="G11" s="5"/>
    </row>
    <row r="12" spans="2:7" ht="24" customHeight="1" x14ac:dyDescent="0.2">
      <c r="B12" s="235" t="s">
        <v>1277</v>
      </c>
      <c r="C12" s="233">
        <v>11000</v>
      </c>
      <c r="D12" s="233">
        <v>11000</v>
      </c>
      <c r="E12" s="218">
        <v>2243</v>
      </c>
      <c r="F12" s="228">
        <f t="shared" si="0"/>
        <v>20.390909090909091</v>
      </c>
      <c r="G12" s="5"/>
    </row>
    <row r="13" spans="2:7" ht="24" customHeight="1" x14ac:dyDescent="0.2">
      <c r="B13" s="235" t="s">
        <v>328</v>
      </c>
      <c r="C13" s="233">
        <v>3000</v>
      </c>
      <c r="D13" s="233">
        <v>5813</v>
      </c>
      <c r="E13" s="218">
        <v>5813</v>
      </c>
      <c r="F13" s="228">
        <f t="shared" si="0"/>
        <v>100</v>
      </c>
      <c r="G13" s="5"/>
    </row>
    <row r="14" spans="2:7" ht="24" customHeight="1" x14ac:dyDescent="0.2">
      <c r="B14" s="236" t="s">
        <v>440</v>
      </c>
      <c r="C14" s="233">
        <v>3000</v>
      </c>
      <c r="D14" s="233">
        <v>3369</v>
      </c>
      <c r="E14" s="218">
        <v>860</v>
      </c>
      <c r="F14" s="228">
        <f t="shared" si="0"/>
        <v>25.526862570495695</v>
      </c>
      <c r="G14" s="5"/>
    </row>
    <row r="15" spans="2:7" ht="24" customHeight="1" x14ac:dyDescent="0.2">
      <c r="B15" s="235" t="s">
        <v>13</v>
      </c>
      <c r="C15" s="233"/>
      <c r="D15" s="233">
        <v>100</v>
      </c>
      <c r="E15" s="218"/>
      <c r="F15" s="228">
        <f t="shared" si="0"/>
        <v>0</v>
      </c>
      <c r="G15" s="5"/>
    </row>
    <row r="16" spans="2:7" ht="24" customHeight="1" x14ac:dyDescent="0.2">
      <c r="B16" s="327" t="s">
        <v>270</v>
      </c>
      <c r="C16" s="233"/>
      <c r="D16" s="233">
        <v>2</v>
      </c>
      <c r="E16" s="218"/>
      <c r="F16" s="228">
        <f t="shared" si="0"/>
        <v>0</v>
      </c>
      <c r="G16" s="5"/>
    </row>
    <row r="17" spans="1:7" ht="24" customHeight="1" x14ac:dyDescent="0.2">
      <c r="B17" s="235" t="s">
        <v>174</v>
      </c>
      <c r="C17" s="233"/>
      <c r="D17" s="233">
        <v>2756</v>
      </c>
      <c r="E17" s="218">
        <v>549</v>
      </c>
      <c r="F17" s="228">
        <f t="shared" ref="F17:F23" si="1">+E17/D17*100</f>
        <v>19.920174165457187</v>
      </c>
      <c r="G17" s="5"/>
    </row>
    <row r="18" spans="1:7" ht="24" customHeight="1" x14ac:dyDescent="0.2">
      <c r="B18" s="235" t="s">
        <v>329</v>
      </c>
      <c r="C18" s="233">
        <v>400</v>
      </c>
      <c r="D18" s="233">
        <v>1084</v>
      </c>
      <c r="E18" s="218"/>
      <c r="F18" s="228">
        <f t="shared" si="1"/>
        <v>0</v>
      </c>
      <c r="G18" s="5"/>
    </row>
    <row r="19" spans="1:7" ht="24" customHeight="1" x14ac:dyDescent="0.2">
      <c r="B19" s="235" t="s">
        <v>73</v>
      </c>
      <c r="C19" s="233">
        <v>3500</v>
      </c>
      <c r="D19" s="233">
        <v>14613</v>
      </c>
      <c r="E19" s="218">
        <v>14613</v>
      </c>
      <c r="F19" s="228">
        <f t="shared" si="1"/>
        <v>100</v>
      </c>
      <c r="G19" s="5"/>
    </row>
    <row r="20" spans="1:7" s="11" customFormat="1" ht="24" customHeight="1" x14ac:dyDescent="0.2">
      <c r="A20" s="92"/>
      <c r="B20" s="235" t="s">
        <v>91</v>
      </c>
      <c r="C20" s="233">
        <v>2000</v>
      </c>
      <c r="D20" s="233">
        <v>3188</v>
      </c>
      <c r="E20" s="218"/>
      <c r="F20" s="228">
        <f t="shared" si="1"/>
        <v>0</v>
      </c>
      <c r="G20" s="5"/>
    </row>
    <row r="21" spans="1:7" ht="24" customHeight="1" x14ac:dyDescent="0.2">
      <c r="B21" s="235" t="s">
        <v>330</v>
      </c>
      <c r="C21" s="233">
        <v>36000</v>
      </c>
      <c r="D21" s="233">
        <v>46010</v>
      </c>
      <c r="E21" s="218">
        <v>38936</v>
      </c>
      <c r="F21" s="228">
        <f t="shared" si="1"/>
        <v>84.625081504020855</v>
      </c>
      <c r="G21" s="5"/>
    </row>
    <row r="22" spans="1:7" ht="24" customHeight="1" x14ac:dyDescent="0.2">
      <c r="B22" s="235" t="s">
        <v>107</v>
      </c>
      <c r="C22" s="233">
        <v>17000</v>
      </c>
      <c r="D22" s="233">
        <v>30597</v>
      </c>
      <c r="E22" s="218">
        <v>14940</v>
      </c>
      <c r="F22" s="228">
        <f t="shared" si="1"/>
        <v>48.828316501617806</v>
      </c>
      <c r="G22" s="5"/>
    </row>
    <row r="23" spans="1:7" ht="24" customHeight="1" x14ac:dyDescent="0.2">
      <c r="B23" s="235" t="s">
        <v>173</v>
      </c>
      <c r="C23" s="233">
        <v>18000</v>
      </c>
      <c r="D23" s="233">
        <v>21163</v>
      </c>
      <c r="E23" s="218">
        <v>15829</v>
      </c>
      <c r="F23" s="228">
        <f t="shared" si="1"/>
        <v>74.79563388933515</v>
      </c>
      <c r="G23" s="5"/>
    </row>
    <row r="24" spans="1:7" ht="41.25" customHeight="1" x14ac:dyDescent="0.2">
      <c r="B24" s="236" t="s">
        <v>210</v>
      </c>
      <c r="C24" s="233">
        <v>5000</v>
      </c>
      <c r="D24" s="233">
        <v>7284</v>
      </c>
      <c r="E24" s="218">
        <v>3355</v>
      </c>
      <c r="F24" s="228">
        <f t="shared" ref="F24:F29" si="2">+E24/D24*100</f>
        <v>46.059857221306977</v>
      </c>
      <c r="G24" s="5"/>
    </row>
    <row r="25" spans="1:7" ht="24" customHeight="1" x14ac:dyDescent="0.2">
      <c r="B25" s="235" t="s">
        <v>72</v>
      </c>
      <c r="C25" s="233">
        <v>6500</v>
      </c>
      <c r="D25" s="233">
        <v>11973</v>
      </c>
      <c r="E25" s="218">
        <v>6866</v>
      </c>
      <c r="F25" s="228">
        <f t="shared" si="2"/>
        <v>57.345694479244969</v>
      </c>
      <c r="G25" s="5"/>
    </row>
    <row r="26" spans="1:7" ht="41.25" customHeight="1" x14ac:dyDescent="0.2">
      <c r="B26" s="236" t="s">
        <v>1278</v>
      </c>
      <c r="C26" s="233">
        <v>4000</v>
      </c>
      <c r="D26" s="233">
        <v>8415</v>
      </c>
      <c r="E26" s="218">
        <v>2170</v>
      </c>
      <c r="F26" s="228">
        <f t="shared" si="2"/>
        <v>25.787284610814019</v>
      </c>
      <c r="G26" s="5"/>
    </row>
    <row r="27" spans="1:7" ht="24" customHeight="1" x14ac:dyDescent="0.2">
      <c r="B27" s="237" t="s">
        <v>441</v>
      </c>
      <c r="C27" s="230">
        <v>15000</v>
      </c>
      <c r="D27" s="230">
        <v>22004</v>
      </c>
      <c r="E27" s="218">
        <v>4945</v>
      </c>
      <c r="F27" s="228">
        <f t="shared" si="2"/>
        <v>22.473186693328486</v>
      </c>
      <c r="G27" s="5"/>
    </row>
    <row r="28" spans="1:7" ht="24" customHeight="1" x14ac:dyDescent="0.2">
      <c r="B28" s="235" t="s">
        <v>292</v>
      </c>
      <c r="C28" s="233">
        <v>5000</v>
      </c>
      <c r="D28" s="233">
        <v>9982</v>
      </c>
      <c r="E28" s="218">
        <v>9073</v>
      </c>
      <c r="F28" s="228">
        <f t="shared" si="2"/>
        <v>90.893608495291517</v>
      </c>
      <c r="G28" s="5"/>
    </row>
    <row r="29" spans="1:7" ht="24" customHeight="1" thickBot="1" x14ac:dyDescent="0.25">
      <c r="B29" s="342" t="s">
        <v>227</v>
      </c>
      <c r="C29" s="381">
        <v>2000</v>
      </c>
      <c r="D29" s="381">
        <v>4073</v>
      </c>
      <c r="E29" s="304"/>
      <c r="F29" s="341">
        <f t="shared" si="2"/>
        <v>0</v>
      </c>
      <c r="G29" s="5"/>
    </row>
    <row r="30" spans="1:7" ht="24" customHeight="1" thickBot="1" x14ac:dyDescent="0.3">
      <c r="B30" s="38" t="s">
        <v>1279</v>
      </c>
      <c r="C30" s="66">
        <f>SUM(C7:C29)</f>
        <v>244200</v>
      </c>
      <c r="D30" s="66">
        <f>SUM(D7:D29)</f>
        <v>351219</v>
      </c>
      <c r="E30" s="66">
        <f>SUM(E7:E29)</f>
        <v>256322</v>
      </c>
      <c r="F30" s="68">
        <f>E30/D30*100</f>
        <v>72.980675874596756</v>
      </c>
      <c r="G30" s="5"/>
    </row>
    <row r="31" spans="1:7" ht="15" customHeight="1" x14ac:dyDescent="0.2">
      <c r="C31" s="10"/>
    </row>
    <row r="32" spans="1:7" ht="15" hidden="1" customHeight="1" x14ac:dyDescent="0.2"/>
    <row r="34" spans="3:3" ht="15" customHeight="1" x14ac:dyDescent="0.2">
      <c r="C34" s="5"/>
    </row>
    <row r="35" spans="3:3" ht="15" customHeight="1" x14ac:dyDescent="0.2">
      <c r="C35" s="5"/>
    </row>
    <row r="36" spans="3:3" ht="15" customHeight="1" x14ac:dyDescent="0.2">
      <c r="C36" s="5"/>
    </row>
    <row r="37" spans="3:3" ht="15" customHeight="1" x14ac:dyDescent="0.2">
      <c r="C37" s="5"/>
    </row>
    <row r="38" spans="3:3" ht="15" customHeight="1" x14ac:dyDescent="0.2">
      <c r="C38" s="5"/>
    </row>
    <row r="39" spans="3:3" ht="15" customHeight="1" x14ac:dyDescent="0.2">
      <c r="C39" s="5"/>
    </row>
    <row r="40" spans="3:3" ht="15" customHeight="1" x14ac:dyDescent="0.2">
      <c r="C40" s="5"/>
    </row>
    <row r="41" spans="3:3" ht="15" customHeight="1" x14ac:dyDescent="0.2">
      <c r="C41" s="5"/>
    </row>
    <row r="42" spans="3:3" ht="15" customHeight="1" x14ac:dyDescent="0.2">
      <c r="C42" s="5"/>
    </row>
    <row r="43" spans="3:3" ht="15" customHeight="1" x14ac:dyDescent="0.2">
      <c r="C43" s="5"/>
    </row>
    <row r="44" spans="3:3" ht="15" customHeight="1" x14ac:dyDescent="0.2">
      <c r="C44" s="5"/>
    </row>
    <row r="45" spans="3:3" ht="15" customHeight="1" x14ac:dyDescent="0.2">
      <c r="C45" s="5"/>
    </row>
    <row r="46" spans="3:3" ht="15" customHeight="1" x14ac:dyDescent="0.2">
      <c r="C46" s="5"/>
    </row>
    <row r="47" spans="3:3" ht="15" customHeight="1" x14ac:dyDescent="0.2">
      <c r="C47" s="5"/>
    </row>
    <row r="48" spans="3:3" ht="15" customHeight="1" x14ac:dyDescent="0.2">
      <c r="C48" s="5"/>
    </row>
    <row r="49" spans="3:3" ht="15" customHeight="1" x14ac:dyDescent="0.2">
      <c r="C49" s="5"/>
    </row>
    <row r="50" spans="3:3" ht="15" customHeight="1" x14ac:dyDescent="0.2">
      <c r="C50" s="5"/>
    </row>
    <row r="51" spans="3:3" ht="15" customHeight="1" x14ac:dyDescent="0.2">
      <c r="C51" s="5"/>
    </row>
    <row r="52" spans="3:3" ht="15" customHeight="1" x14ac:dyDescent="0.2">
      <c r="C52" s="5"/>
    </row>
    <row r="53" spans="3:3" ht="15" customHeight="1" x14ac:dyDescent="0.2">
      <c r="C53" s="5"/>
    </row>
    <row r="54" spans="3:3" ht="15" customHeight="1" x14ac:dyDescent="0.2">
      <c r="C54" s="5"/>
    </row>
    <row r="55" spans="3:3" ht="15" customHeight="1" x14ac:dyDescent="0.2">
      <c r="C55" s="5"/>
    </row>
    <row r="56" spans="3:3" ht="15" customHeight="1" x14ac:dyDescent="0.2">
      <c r="C56" s="5"/>
    </row>
    <row r="57" spans="3:3" ht="15" customHeight="1" x14ac:dyDescent="0.2">
      <c r="C57" s="5"/>
    </row>
    <row r="58" spans="3:3" ht="15" customHeight="1" x14ac:dyDescent="0.2">
      <c r="C58" s="5"/>
    </row>
    <row r="59" spans="3:3" ht="15" customHeight="1" x14ac:dyDescent="0.2">
      <c r="C59" s="5"/>
    </row>
    <row r="60" spans="3:3" ht="15" customHeight="1" x14ac:dyDescent="0.2">
      <c r="C60" s="5"/>
    </row>
    <row r="61" spans="3:3" ht="15" customHeight="1" x14ac:dyDescent="0.2">
      <c r="C61" s="5"/>
    </row>
    <row r="62" spans="3:3" ht="15" customHeight="1" x14ac:dyDescent="0.2">
      <c r="C62" s="5"/>
    </row>
    <row r="63" spans="3:3" ht="15" customHeight="1" x14ac:dyDescent="0.2">
      <c r="C63" s="5"/>
    </row>
    <row r="64" spans="3:3" ht="15" customHeight="1" x14ac:dyDescent="0.2">
      <c r="C64" s="5"/>
    </row>
    <row r="65" spans="3:3" ht="15" customHeight="1" x14ac:dyDescent="0.2">
      <c r="C65" s="5"/>
    </row>
    <row r="66" spans="3:3" ht="15" customHeight="1" x14ac:dyDescent="0.2">
      <c r="C66" s="5"/>
    </row>
    <row r="67" spans="3:3" ht="15" customHeight="1" x14ac:dyDescent="0.2">
      <c r="C67" s="5"/>
    </row>
    <row r="68" spans="3:3" ht="15" customHeight="1" x14ac:dyDescent="0.2">
      <c r="C68" s="5"/>
    </row>
    <row r="69" spans="3:3" ht="15" customHeight="1" x14ac:dyDescent="0.2">
      <c r="C69" s="5"/>
    </row>
    <row r="70" spans="3:3" ht="15" customHeight="1" x14ac:dyDescent="0.2">
      <c r="C70" s="5"/>
    </row>
    <row r="71" spans="3:3" ht="15" customHeight="1" x14ac:dyDescent="0.2">
      <c r="C71" s="5"/>
    </row>
    <row r="72" spans="3:3" ht="15" customHeight="1" x14ac:dyDescent="0.2">
      <c r="C72" s="5"/>
    </row>
    <row r="73" spans="3:3" ht="15" customHeight="1" x14ac:dyDescent="0.2">
      <c r="C73" s="5"/>
    </row>
    <row r="74" spans="3:3" ht="15" customHeight="1" x14ac:dyDescent="0.2">
      <c r="C74" s="5"/>
    </row>
    <row r="75" spans="3:3" ht="15" customHeight="1" x14ac:dyDescent="0.2">
      <c r="C75" s="5"/>
    </row>
    <row r="76" spans="3:3" ht="15" customHeight="1" x14ac:dyDescent="0.2">
      <c r="C76" s="5"/>
    </row>
    <row r="77" spans="3:3" ht="15" customHeight="1" x14ac:dyDescent="0.2">
      <c r="C77" s="5"/>
    </row>
    <row r="78" spans="3:3" ht="15" customHeight="1" x14ac:dyDescent="0.2">
      <c r="C78" s="5"/>
    </row>
    <row r="79" spans="3:3" ht="15" customHeight="1" x14ac:dyDescent="0.2">
      <c r="C79" s="5"/>
    </row>
    <row r="80" spans="3:3" ht="15" customHeight="1" x14ac:dyDescent="0.2">
      <c r="C80" s="5"/>
    </row>
    <row r="81" spans="3:3" ht="15" customHeight="1" x14ac:dyDescent="0.2">
      <c r="C81" s="5"/>
    </row>
    <row r="82" spans="3:3" ht="15" customHeight="1" x14ac:dyDescent="0.2">
      <c r="C82" s="5"/>
    </row>
    <row r="83" spans="3:3" ht="15" customHeight="1" x14ac:dyDescent="0.2">
      <c r="C83" s="5"/>
    </row>
    <row r="84" spans="3:3" ht="15" customHeight="1" x14ac:dyDescent="0.2">
      <c r="C84" s="5"/>
    </row>
    <row r="85" spans="3:3" ht="15" customHeight="1" x14ac:dyDescent="0.2">
      <c r="C85" s="5"/>
    </row>
    <row r="86" spans="3:3" ht="15" customHeight="1" x14ac:dyDescent="0.2">
      <c r="C86" s="5"/>
    </row>
    <row r="87" spans="3:3" ht="15" customHeight="1" x14ac:dyDescent="0.2">
      <c r="C87" s="5"/>
    </row>
    <row r="88" spans="3:3" ht="15" customHeight="1" x14ac:dyDescent="0.2">
      <c r="C88" s="5"/>
    </row>
    <row r="89" spans="3:3" ht="15" customHeight="1" x14ac:dyDescent="0.2">
      <c r="C89" s="5"/>
    </row>
    <row r="90" spans="3:3" ht="15" customHeight="1" x14ac:dyDescent="0.2">
      <c r="C90" s="5"/>
    </row>
    <row r="91" spans="3:3" ht="15" customHeight="1" x14ac:dyDescent="0.2">
      <c r="C91" s="5"/>
    </row>
    <row r="92" spans="3:3" ht="15" customHeight="1" x14ac:dyDescent="0.2">
      <c r="C92" s="5"/>
    </row>
    <row r="93" spans="3:3" ht="15" customHeight="1" x14ac:dyDescent="0.2">
      <c r="C93" s="5"/>
    </row>
    <row r="94" spans="3:3" ht="15" customHeight="1" x14ac:dyDescent="0.2">
      <c r="C94" s="5"/>
    </row>
    <row r="95" spans="3:3" ht="15" customHeight="1" x14ac:dyDescent="0.2">
      <c r="C95" s="5"/>
    </row>
    <row r="96" spans="3:3" ht="15" customHeight="1" x14ac:dyDescent="0.2">
      <c r="C96" s="5"/>
    </row>
    <row r="97" spans="3:3" ht="15" customHeight="1" x14ac:dyDescent="0.2">
      <c r="C97" s="5"/>
    </row>
    <row r="98" spans="3:3" ht="15" customHeight="1" x14ac:dyDescent="0.2">
      <c r="C98" s="5"/>
    </row>
    <row r="99" spans="3:3" ht="15" customHeight="1" x14ac:dyDescent="0.2">
      <c r="C99" s="5"/>
    </row>
    <row r="100" spans="3:3" ht="15" customHeight="1" x14ac:dyDescent="0.2">
      <c r="C100" s="5"/>
    </row>
    <row r="101" spans="3:3" ht="15" customHeight="1" x14ac:dyDescent="0.2">
      <c r="C101" s="5"/>
    </row>
    <row r="102" spans="3:3" ht="15" customHeight="1" x14ac:dyDescent="0.2">
      <c r="C102" s="5"/>
    </row>
    <row r="103" spans="3:3" ht="15" customHeight="1" x14ac:dyDescent="0.2">
      <c r="C103" s="5"/>
    </row>
    <row r="104" spans="3:3" ht="15" customHeight="1" x14ac:dyDescent="0.2">
      <c r="C104" s="5"/>
    </row>
    <row r="105" spans="3:3" ht="15" customHeight="1" x14ac:dyDescent="0.2">
      <c r="C105" s="5"/>
    </row>
    <row r="106" spans="3:3" ht="15" customHeight="1" x14ac:dyDescent="0.2">
      <c r="C106" s="5"/>
    </row>
    <row r="107" spans="3:3" ht="15" customHeight="1" x14ac:dyDescent="0.2">
      <c r="C107" s="5"/>
    </row>
    <row r="108" spans="3:3" ht="15" customHeight="1" x14ac:dyDescent="0.2">
      <c r="C108" s="5"/>
    </row>
    <row r="109" spans="3:3" ht="15" customHeight="1" x14ac:dyDescent="0.2">
      <c r="C109" s="5"/>
    </row>
    <row r="110" spans="3:3" ht="15" customHeight="1" x14ac:dyDescent="0.2">
      <c r="C110" s="5"/>
    </row>
    <row r="111" spans="3:3" ht="15" customHeight="1" x14ac:dyDescent="0.2">
      <c r="C111" s="5"/>
    </row>
    <row r="112" spans="3:3" ht="15" customHeight="1" x14ac:dyDescent="0.2">
      <c r="C112" s="5"/>
    </row>
    <row r="113" spans="3:3" ht="15" customHeight="1" x14ac:dyDescent="0.2">
      <c r="C113" s="5"/>
    </row>
    <row r="114" spans="3:3" ht="15" customHeight="1" x14ac:dyDescent="0.2">
      <c r="C114" s="5"/>
    </row>
    <row r="115" spans="3:3" ht="15" customHeight="1" x14ac:dyDescent="0.2">
      <c r="C115" s="5"/>
    </row>
    <row r="116" spans="3:3" ht="15" customHeight="1" x14ac:dyDescent="0.2">
      <c r="C116" s="5"/>
    </row>
    <row r="117" spans="3:3" ht="15" customHeight="1" x14ac:dyDescent="0.2">
      <c r="C117" s="5"/>
    </row>
    <row r="118" spans="3:3" ht="15" customHeight="1" x14ac:dyDescent="0.2">
      <c r="C118" s="5"/>
    </row>
    <row r="119" spans="3:3" ht="15" customHeight="1" x14ac:dyDescent="0.2">
      <c r="C119" s="5"/>
    </row>
    <row r="120" spans="3:3" ht="15" customHeight="1" x14ac:dyDescent="0.2">
      <c r="C120" s="5"/>
    </row>
    <row r="121" spans="3:3" ht="15" customHeight="1" x14ac:dyDescent="0.2">
      <c r="C121" s="5"/>
    </row>
    <row r="122" spans="3:3" ht="15" customHeight="1" x14ac:dyDescent="0.2">
      <c r="C122" s="5"/>
    </row>
    <row r="123" spans="3:3" ht="15" customHeight="1" x14ac:dyDescent="0.2">
      <c r="C123" s="5"/>
    </row>
    <row r="124" spans="3:3" ht="15" customHeight="1" x14ac:dyDescent="0.2">
      <c r="C124" s="5"/>
    </row>
    <row r="125" spans="3:3" ht="15" customHeight="1" x14ac:dyDescent="0.2">
      <c r="C125" s="5"/>
    </row>
    <row r="126" spans="3:3" ht="15" customHeight="1" x14ac:dyDescent="0.2">
      <c r="C126" s="5"/>
    </row>
    <row r="127" spans="3:3" ht="15" customHeight="1" x14ac:dyDescent="0.2">
      <c r="C127" s="5"/>
    </row>
    <row r="128" spans="3:3" ht="15" customHeight="1" x14ac:dyDescent="0.2">
      <c r="C128" s="5"/>
    </row>
    <row r="129" spans="3:3" ht="15" customHeight="1" x14ac:dyDescent="0.2">
      <c r="C129" s="5"/>
    </row>
    <row r="130" spans="3:3" ht="15" customHeight="1" x14ac:dyDescent="0.2">
      <c r="C130" s="5"/>
    </row>
    <row r="131" spans="3:3" ht="15" customHeight="1" x14ac:dyDescent="0.2">
      <c r="C131" s="5"/>
    </row>
    <row r="132" spans="3:3" ht="15" customHeight="1" x14ac:dyDescent="0.2">
      <c r="C132" s="5"/>
    </row>
    <row r="133" spans="3:3" ht="15" customHeight="1" x14ac:dyDescent="0.2">
      <c r="C133" s="5"/>
    </row>
    <row r="134" spans="3:3" ht="15" customHeight="1" x14ac:dyDescent="0.2">
      <c r="C134" s="5"/>
    </row>
    <row r="135" spans="3:3" ht="15" customHeight="1" x14ac:dyDescent="0.2">
      <c r="C135" s="5"/>
    </row>
    <row r="136" spans="3:3" ht="15" customHeight="1" x14ac:dyDescent="0.2">
      <c r="C136" s="5"/>
    </row>
    <row r="137" spans="3:3" ht="15" customHeight="1" x14ac:dyDescent="0.2">
      <c r="C137" s="5"/>
    </row>
    <row r="138" spans="3:3" ht="15" customHeight="1" x14ac:dyDescent="0.2">
      <c r="C138" s="5"/>
    </row>
    <row r="139" spans="3:3" ht="15" customHeight="1" x14ac:dyDescent="0.2">
      <c r="C139" s="5"/>
    </row>
    <row r="140" spans="3:3" ht="15" customHeight="1" x14ac:dyDescent="0.2">
      <c r="C140" s="5"/>
    </row>
    <row r="141" spans="3:3" ht="15" customHeight="1" x14ac:dyDescent="0.2">
      <c r="C141" s="5"/>
    </row>
    <row r="142" spans="3:3" ht="15" customHeight="1" x14ac:dyDescent="0.2">
      <c r="C142" s="5"/>
    </row>
    <row r="143" spans="3:3" ht="15" customHeight="1" x14ac:dyDescent="0.2">
      <c r="C143" s="5"/>
    </row>
    <row r="144" spans="3:3" ht="15" customHeight="1" x14ac:dyDescent="0.2">
      <c r="C144" s="5"/>
    </row>
    <row r="145" spans="3:3" ht="15" customHeight="1" x14ac:dyDescent="0.2">
      <c r="C145" s="5"/>
    </row>
    <row r="146" spans="3:3" ht="15" customHeight="1" x14ac:dyDescent="0.2">
      <c r="C146" s="5"/>
    </row>
    <row r="147" spans="3:3" ht="15" customHeight="1" x14ac:dyDescent="0.2">
      <c r="C147" s="5"/>
    </row>
    <row r="148" spans="3:3" ht="15" customHeight="1" x14ac:dyDescent="0.2">
      <c r="C148" s="5"/>
    </row>
  </sheetData>
  <mergeCells count="3">
    <mergeCell ref="B1:C1"/>
    <mergeCell ref="C5:D5"/>
    <mergeCell ref="B2:F2"/>
  </mergeCells>
  <phoneticPr fontId="0" type="noConversion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65" orientation="portrait" r:id="rId1"/>
  <headerFooter alignWithMargins="0">
    <oddHeader>&amp;R&amp;"Times New Roman CE,Félkövér"&amp;16 &amp;"Arial,Félkövér"&amp;14 16. melléklet a ..../2019. (........) önkormányzati rendelethez</oddHeader>
    <oddFooter xml:space="preserve">&amp;C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92"/>
  <sheetViews>
    <sheetView zoomScaleNormal="100" workbookViewId="0">
      <selection activeCell="C20" sqref="C20"/>
    </sheetView>
  </sheetViews>
  <sheetFormatPr defaultColWidth="10.6640625" defaultRowHeight="15" x14ac:dyDescent="0.2"/>
  <cols>
    <col min="1" max="1" width="13.33203125" style="41" customWidth="1"/>
    <col min="2" max="2" width="6" style="41" customWidth="1"/>
    <col min="3" max="3" width="126.83203125" style="41" customWidth="1"/>
    <col min="4" max="6" width="22.83203125" style="41" customWidth="1"/>
    <col min="7" max="7" width="19.83203125" style="41" customWidth="1"/>
    <col min="8" max="8" width="10.6640625" style="41"/>
    <col min="9" max="9" width="13.33203125" style="41" bestFit="1" customWidth="1"/>
    <col min="10" max="10" width="13" style="41" customWidth="1"/>
    <col min="11" max="16384" width="10.6640625" style="41"/>
  </cols>
  <sheetData>
    <row r="1" spans="1:10" ht="22.5" customHeight="1" x14ac:dyDescent="0.3">
      <c r="B1" s="2704" t="s">
        <v>445</v>
      </c>
      <c r="C1" s="2704"/>
      <c r="D1" s="2704"/>
      <c r="E1" s="2705"/>
      <c r="F1" s="2705"/>
      <c r="G1" s="2705"/>
    </row>
    <row r="2" spans="1:10" ht="16.5" thickBot="1" x14ac:dyDescent="0.3">
      <c r="C2" s="175"/>
      <c r="D2" s="176"/>
      <c r="G2" s="176" t="s">
        <v>34</v>
      </c>
    </row>
    <row r="3" spans="1:10" ht="22.5" customHeight="1" x14ac:dyDescent="0.25">
      <c r="B3" s="177"/>
      <c r="C3" s="178" t="s">
        <v>51</v>
      </c>
      <c r="D3" s="2708" t="s">
        <v>622</v>
      </c>
      <c r="E3" s="2709"/>
      <c r="F3" s="69" t="s">
        <v>602</v>
      </c>
      <c r="G3" s="217" t="s">
        <v>166</v>
      </c>
    </row>
    <row r="4" spans="1:10" ht="22.5" customHeight="1" thickBot="1" x14ac:dyDescent="0.3">
      <c r="B4" s="179"/>
      <c r="C4" s="180"/>
      <c r="D4" s="239" t="s">
        <v>325</v>
      </c>
      <c r="E4" s="239" t="s">
        <v>164</v>
      </c>
      <c r="F4" s="240" t="s">
        <v>165</v>
      </c>
      <c r="G4" s="103" t="s">
        <v>167</v>
      </c>
    </row>
    <row r="5" spans="1:10" ht="21.75" customHeight="1" x14ac:dyDescent="0.25">
      <c r="B5" s="181" t="s">
        <v>491</v>
      </c>
      <c r="C5" s="182"/>
      <c r="D5" s="183"/>
      <c r="E5" s="183"/>
      <c r="F5" s="183"/>
      <c r="G5" s="183"/>
    </row>
    <row r="6" spans="1:10" s="67" customFormat="1" ht="21" customHeight="1" x14ac:dyDescent="0.2">
      <c r="B6" s="125"/>
      <c r="C6" s="968" t="s">
        <v>271</v>
      </c>
      <c r="D6" s="188"/>
      <c r="E6" s="188">
        <v>3500</v>
      </c>
      <c r="F6" s="188">
        <v>3500</v>
      </c>
      <c r="G6" s="391">
        <f t="shared" ref="G6:G37" si="0">+F6/E6*100</f>
        <v>100</v>
      </c>
    </row>
    <row r="7" spans="1:10" s="67" customFormat="1" ht="21" customHeight="1" x14ac:dyDescent="0.2">
      <c r="B7" s="125"/>
      <c r="C7" s="337" t="s">
        <v>657</v>
      </c>
      <c r="D7" s="188"/>
      <c r="E7" s="188">
        <v>40000</v>
      </c>
      <c r="F7" s="188">
        <v>40000</v>
      </c>
      <c r="G7" s="391">
        <f t="shared" si="0"/>
        <v>100</v>
      </c>
    </row>
    <row r="8" spans="1:10" s="67" customFormat="1" ht="21" customHeight="1" x14ac:dyDescent="0.2">
      <c r="B8" s="125"/>
      <c r="C8" s="796" t="s">
        <v>350</v>
      </c>
      <c r="D8" s="797"/>
      <c r="E8" s="797">
        <v>13000</v>
      </c>
      <c r="F8" s="797">
        <v>13000</v>
      </c>
      <c r="G8" s="798">
        <f t="shared" si="0"/>
        <v>100</v>
      </c>
    </row>
    <row r="9" spans="1:10" s="319" customFormat="1" ht="21.95" customHeight="1" x14ac:dyDescent="0.2">
      <c r="B9" s="320"/>
      <c r="C9" s="799" t="s">
        <v>187</v>
      </c>
      <c r="D9" s="800"/>
      <c r="E9" s="800">
        <f>SUM(E6:E8)</f>
        <v>56500</v>
      </c>
      <c r="F9" s="800">
        <f>SUM(F6:F8)</f>
        <v>56500</v>
      </c>
      <c r="G9" s="801">
        <f t="shared" ref="G9" si="1">+F9/E9*100</f>
        <v>100</v>
      </c>
    </row>
    <row r="10" spans="1:10" s="319" customFormat="1" ht="21.95" customHeight="1" x14ac:dyDescent="0.2">
      <c r="B10" s="320"/>
      <c r="C10" s="1995"/>
      <c r="D10" s="1996"/>
      <c r="E10" s="1996"/>
      <c r="F10" s="1996"/>
      <c r="G10" s="1997"/>
    </row>
    <row r="11" spans="1:10" s="67" customFormat="1" ht="31.5" x14ac:dyDescent="0.25">
      <c r="B11" s="125"/>
      <c r="C11" s="2002" t="s">
        <v>218</v>
      </c>
      <c r="D11" s="803">
        <f>SUM(D10)</f>
        <v>0</v>
      </c>
      <c r="E11" s="803">
        <f t="shared" ref="E11:F11" si="2">SUM(E10)</f>
        <v>0</v>
      </c>
      <c r="F11" s="803">
        <f t="shared" si="2"/>
        <v>0</v>
      </c>
      <c r="G11" s="801"/>
    </row>
    <row r="12" spans="1:10" s="321" customFormat="1" ht="21.75" customHeight="1" x14ac:dyDescent="0.2">
      <c r="A12" s="41"/>
      <c r="B12" s="322"/>
      <c r="C12" s="1998" t="s">
        <v>426</v>
      </c>
      <c r="D12" s="1999"/>
      <c r="E12" s="2000">
        <v>2000</v>
      </c>
      <c r="F12" s="2000"/>
      <c r="G12" s="2001">
        <f t="shared" si="0"/>
        <v>0</v>
      </c>
    </row>
    <row r="13" spans="1:10" ht="21.75" customHeight="1" x14ac:dyDescent="0.2">
      <c r="B13" s="101"/>
      <c r="C13" s="134" t="s">
        <v>1280</v>
      </c>
      <c r="D13" s="190"/>
      <c r="E13" s="190">
        <v>376042</v>
      </c>
      <c r="F13" s="190"/>
      <c r="G13" s="313">
        <f t="shared" si="0"/>
        <v>0</v>
      </c>
      <c r="I13" s="189"/>
      <c r="J13" s="189"/>
    </row>
    <row r="14" spans="1:10" ht="21.75" customHeight="1" x14ac:dyDescent="0.2">
      <c r="B14" s="101"/>
      <c r="C14" s="474" t="s">
        <v>460</v>
      </c>
      <c r="D14" s="190"/>
      <c r="E14" s="190">
        <v>7242</v>
      </c>
      <c r="F14" s="190"/>
      <c r="G14" s="313">
        <f t="shared" si="0"/>
        <v>0</v>
      </c>
    </row>
    <row r="15" spans="1:10" ht="21.75" customHeight="1" x14ac:dyDescent="0.2">
      <c r="B15" s="101"/>
      <c r="C15" s="134" t="s">
        <v>472</v>
      </c>
      <c r="D15" s="190"/>
      <c r="E15" s="190">
        <v>6871</v>
      </c>
      <c r="F15" s="190"/>
      <c r="G15" s="313">
        <f t="shared" si="0"/>
        <v>0</v>
      </c>
    </row>
    <row r="16" spans="1:10" ht="21.75" customHeight="1" x14ac:dyDescent="0.2">
      <c r="B16" s="101"/>
      <c r="C16" s="478" t="s">
        <v>473</v>
      </c>
      <c r="D16" s="190"/>
      <c r="E16" s="190">
        <v>12295</v>
      </c>
      <c r="F16" s="190"/>
      <c r="G16" s="313">
        <f t="shared" si="0"/>
        <v>0</v>
      </c>
    </row>
    <row r="17" spans="2:7" ht="21.75" customHeight="1" x14ac:dyDescent="0.2">
      <c r="B17" s="101"/>
      <c r="C17" s="474" t="s">
        <v>462</v>
      </c>
      <c r="D17" s="190"/>
      <c r="E17" s="190">
        <v>532875</v>
      </c>
      <c r="F17" s="190">
        <v>37710</v>
      </c>
      <c r="G17" s="313">
        <f t="shared" si="0"/>
        <v>7.0767065446868411</v>
      </c>
    </row>
    <row r="18" spans="2:7" ht="21.75" customHeight="1" x14ac:dyDescent="0.2">
      <c r="B18" s="101"/>
      <c r="C18" s="474" t="s">
        <v>1281</v>
      </c>
      <c r="D18" s="190"/>
      <c r="E18" s="190">
        <v>480375</v>
      </c>
      <c r="F18" s="190">
        <v>48893</v>
      </c>
      <c r="G18" s="313">
        <f t="shared" si="0"/>
        <v>10.178090033827738</v>
      </c>
    </row>
    <row r="19" spans="2:7" ht="21.75" customHeight="1" x14ac:dyDescent="0.2">
      <c r="B19" s="101"/>
      <c r="C19" s="474" t="s">
        <v>465</v>
      </c>
      <c r="D19" s="190"/>
      <c r="E19" s="190">
        <v>606375</v>
      </c>
      <c r="F19" s="190">
        <v>56611</v>
      </c>
      <c r="G19" s="313">
        <f t="shared" si="0"/>
        <v>9.3359719645433934</v>
      </c>
    </row>
    <row r="20" spans="2:7" ht="21.75" customHeight="1" x14ac:dyDescent="0.2">
      <c r="B20" s="101"/>
      <c r="C20" s="474" t="s">
        <v>474</v>
      </c>
      <c r="D20" s="190"/>
      <c r="E20" s="190">
        <v>333308</v>
      </c>
      <c r="F20" s="190"/>
      <c r="G20" s="313">
        <f t="shared" si="0"/>
        <v>0</v>
      </c>
    </row>
    <row r="21" spans="2:7" ht="21.75" customHeight="1" x14ac:dyDescent="0.2">
      <c r="B21" s="101"/>
      <c r="C21" s="474" t="s">
        <v>1282</v>
      </c>
      <c r="D21" s="190"/>
      <c r="E21" s="190">
        <v>179738</v>
      </c>
      <c r="F21" s="190"/>
      <c r="G21" s="313">
        <f t="shared" si="0"/>
        <v>0</v>
      </c>
    </row>
    <row r="22" spans="2:7" ht="21.75" customHeight="1" x14ac:dyDescent="0.2">
      <c r="B22" s="101"/>
      <c r="C22" s="134" t="s">
        <v>484</v>
      </c>
      <c r="D22" s="190"/>
      <c r="E22" s="190">
        <v>840525</v>
      </c>
      <c r="F22" s="190">
        <v>80046</v>
      </c>
      <c r="G22" s="313">
        <f t="shared" si="0"/>
        <v>9.5233336307664853</v>
      </c>
    </row>
    <row r="23" spans="2:7" ht="21.75" customHeight="1" x14ac:dyDescent="0.2">
      <c r="B23" s="101"/>
      <c r="C23" s="474" t="s">
        <v>1283</v>
      </c>
      <c r="D23" s="190"/>
      <c r="E23" s="190">
        <v>275379</v>
      </c>
      <c r="F23" s="190">
        <v>249987</v>
      </c>
      <c r="G23" s="313">
        <f t="shared" si="0"/>
        <v>90.779253319969939</v>
      </c>
    </row>
    <row r="24" spans="2:7" ht="21.75" customHeight="1" x14ac:dyDescent="0.2">
      <c r="B24" s="101"/>
      <c r="C24" s="474" t="s">
        <v>478</v>
      </c>
      <c r="D24" s="190"/>
      <c r="E24" s="190">
        <v>14478</v>
      </c>
      <c r="F24" s="190"/>
      <c r="G24" s="313">
        <f t="shared" si="0"/>
        <v>0</v>
      </c>
    </row>
    <row r="25" spans="2:7" ht="21.75" customHeight="1" x14ac:dyDescent="0.2">
      <c r="B25" s="101"/>
      <c r="C25" s="474" t="s">
        <v>466</v>
      </c>
      <c r="D25" s="190"/>
      <c r="E25" s="190">
        <v>13653</v>
      </c>
      <c r="F25" s="190"/>
      <c r="G25" s="313">
        <f t="shared" si="0"/>
        <v>0</v>
      </c>
    </row>
    <row r="26" spans="2:7" ht="21.75" customHeight="1" x14ac:dyDescent="0.2">
      <c r="B26" s="101"/>
      <c r="C26" s="474" t="s">
        <v>476</v>
      </c>
      <c r="D26" s="190"/>
      <c r="E26" s="190">
        <v>8319</v>
      </c>
      <c r="F26" s="190"/>
      <c r="G26" s="313">
        <f t="shared" si="0"/>
        <v>0</v>
      </c>
    </row>
    <row r="27" spans="2:7" ht="21.75" customHeight="1" x14ac:dyDescent="0.2">
      <c r="B27" s="101"/>
      <c r="C27" s="474" t="s">
        <v>477</v>
      </c>
      <c r="D27" s="190"/>
      <c r="E27" s="190">
        <v>13462</v>
      </c>
      <c r="F27" s="190"/>
      <c r="G27" s="313">
        <f t="shared" si="0"/>
        <v>0</v>
      </c>
    </row>
    <row r="28" spans="2:7" ht="21.75" customHeight="1" x14ac:dyDescent="0.2">
      <c r="B28" s="101"/>
      <c r="C28" s="474" t="s">
        <v>479</v>
      </c>
      <c r="D28" s="190"/>
      <c r="E28" s="190">
        <v>1791</v>
      </c>
      <c r="F28" s="190"/>
      <c r="G28" s="802">
        <f t="shared" si="0"/>
        <v>0</v>
      </c>
    </row>
    <row r="29" spans="2:7" ht="21.75" customHeight="1" x14ac:dyDescent="0.2">
      <c r="B29" s="101"/>
      <c r="C29" s="828" t="s">
        <v>480</v>
      </c>
      <c r="D29" s="190"/>
      <c r="E29" s="190">
        <v>20269</v>
      </c>
      <c r="F29" s="190"/>
      <c r="G29" s="802">
        <f t="shared" si="0"/>
        <v>0</v>
      </c>
    </row>
    <row r="30" spans="2:7" ht="21.75" customHeight="1" x14ac:dyDescent="0.2">
      <c r="B30" s="101"/>
      <c r="C30" s="474" t="s">
        <v>604</v>
      </c>
      <c r="D30" s="190"/>
      <c r="E30" s="190">
        <v>500000</v>
      </c>
      <c r="F30" s="190">
        <v>500000</v>
      </c>
      <c r="G30" s="802">
        <f t="shared" si="0"/>
        <v>100</v>
      </c>
    </row>
    <row r="31" spans="2:7" ht="21.75" customHeight="1" x14ac:dyDescent="0.2">
      <c r="B31" s="101"/>
      <c r="C31" s="474" t="s">
        <v>620</v>
      </c>
      <c r="D31" s="190"/>
      <c r="E31" s="190">
        <v>1420000</v>
      </c>
      <c r="F31" s="190">
        <v>1420000</v>
      </c>
      <c r="G31" s="802">
        <f t="shared" si="0"/>
        <v>100</v>
      </c>
    </row>
    <row r="32" spans="2:7" ht="21.75" customHeight="1" x14ac:dyDescent="0.2">
      <c r="B32" s="101"/>
      <c r="C32" s="474" t="s">
        <v>600</v>
      </c>
      <c r="D32" s="190"/>
      <c r="E32" s="190">
        <v>280000</v>
      </c>
      <c r="F32" s="190">
        <v>280000</v>
      </c>
      <c r="G32" s="802">
        <f t="shared" si="0"/>
        <v>100</v>
      </c>
    </row>
    <row r="33" spans="1:7" ht="34.5" customHeight="1" x14ac:dyDescent="0.2">
      <c r="B33" s="101"/>
      <c r="C33" s="830" t="s">
        <v>565</v>
      </c>
      <c r="D33" s="190"/>
      <c r="E33" s="190">
        <v>1380067</v>
      </c>
      <c r="F33" s="190">
        <v>1380067</v>
      </c>
      <c r="G33" s="802">
        <f t="shared" si="0"/>
        <v>100</v>
      </c>
    </row>
    <row r="34" spans="1:7" ht="21" customHeight="1" x14ac:dyDescent="0.2">
      <c r="B34" s="101"/>
      <c r="C34" s="474" t="s">
        <v>610</v>
      </c>
      <c r="D34" s="190"/>
      <c r="E34" s="190">
        <v>233285</v>
      </c>
      <c r="F34" s="190">
        <v>48500</v>
      </c>
      <c r="G34" s="802">
        <f t="shared" si="0"/>
        <v>20.79002079002079</v>
      </c>
    </row>
    <row r="35" spans="1:7" ht="33.75" customHeight="1" x14ac:dyDescent="0.2">
      <c r="B35" s="101"/>
      <c r="C35" s="2585" t="s">
        <v>614</v>
      </c>
      <c r="D35" s="190"/>
      <c r="E35" s="190">
        <v>184816</v>
      </c>
      <c r="F35" s="190">
        <v>184816</v>
      </c>
      <c r="G35" s="802">
        <f t="shared" si="0"/>
        <v>100</v>
      </c>
    </row>
    <row r="36" spans="1:7" ht="21" customHeight="1" x14ac:dyDescent="0.2">
      <c r="B36" s="970"/>
      <c r="C36" s="969" t="s">
        <v>663</v>
      </c>
      <c r="D36" s="837"/>
      <c r="E36" s="837">
        <v>311023</v>
      </c>
      <c r="F36" s="837">
        <v>50000</v>
      </c>
      <c r="G36" s="831">
        <f t="shared" si="0"/>
        <v>16.075981519051645</v>
      </c>
    </row>
    <row r="37" spans="1:7" ht="21.75" customHeight="1" thickBot="1" x14ac:dyDescent="0.3">
      <c r="B37" s="101"/>
      <c r="C37" s="338" t="s">
        <v>188</v>
      </c>
      <c r="D37" s="191">
        <f>SUM(D12:D36)</f>
        <v>0</v>
      </c>
      <c r="E37" s="191">
        <f>SUM(E12:E36)</f>
        <v>8034188</v>
      </c>
      <c r="F37" s="191">
        <f>SUM(F12:F36)</f>
        <v>4336630</v>
      </c>
      <c r="G37" s="967">
        <f t="shared" si="0"/>
        <v>53.977203421179588</v>
      </c>
    </row>
    <row r="38" spans="1:7" ht="22.5" customHeight="1" thickBot="1" x14ac:dyDescent="0.3">
      <c r="B38" s="2005" t="s">
        <v>454</v>
      </c>
      <c r="C38" s="2006"/>
      <c r="D38" s="2004">
        <f>+D37+D11+D9</f>
        <v>0</v>
      </c>
      <c r="E38" s="2004">
        <f>+E37+E11+E9</f>
        <v>8090688</v>
      </c>
      <c r="F38" s="2004">
        <f>+F37+F11+F9</f>
        <v>4393130</v>
      </c>
      <c r="G38" s="2007">
        <f>+F38/E38*100</f>
        <v>54.298596114446632</v>
      </c>
    </row>
    <row r="39" spans="1:7" ht="22.5" customHeight="1" x14ac:dyDescent="0.25">
      <c r="B39" s="181" t="s">
        <v>446</v>
      </c>
      <c r="C39" s="182"/>
      <c r="D39" s="183"/>
      <c r="E39" s="183"/>
      <c r="F39" s="183"/>
      <c r="G39" s="183"/>
    </row>
    <row r="40" spans="1:7" ht="21" customHeight="1" x14ac:dyDescent="0.2">
      <c r="A40" s="367"/>
      <c r="B40" s="101"/>
      <c r="C40" s="109" t="s">
        <v>379</v>
      </c>
      <c r="D40" s="128">
        <v>200000</v>
      </c>
      <c r="E40" s="128">
        <v>316750</v>
      </c>
      <c r="F40" s="128">
        <f>316750-5</f>
        <v>316745</v>
      </c>
      <c r="G40" s="241">
        <f t="shared" ref="G40:G43" si="3">+F40/E40*100</f>
        <v>99.998421468034721</v>
      </c>
    </row>
    <row r="41" spans="1:7" ht="21" customHeight="1" x14ac:dyDescent="0.2">
      <c r="B41" s="101"/>
      <c r="C41" s="134" t="s">
        <v>66</v>
      </c>
      <c r="D41" s="128"/>
      <c r="E41" s="128">
        <v>19100</v>
      </c>
      <c r="F41" s="128">
        <f>19100</f>
        <v>19100</v>
      </c>
      <c r="G41" s="241">
        <f t="shared" si="3"/>
        <v>100</v>
      </c>
    </row>
    <row r="42" spans="1:7" ht="21" customHeight="1" thickBot="1" x14ac:dyDescent="0.25">
      <c r="B42" s="101"/>
      <c r="C42" s="134" t="s">
        <v>667</v>
      </c>
      <c r="D42" s="128"/>
      <c r="E42" s="128">
        <v>25000</v>
      </c>
      <c r="F42" s="128">
        <v>25000</v>
      </c>
      <c r="G42" s="241">
        <f t="shared" si="3"/>
        <v>100</v>
      </c>
    </row>
    <row r="43" spans="1:7" ht="21.95" customHeight="1" thickBot="1" x14ac:dyDescent="0.3">
      <c r="B43" s="185" t="s">
        <v>447</v>
      </c>
      <c r="C43" s="186"/>
      <c r="D43" s="187">
        <f>SUM(D40:D42)</f>
        <v>200000</v>
      </c>
      <c r="E43" s="187">
        <f>SUM(E40:E42)</f>
        <v>360850</v>
      </c>
      <c r="F43" s="187">
        <f>SUM(F40:F42)</f>
        <v>360845</v>
      </c>
      <c r="G43" s="242">
        <f t="shared" si="3"/>
        <v>99.998614382707501</v>
      </c>
    </row>
    <row r="44" spans="1:7" ht="21.95" customHeight="1" x14ac:dyDescent="0.25">
      <c r="B44" s="192" t="s">
        <v>455</v>
      </c>
      <c r="C44" s="193"/>
      <c r="D44" s="194"/>
      <c r="E44" s="194"/>
      <c r="F44" s="194"/>
      <c r="G44" s="194"/>
    </row>
    <row r="45" spans="1:7" ht="33.75" customHeight="1" x14ac:dyDescent="0.25">
      <c r="B45" s="192"/>
      <c r="C45" s="1994" t="s">
        <v>139</v>
      </c>
      <c r="D45" s="376"/>
      <c r="E45" s="376"/>
      <c r="F45" s="376"/>
      <c r="G45" s="376"/>
    </row>
    <row r="46" spans="1:7" ht="21.95" customHeight="1" x14ac:dyDescent="0.2">
      <c r="B46" s="101"/>
      <c r="C46" s="195" t="s">
        <v>372</v>
      </c>
      <c r="D46" s="184">
        <v>10000</v>
      </c>
      <c r="E46" s="184">
        <v>15177</v>
      </c>
      <c r="F46" s="184">
        <v>15177</v>
      </c>
      <c r="G46" s="241">
        <f>+F46/E46*100</f>
        <v>100</v>
      </c>
    </row>
    <row r="47" spans="1:7" ht="21.95" customHeight="1" x14ac:dyDescent="0.2">
      <c r="B47" s="101"/>
      <c r="C47" s="174" t="s">
        <v>65</v>
      </c>
      <c r="D47" s="128">
        <v>12000</v>
      </c>
      <c r="E47" s="128">
        <v>10823</v>
      </c>
      <c r="F47" s="128">
        <v>10823</v>
      </c>
      <c r="G47" s="241">
        <f>+F47/E47*100</f>
        <v>100</v>
      </c>
    </row>
    <row r="48" spans="1:7" ht="21.95" customHeight="1" x14ac:dyDescent="0.25">
      <c r="B48" s="101"/>
      <c r="C48" s="419" t="s">
        <v>189</v>
      </c>
      <c r="D48" s="128"/>
      <c r="E48" s="128"/>
      <c r="F48" s="128"/>
      <c r="G48" s="241"/>
    </row>
    <row r="49" spans="2:7" ht="21.95" customHeight="1" thickBot="1" x14ac:dyDescent="0.25">
      <c r="B49" s="101"/>
      <c r="C49" s="1011" t="s">
        <v>1284</v>
      </c>
      <c r="D49" s="1012"/>
      <c r="E49" s="1012">
        <v>30800</v>
      </c>
      <c r="F49" s="1012">
        <v>30800</v>
      </c>
      <c r="G49" s="2003">
        <f t="shared" ref="G49" si="4">+F49/E49*100</f>
        <v>100</v>
      </c>
    </row>
    <row r="50" spans="2:7" ht="21.95" customHeight="1" thickBot="1" x14ac:dyDescent="0.3">
      <c r="B50" s="2706" t="s">
        <v>0</v>
      </c>
      <c r="C50" s="2707"/>
      <c r="D50" s="2004">
        <f t="shared" ref="D50" si="5">SUM(D44:D49)</f>
        <v>22000</v>
      </c>
      <c r="E50" s="2004">
        <f>SUM(E44:E49)</f>
        <v>56800</v>
      </c>
      <c r="F50" s="2004">
        <f>SUM(F44:F49)</f>
        <v>56800</v>
      </c>
      <c r="G50" s="242">
        <f>+F50/E50*100</f>
        <v>100</v>
      </c>
    </row>
    <row r="51" spans="2:7" ht="21.95" customHeight="1" x14ac:dyDescent="0.25">
      <c r="B51" s="167" t="s">
        <v>436</v>
      </c>
      <c r="C51" s="315"/>
      <c r="D51" s="194"/>
      <c r="E51" s="194"/>
      <c r="F51" s="194"/>
      <c r="G51" s="194"/>
    </row>
    <row r="52" spans="2:7" ht="21.95" customHeight="1" x14ac:dyDescent="0.25">
      <c r="B52" s="192"/>
      <c r="C52" s="97" t="s">
        <v>132</v>
      </c>
      <c r="D52" s="316"/>
      <c r="E52" s="316"/>
      <c r="F52" s="316"/>
      <c r="G52" s="317"/>
    </row>
    <row r="53" spans="2:7" ht="21.95" customHeight="1" x14ac:dyDescent="0.25">
      <c r="B53" s="192"/>
      <c r="C53" s="477" t="s">
        <v>494</v>
      </c>
      <c r="D53" s="128"/>
      <c r="E53" s="128">
        <v>34</v>
      </c>
      <c r="F53" s="128">
        <v>34</v>
      </c>
      <c r="G53" s="241">
        <f t="shared" ref="G53:G57" si="6">+F53/E53*100</f>
        <v>100</v>
      </c>
    </row>
    <row r="54" spans="2:7" ht="21.95" customHeight="1" x14ac:dyDescent="0.25">
      <c r="B54" s="192"/>
      <c r="C54" s="303" t="s">
        <v>437</v>
      </c>
      <c r="D54" s="128"/>
      <c r="E54" s="128">
        <v>3847</v>
      </c>
      <c r="F54" s="128">
        <v>3847</v>
      </c>
      <c r="G54" s="241">
        <f t="shared" si="6"/>
        <v>100</v>
      </c>
    </row>
    <row r="55" spans="2:7" ht="21.95" customHeight="1" x14ac:dyDescent="0.25">
      <c r="B55" s="192"/>
      <c r="C55" s="303" t="s">
        <v>373</v>
      </c>
      <c r="D55" s="190"/>
      <c r="E55" s="190"/>
      <c r="F55" s="190"/>
      <c r="G55" s="241"/>
    </row>
    <row r="56" spans="2:7" ht="21.95" customHeight="1" x14ac:dyDescent="0.25">
      <c r="B56" s="192"/>
      <c r="C56" s="303" t="s">
        <v>374</v>
      </c>
      <c r="D56" s="194"/>
      <c r="E56" s="323"/>
      <c r="F56" s="323">
        <v>512</v>
      </c>
      <c r="G56" s="241"/>
    </row>
    <row r="57" spans="2:7" ht="21.95" customHeight="1" x14ac:dyDescent="0.25">
      <c r="B57" s="192"/>
      <c r="C57" s="303" t="s">
        <v>438</v>
      </c>
      <c r="D57" s="184"/>
      <c r="E57" s="184">
        <v>12800</v>
      </c>
      <c r="F57" s="184">
        <v>13745</v>
      </c>
      <c r="G57" s="241">
        <f t="shared" si="6"/>
        <v>107.38281249999999</v>
      </c>
    </row>
    <row r="58" spans="2:7" ht="21.95" customHeight="1" x14ac:dyDescent="0.25">
      <c r="B58" s="192"/>
      <c r="C58" s="303" t="s">
        <v>439</v>
      </c>
      <c r="D58" s="194"/>
      <c r="E58" s="323"/>
      <c r="F58" s="194"/>
      <c r="G58" s="241"/>
    </row>
    <row r="59" spans="2:7" ht="21.95" customHeight="1" x14ac:dyDescent="0.25">
      <c r="B59" s="192"/>
      <c r="C59" s="172" t="s">
        <v>78</v>
      </c>
      <c r="D59" s="184"/>
      <c r="E59" s="184"/>
      <c r="F59" s="184"/>
      <c r="G59" s="241"/>
    </row>
    <row r="60" spans="2:7" ht="21.95" customHeight="1" x14ac:dyDescent="0.25">
      <c r="B60" s="192"/>
      <c r="C60" s="172" t="s">
        <v>368</v>
      </c>
      <c r="D60" s="128">
        <v>1990</v>
      </c>
      <c r="E60" s="128">
        <v>14452</v>
      </c>
      <c r="F60" s="128">
        <v>14452</v>
      </c>
      <c r="G60" s="241">
        <f>+F60/E60*100</f>
        <v>100</v>
      </c>
    </row>
    <row r="61" spans="2:7" ht="21.95" customHeight="1" x14ac:dyDescent="0.25">
      <c r="B61" s="192"/>
      <c r="C61" s="303" t="s">
        <v>110</v>
      </c>
      <c r="D61" s="194"/>
      <c r="E61" s="323">
        <v>908</v>
      </c>
      <c r="F61" s="323">
        <v>909</v>
      </c>
      <c r="G61" s="241">
        <f t="shared" ref="G61:G64" si="7">+F61/E61*100</f>
        <v>100.1101321585903</v>
      </c>
    </row>
    <row r="62" spans="2:7" ht="21.95" customHeight="1" x14ac:dyDescent="0.25">
      <c r="B62" s="192"/>
      <c r="C62" s="172" t="s">
        <v>111</v>
      </c>
      <c r="D62" s="184"/>
      <c r="E62" s="184"/>
      <c r="F62" s="184"/>
      <c r="G62" s="241"/>
    </row>
    <row r="63" spans="2:7" ht="21.95" customHeight="1" x14ac:dyDescent="0.25">
      <c r="B63" s="192"/>
      <c r="C63" s="171" t="s">
        <v>99</v>
      </c>
      <c r="D63" s="339"/>
      <c r="E63" s="339"/>
      <c r="F63" s="339"/>
      <c r="G63" s="241"/>
    </row>
    <row r="64" spans="2:7" ht="21.95" customHeight="1" x14ac:dyDescent="0.25">
      <c r="B64" s="192"/>
      <c r="C64" s="97" t="s">
        <v>75</v>
      </c>
      <c r="D64" s="191"/>
      <c r="E64" s="191">
        <v>609</v>
      </c>
      <c r="F64" s="191">
        <v>609</v>
      </c>
      <c r="G64" s="241">
        <f t="shared" si="7"/>
        <v>100</v>
      </c>
    </row>
    <row r="65" spans="2:7" ht="21.95" customHeight="1" x14ac:dyDescent="0.25">
      <c r="B65" s="2712" t="s">
        <v>168</v>
      </c>
      <c r="C65" s="2713"/>
      <c r="D65" s="107">
        <f>SUM(D52:D64)</f>
        <v>1990</v>
      </c>
      <c r="E65" s="107">
        <f>SUM(E52:E64)</f>
        <v>32650</v>
      </c>
      <c r="F65" s="107">
        <f t="shared" ref="F65" si="8">SUM(F52:F64)</f>
        <v>34108</v>
      </c>
      <c r="G65" s="244">
        <f>+F65/E65*100</f>
        <v>104.46554364471669</v>
      </c>
    </row>
    <row r="66" spans="2:7" ht="21.95" customHeight="1" thickBot="1" x14ac:dyDescent="0.3">
      <c r="B66" s="2714" t="s">
        <v>1285</v>
      </c>
      <c r="C66" s="2715"/>
      <c r="D66" s="135">
        <f>+D65+D50+D43+D38</f>
        <v>223990</v>
      </c>
      <c r="E66" s="135">
        <f>+E65+E50+E43+E38</f>
        <v>8540988</v>
      </c>
      <c r="F66" s="135">
        <f>+F65+F50+F43+F38</f>
        <v>4844883</v>
      </c>
      <c r="G66" s="243">
        <f>+F66/E66*100</f>
        <v>56.725088479225114</v>
      </c>
    </row>
    <row r="69" spans="2:7" x14ac:dyDescent="0.2">
      <c r="F69" s="189"/>
    </row>
    <row r="70" spans="2:7" x14ac:dyDescent="0.2">
      <c r="F70" s="189"/>
    </row>
    <row r="73" spans="2:7" x14ac:dyDescent="0.2">
      <c r="F73" s="189"/>
    </row>
    <row r="74" spans="2:7" x14ac:dyDescent="0.2">
      <c r="F74" s="189"/>
    </row>
    <row r="75" spans="2:7" x14ac:dyDescent="0.2">
      <c r="F75" s="189"/>
    </row>
    <row r="76" spans="2:7" x14ac:dyDescent="0.2">
      <c r="F76" s="189"/>
    </row>
    <row r="77" spans="2:7" x14ac:dyDescent="0.2">
      <c r="F77" s="189"/>
    </row>
    <row r="78" spans="2:7" x14ac:dyDescent="0.2">
      <c r="F78" s="189"/>
    </row>
    <row r="84" spans="3:7" ht="15.75" x14ac:dyDescent="0.25">
      <c r="C84" s="2710"/>
      <c r="D84" s="2710"/>
      <c r="E84" s="2710"/>
      <c r="F84" s="130"/>
      <c r="G84" s="130"/>
    </row>
    <row r="85" spans="3:7" ht="15.75" x14ac:dyDescent="0.25">
      <c r="C85" s="130"/>
      <c r="D85" s="368"/>
      <c r="E85" s="369"/>
      <c r="F85" s="130"/>
      <c r="G85" s="130"/>
    </row>
    <row r="86" spans="3:7" ht="15.75" x14ac:dyDescent="0.25">
      <c r="C86" s="130"/>
      <c r="D86" s="193"/>
      <c r="E86" s="2711"/>
      <c r="F86" s="2711"/>
      <c r="G86" s="129"/>
    </row>
    <row r="87" spans="3:7" ht="15.75" x14ac:dyDescent="0.25">
      <c r="C87" s="130"/>
      <c r="D87" s="182"/>
      <c r="E87" s="49"/>
      <c r="F87" s="49"/>
      <c r="G87" s="129"/>
    </row>
    <row r="88" spans="3:7" ht="15.75" x14ac:dyDescent="0.25">
      <c r="C88" s="370"/>
      <c r="D88" s="182"/>
      <c r="E88" s="270"/>
      <c r="F88" s="270"/>
      <c r="G88" s="270"/>
    </row>
    <row r="89" spans="3:7" x14ac:dyDescent="0.2">
      <c r="C89" s="371"/>
      <c r="D89" s="338"/>
      <c r="E89" s="372"/>
      <c r="F89" s="372"/>
      <c r="G89" s="372"/>
    </row>
    <row r="90" spans="3:7" x14ac:dyDescent="0.2">
      <c r="C90" s="67"/>
      <c r="D90" s="337"/>
      <c r="E90" s="373"/>
      <c r="F90" s="373"/>
      <c r="G90" s="373"/>
    </row>
    <row r="91" spans="3:7" x14ac:dyDescent="0.2">
      <c r="C91" s="67"/>
      <c r="D91" s="337"/>
      <c r="E91" s="373"/>
      <c r="F91" s="373"/>
      <c r="G91" s="373"/>
    </row>
    <row r="92" spans="3:7" x14ac:dyDescent="0.2">
      <c r="C92" s="67"/>
      <c r="D92" s="337"/>
      <c r="E92" s="373"/>
      <c r="F92" s="373"/>
      <c r="G92" s="373"/>
    </row>
  </sheetData>
  <mergeCells count="7">
    <mergeCell ref="B1:G1"/>
    <mergeCell ref="B50:C50"/>
    <mergeCell ref="D3:E3"/>
    <mergeCell ref="C84:E84"/>
    <mergeCell ref="E86:F86"/>
    <mergeCell ref="B65:C65"/>
    <mergeCell ref="B66:C66"/>
  </mergeCells>
  <phoneticPr fontId="0" type="noConversion"/>
  <printOptions horizontalCentered="1" verticalCentered="1"/>
  <pageMargins left="0.39370078740157483" right="0.39370078740157483" top="0.78740157480314965" bottom="0.19685039370078741" header="0.51181102362204722" footer="0.39370078740157483"/>
  <pageSetup paperSize="9" scale="54" orientation="portrait" r:id="rId1"/>
  <headerFooter alignWithMargins="0">
    <oddHeader>&amp;R&amp;"Arial,Félkövér"&amp;14 17. melléklet a ..../2019. (........) önkormányzati rendelethez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090"/>
  <sheetViews>
    <sheetView zoomScale="75" zoomScaleNormal="75" workbookViewId="0">
      <selection activeCell="C153" sqref="C153"/>
    </sheetView>
  </sheetViews>
  <sheetFormatPr defaultColWidth="10.6640625" defaultRowHeight="15" customHeight="1" x14ac:dyDescent="0.25"/>
  <cols>
    <col min="1" max="1" width="17.5" style="810" customWidth="1"/>
    <col min="2" max="2" width="5.6640625" style="40" customWidth="1"/>
    <col min="3" max="3" width="132.6640625" style="40" customWidth="1"/>
    <col min="4" max="4" width="24.83203125" style="40" customWidth="1"/>
    <col min="5" max="5" width="24.83203125" style="83" customWidth="1"/>
    <col min="6" max="6" width="24" style="83" customWidth="1"/>
    <col min="7" max="7" width="27.5" style="40" customWidth="1"/>
    <col min="8" max="8" width="10.6640625" style="40"/>
    <col min="9" max="9" width="17.6640625" style="40" customWidth="1"/>
    <col min="10" max="10" width="13" style="40" bestFit="1" customWidth="1"/>
    <col min="11" max="16384" width="10.6640625" style="40"/>
  </cols>
  <sheetData>
    <row r="1" spans="1:10" ht="24" customHeight="1" x14ac:dyDescent="0.25">
      <c r="B1" s="2716"/>
      <c r="C1" s="2716"/>
      <c r="D1" s="2716"/>
      <c r="E1" s="2716"/>
      <c r="F1" s="2716"/>
      <c r="G1" s="2716"/>
    </row>
    <row r="2" spans="1:10" ht="24" customHeight="1" x14ac:dyDescent="0.3">
      <c r="A2" s="839"/>
      <c r="B2" s="2717" t="s">
        <v>391</v>
      </c>
      <c r="C2" s="2717"/>
      <c r="D2" s="2717"/>
      <c r="E2" s="2717"/>
      <c r="F2" s="2717"/>
      <c r="G2" s="2717"/>
    </row>
    <row r="3" spans="1:10" ht="24.75" customHeight="1" thickBot="1" x14ac:dyDescent="0.3">
      <c r="A3" s="839"/>
      <c r="B3" s="840" t="s">
        <v>95</v>
      </c>
      <c r="C3" s="842"/>
      <c r="D3" s="840"/>
      <c r="E3" s="841"/>
      <c r="F3" s="841"/>
      <c r="G3" s="843" t="s">
        <v>34</v>
      </c>
    </row>
    <row r="4" spans="1:10" ht="26.1" customHeight="1" x14ac:dyDescent="0.25">
      <c r="A4" s="839"/>
      <c r="B4" s="2718" t="s">
        <v>51</v>
      </c>
      <c r="C4" s="2719"/>
      <c r="D4" s="2720" t="s">
        <v>622</v>
      </c>
      <c r="E4" s="2721"/>
      <c r="F4" s="844" t="s">
        <v>602</v>
      </c>
      <c r="G4" s="845" t="s">
        <v>166</v>
      </c>
    </row>
    <row r="5" spans="1:10" ht="26.1" customHeight="1" thickBot="1" x14ac:dyDescent="0.3">
      <c r="A5" s="839"/>
      <c r="B5" s="846"/>
      <c r="C5" s="847"/>
      <c r="D5" s="848" t="s">
        <v>325</v>
      </c>
      <c r="E5" s="849" t="s">
        <v>164</v>
      </c>
      <c r="F5" s="850" t="s">
        <v>165</v>
      </c>
      <c r="G5" s="851" t="s">
        <v>167</v>
      </c>
    </row>
    <row r="6" spans="1:10" ht="26.1" customHeight="1" x14ac:dyDescent="0.25">
      <c r="A6" s="839"/>
      <c r="B6" s="852" t="s">
        <v>299</v>
      </c>
      <c r="C6" s="853" t="s">
        <v>144</v>
      </c>
      <c r="D6" s="854"/>
      <c r="E6" s="855"/>
      <c r="F6" s="855"/>
      <c r="G6" s="749"/>
    </row>
    <row r="7" spans="1:10" ht="45.75" customHeight="1" x14ac:dyDescent="0.25">
      <c r="A7" s="839"/>
      <c r="B7" s="856"/>
      <c r="C7" s="861" t="s">
        <v>568</v>
      </c>
      <c r="D7" s="755"/>
      <c r="E7" s="755">
        <v>15000</v>
      </c>
      <c r="F7" s="750">
        <v>15000</v>
      </c>
      <c r="G7" s="860">
        <f t="shared" ref="G7:G15" si="0">+F7/E7*100</f>
        <v>100</v>
      </c>
    </row>
    <row r="8" spans="1:10" ht="24.95" customHeight="1" x14ac:dyDescent="0.25">
      <c r="A8" s="839"/>
      <c r="B8" s="856"/>
      <c r="C8" s="859" t="s">
        <v>155</v>
      </c>
      <c r="D8" s="755">
        <v>50000</v>
      </c>
      <c r="E8" s="755">
        <v>50000</v>
      </c>
      <c r="F8" s="750"/>
      <c r="G8" s="860">
        <f t="shared" si="0"/>
        <v>0</v>
      </c>
      <c r="I8" s="83"/>
      <c r="J8" s="83"/>
    </row>
    <row r="9" spans="1:10" ht="24.95" customHeight="1" x14ac:dyDescent="0.25">
      <c r="A9" s="839"/>
      <c r="B9" s="856"/>
      <c r="C9" s="859" t="s">
        <v>542</v>
      </c>
      <c r="D9" s="755"/>
      <c r="E9" s="755">
        <v>79905</v>
      </c>
      <c r="F9" s="750"/>
      <c r="G9" s="860">
        <f t="shared" si="0"/>
        <v>0</v>
      </c>
    </row>
    <row r="10" spans="1:10" ht="24.95" customHeight="1" x14ac:dyDescent="0.25">
      <c r="A10" s="839"/>
      <c r="B10" s="856"/>
      <c r="C10" s="746" t="s">
        <v>636</v>
      </c>
      <c r="D10" s="756">
        <v>9600</v>
      </c>
      <c r="E10" s="756">
        <v>9600</v>
      </c>
      <c r="F10" s="748"/>
      <c r="G10" s="956">
        <f t="shared" si="0"/>
        <v>0</v>
      </c>
    </row>
    <row r="11" spans="1:10" ht="24.95" customHeight="1" x14ac:dyDescent="0.25">
      <c r="A11" s="839"/>
      <c r="B11" s="856"/>
      <c r="C11" s="399" t="s">
        <v>637</v>
      </c>
      <c r="D11" s="755">
        <v>50000</v>
      </c>
      <c r="E11" s="755">
        <v>50000</v>
      </c>
      <c r="F11" s="750"/>
      <c r="G11" s="860">
        <f t="shared" si="0"/>
        <v>0</v>
      </c>
    </row>
    <row r="12" spans="1:10" ht="24.95" customHeight="1" x14ac:dyDescent="0.25">
      <c r="A12" s="839"/>
      <c r="B12" s="856"/>
      <c r="C12" s="859" t="s">
        <v>709</v>
      </c>
      <c r="D12" s="755"/>
      <c r="E12" s="755">
        <v>5000</v>
      </c>
      <c r="F12" s="750"/>
      <c r="G12" s="860">
        <f t="shared" si="0"/>
        <v>0</v>
      </c>
    </row>
    <row r="13" spans="1:10" ht="24.95" customHeight="1" x14ac:dyDescent="0.25">
      <c r="A13" s="839"/>
      <c r="B13" s="856"/>
      <c r="C13" s="859" t="s">
        <v>714</v>
      </c>
      <c r="D13" s="755"/>
      <c r="E13" s="755">
        <v>18000</v>
      </c>
      <c r="F13" s="750"/>
      <c r="G13" s="860">
        <f t="shared" si="0"/>
        <v>0</v>
      </c>
    </row>
    <row r="14" spans="1:10" ht="24.95" customHeight="1" x14ac:dyDescent="0.25">
      <c r="A14" s="839"/>
      <c r="B14" s="856"/>
      <c r="C14" s="400" t="s">
        <v>676</v>
      </c>
      <c r="D14" s="756"/>
      <c r="E14" s="756">
        <v>5000</v>
      </c>
      <c r="F14" s="748">
        <v>5000</v>
      </c>
      <c r="G14" s="1038">
        <f t="shared" si="0"/>
        <v>100</v>
      </c>
    </row>
    <row r="15" spans="1:10" ht="26.1" customHeight="1" x14ac:dyDescent="0.25">
      <c r="A15" s="839"/>
      <c r="B15" s="862"/>
      <c r="C15" s="863" t="s">
        <v>306</v>
      </c>
      <c r="D15" s="864">
        <f>SUM(D7:D14)</f>
        <v>109600</v>
      </c>
      <c r="E15" s="864">
        <f>SUM(E7:E14)</f>
        <v>232505</v>
      </c>
      <c r="F15" s="864">
        <f>SUM(F7:F14)</f>
        <v>20000</v>
      </c>
      <c r="G15" s="865">
        <f t="shared" si="0"/>
        <v>8.601965549127975</v>
      </c>
    </row>
    <row r="16" spans="1:10" ht="26.1" customHeight="1" x14ac:dyDescent="0.25">
      <c r="A16" s="839"/>
      <c r="B16" s="866" t="s">
        <v>61</v>
      </c>
      <c r="C16" s="867" t="s">
        <v>60</v>
      </c>
      <c r="D16" s="868"/>
      <c r="E16" s="868"/>
      <c r="F16" s="868"/>
      <c r="G16" s="869"/>
    </row>
    <row r="17" spans="1:7" ht="26.1" customHeight="1" x14ac:dyDescent="0.25">
      <c r="A17" s="839"/>
      <c r="B17" s="805"/>
      <c r="C17" s="870" t="s">
        <v>541</v>
      </c>
      <c r="D17" s="748">
        <v>50000</v>
      </c>
      <c r="E17" s="748">
        <v>8223</v>
      </c>
      <c r="F17" s="748">
        <v>8032</v>
      </c>
      <c r="G17" s="751">
        <f>+F17/E17*100</f>
        <v>97.677246746929342</v>
      </c>
    </row>
    <row r="18" spans="1:7" ht="26.1" customHeight="1" x14ac:dyDescent="0.25">
      <c r="A18" s="839"/>
      <c r="B18" s="862"/>
      <c r="C18" s="863" t="s">
        <v>228</v>
      </c>
      <c r="D18" s="864">
        <f>SUM(D17:D17)</f>
        <v>50000</v>
      </c>
      <c r="E18" s="864">
        <f>SUM(E17:E17)</f>
        <v>8223</v>
      </c>
      <c r="F18" s="864">
        <f>SUM(F17:F17)</f>
        <v>8032</v>
      </c>
      <c r="G18" s="871"/>
    </row>
    <row r="19" spans="1:7" ht="26.1" customHeight="1" x14ac:dyDescent="0.25">
      <c r="A19" s="839"/>
      <c r="B19" s="866" t="s">
        <v>300</v>
      </c>
      <c r="C19" s="867" t="s">
        <v>298</v>
      </c>
      <c r="D19" s="854"/>
      <c r="E19" s="855"/>
      <c r="F19" s="855"/>
      <c r="G19" s="872"/>
    </row>
    <row r="20" spans="1:7" ht="26.1" customHeight="1" x14ac:dyDescent="0.25">
      <c r="A20" s="839"/>
      <c r="B20" s="856"/>
      <c r="C20" s="858" t="s">
        <v>229</v>
      </c>
      <c r="D20" s="875">
        <v>40000</v>
      </c>
      <c r="E20" s="875">
        <v>70828</v>
      </c>
      <c r="F20" s="750">
        <v>36529</v>
      </c>
      <c r="G20" s="751">
        <f>+F20/E20*100</f>
        <v>51.574236177782794</v>
      </c>
    </row>
    <row r="21" spans="1:7" ht="26.1" customHeight="1" x14ac:dyDescent="0.25">
      <c r="A21" s="839"/>
      <c r="B21" s="862"/>
      <c r="C21" s="863" t="s">
        <v>307</v>
      </c>
      <c r="D21" s="864">
        <f>SUM(D20:D20)</f>
        <v>40000</v>
      </c>
      <c r="E21" s="864">
        <f>SUM(E20:E20)</f>
        <v>70828</v>
      </c>
      <c r="F21" s="864">
        <f>SUM(F20:F20)</f>
        <v>36529</v>
      </c>
      <c r="G21" s="876">
        <f>+F21/E21*100</f>
        <v>51.574236177782794</v>
      </c>
    </row>
    <row r="22" spans="1:7" ht="26.1" customHeight="1" x14ac:dyDescent="0.25">
      <c r="A22" s="839"/>
      <c r="B22" s="862" t="s">
        <v>301</v>
      </c>
      <c r="C22" s="877" t="s">
        <v>19</v>
      </c>
      <c r="D22" s="878"/>
      <c r="E22" s="878"/>
      <c r="F22" s="878"/>
      <c r="G22" s="876"/>
    </row>
    <row r="23" spans="1:7" ht="26.1" customHeight="1" x14ac:dyDescent="0.25">
      <c r="A23" s="839"/>
      <c r="B23" s="805" t="s">
        <v>303</v>
      </c>
      <c r="C23" s="806" t="s">
        <v>302</v>
      </c>
      <c r="D23" s="854"/>
      <c r="E23" s="855"/>
      <c r="F23" s="855"/>
      <c r="G23" s="879"/>
    </row>
    <row r="24" spans="1:7" ht="24.95" customHeight="1" x14ac:dyDescent="0.25">
      <c r="A24" s="839"/>
      <c r="B24" s="856"/>
      <c r="C24" s="880" t="s">
        <v>212</v>
      </c>
      <c r="D24" s="873">
        <v>10000</v>
      </c>
      <c r="E24" s="873">
        <v>34804</v>
      </c>
      <c r="F24" s="750">
        <v>4635</v>
      </c>
      <c r="G24" s="751">
        <f>+F24/E24*100</f>
        <v>13.317434777611769</v>
      </c>
    </row>
    <row r="25" spans="1:7" ht="24.95" customHeight="1" x14ac:dyDescent="0.25">
      <c r="A25" s="839"/>
      <c r="B25" s="856"/>
      <c r="C25" s="880" t="s">
        <v>605</v>
      </c>
      <c r="D25" s="873"/>
      <c r="E25" s="873">
        <v>57</v>
      </c>
      <c r="F25" s="750"/>
      <c r="G25" s="751">
        <f>+F25/E25*100</f>
        <v>0</v>
      </c>
    </row>
    <row r="26" spans="1:7" s="41" customFormat="1" ht="24.95" customHeight="1" x14ac:dyDescent="0.25">
      <c r="A26" s="839"/>
      <c r="B26" s="881"/>
      <c r="C26" s="880" t="s">
        <v>442</v>
      </c>
      <c r="D26" s="755">
        <v>10000</v>
      </c>
      <c r="E26" s="755">
        <v>19500</v>
      </c>
      <c r="F26" s="750"/>
      <c r="G26" s="884">
        <f t="shared" ref="G26:G27" si="1">+F26/E26*100</f>
        <v>0</v>
      </c>
    </row>
    <row r="27" spans="1:7" ht="26.1" customHeight="1" x14ac:dyDescent="0.25">
      <c r="A27" s="839"/>
      <c r="B27" s="862"/>
      <c r="C27" s="877" t="s">
        <v>308</v>
      </c>
      <c r="D27" s="864">
        <f>SUM(D24:D26)</f>
        <v>20000</v>
      </c>
      <c r="E27" s="864">
        <f>SUM(E24:E26)</f>
        <v>54361</v>
      </c>
      <c r="F27" s="864">
        <f>SUM(F24:F26)</f>
        <v>4635</v>
      </c>
      <c r="G27" s="876">
        <f t="shared" si="1"/>
        <v>8.5263332168282417</v>
      </c>
    </row>
    <row r="28" spans="1:7" ht="26.1" customHeight="1" x14ac:dyDescent="0.25">
      <c r="A28" s="839"/>
      <c r="B28" s="805" t="s">
        <v>304</v>
      </c>
      <c r="C28" s="806" t="s">
        <v>309</v>
      </c>
      <c r="D28" s="854"/>
      <c r="E28" s="855"/>
      <c r="F28" s="748"/>
      <c r="G28" s="879"/>
    </row>
    <row r="29" spans="1:7" ht="26.1" customHeight="1" x14ac:dyDescent="0.3">
      <c r="A29" s="839"/>
      <c r="B29" s="882" t="s">
        <v>296</v>
      </c>
      <c r="C29" s="883"/>
      <c r="D29" s="854"/>
      <c r="E29" s="855"/>
      <c r="F29" s="748"/>
      <c r="G29" s="879"/>
    </row>
    <row r="30" spans="1:7" s="404" customFormat="1" ht="24.95" customHeight="1" x14ac:dyDescent="0.25">
      <c r="A30" s="839"/>
      <c r="B30" s="881"/>
      <c r="C30" s="858" t="s">
        <v>14</v>
      </c>
      <c r="D30" s="755"/>
      <c r="E30" s="755">
        <v>3920</v>
      </c>
      <c r="F30" s="750"/>
      <c r="G30" s="884">
        <f t="shared" ref="G30:G32" si="2">+F30/E30*100</f>
        <v>0</v>
      </c>
    </row>
    <row r="31" spans="1:7" s="404" customFormat="1" ht="24.95" customHeight="1" x14ac:dyDescent="0.25">
      <c r="A31" s="839"/>
      <c r="B31" s="881"/>
      <c r="C31" s="809" t="s">
        <v>251</v>
      </c>
      <c r="D31" s="756"/>
      <c r="E31" s="756">
        <v>68578</v>
      </c>
      <c r="F31" s="748"/>
      <c r="G31" s="885">
        <f t="shared" si="2"/>
        <v>0</v>
      </c>
    </row>
    <row r="32" spans="1:7" ht="24.95" customHeight="1" x14ac:dyDescent="0.25">
      <c r="A32" s="886"/>
      <c r="B32" s="856"/>
      <c r="C32" s="858" t="s">
        <v>488</v>
      </c>
      <c r="D32" s="755"/>
      <c r="E32" s="755">
        <v>572453</v>
      </c>
      <c r="F32" s="750">
        <v>566892</v>
      </c>
      <c r="G32" s="885">
        <f t="shared" si="2"/>
        <v>99.028566537340183</v>
      </c>
    </row>
    <row r="33" spans="1:7" ht="26.1" customHeight="1" x14ac:dyDescent="0.3">
      <c r="A33" s="839"/>
      <c r="B33" s="882" t="s">
        <v>295</v>
      </c>
      <c r="C33" s="883"/>
      <c r="D33" s="875"/>
      <c r="E33" s="875"/>
      <c r="F33" s="887"/>
      <c r="G33" s="751"/>
    </row>
    <row r="34" spans="1:7" ht="24.95" customHeight="1" x14ac:dyDescent="0.25">
      <c r="A34" s="839"/>
      <c r="B34" s="856"/>
      <c r="C34" s="888" t="s">
        <v>15</v>
      </c>
      <c r="D34" s="889">
        <v>400000</v>
      </c>
      <c r="E34" s="889">
        <v>823122</v>
      </c>
      <c r="F34" s="890">
        <v>408771</v>
      </c>
      <c r="G34" s="874">
        <f>+F34/E34*100</f>
        <v>49.661046600625426</v>
      </c>
    </row>
    <row r="35" spans="1:7" ht="24.95" customHeight="1" x14ac:dyDescent="0.25">
      <c r="A35" s="839"/>
      <c r="B35" s="856"/>
      <c r="C35" s="888" t="s">
        <v>569</v>
      </c>
      <c r="D35" s="889"/>
      <c r="E35" s="889">
        <v>140049</v>
      </c>
      <c r="F35" s="890"/>
      <c r="G35" s="874">
        <f t="shared" ref="G35:G44" si="3">+F35/E35*100</f>
        <v>0</v>
      </c>
    </row>
    <row r="36" spans="1:7" ht="24.95" customHeight="1" x14ac:dyDescent="0.25">
      <c r="A36" s="839"/>
      <c r="B36" s="856"/>
      <c r="C36" s="880" t="s">
        <v>156</v>
      </c>
      <c r="D36" s="894"/>
      <c r="E36" s="894">
        <v>13742</v>
      </c>
      <c r="F36" s="887"/>
      <c r="G36" s="874">
        <f t="shared" si="3"/>
        <v>0</v>
      </c>
    </row>
    <row r="37" spans="1:7" ht="24.95" customHeight="1" x14ac:dyDescent="0.25">
      <c r="A37" s="839"/>
      <c r="B37" s="856"/>
      <c r="C37" s="891" t="s">
        <v>1438</v>
      </c>
      <c r="D37" s="894"/>
      <c r="E37" s="894">
        <v>2199</v>
      </c>
      <c r="F37" s="887">
        <v>2098</v>
      </c>
      <c r="G37" s="874">
        <f t="shared" si="3"/>
        <v>95.407003183265118</v>
      </c>
    </row>
    <row r="38" spans="1:7" ht="24.95" customHeight="1" x14ac:dyDescent="0.25">
      <c r="A38" s="839"/>
      <c r="B38" s="856"/>
      <c r="C38" s="753" t="s">
        <v>606</v>
      </c>
      <c r="D38" s="894"/>
      <c r="E38" s="894">
        <v>16380</v>
      </c>
      <c r="F38" s="887"/>
      <c r="G38" s="874">
        <f t="shared" si="3"/>
        <v>0</v>
      </c>
    </row>
    <row r="39" spans="1:7" ht="24.95" customHeight="1" x14ac:dyDescent="0.25">
      <c r="A39" s="839"/>
      <c r="B39" s="856"/>
      <c r="C39" s="753" t="s">
        <v>685</v>
      </c>
      <c r="D39" s="894"/>
      <c r="E39" s="894">
        <v>4423</v>
      </c>
      <c r="F39" s="887"/>
      <c r="G39" s="874">
        <f t="shared" si="3"/>
        <v>0</v>
      </c>
    </row>
    <row r="40" spans="1:7" ht="24.95" customHeight="1" x14ac:dyDescent="0.25">
      <c r="A40" s="839"/>
      <c r="B40" s="856"/>
      <c r="C40" s="891" t="s">
        <v>428</v>
      </c>
      <c r="D40" s="894"/>
      <c r="E40" s="894">
        <v>63</v>
      </c>
      <c r="F40" s="887"/>
      <c r="G40" s="874">
        <f t="shared" si="3"/>
        <v>0</v>
      </c>
    </row>
    <row r="41" spans="1:7" ht="24.95" customHeight="1" x14ac:dyDescent="0.25">
      <c r="A41" s="839"/>
      <c r="B41" s="856"/>
      <c r="C41" s="880" t="s">
        <v>427</v>
      </c>
      <c r="D41" s="894"/>
      <c r="E41" s="894">
        <v>749</v>
      </c>
      <c r="F41" s="887"/>
      <c r="G41" s="874">
        <f t="shared" si="3"/>
        <v>0</v>
      </c>
    </row>
    <row r="42" spans="1:7" ht="24.95" customHeight="1" x14ac:dyDescent="0.25">
      <c r="A42" s="839"/>
      <c r="B42" s="856"/>
      <c r="C42" s="893" t="s">
        <v>272</v>
      </c>
      <c r="D42" s="889"/>
      <c r="E42" s="889">
        <v>8271</v>
      </c>
      <c r="F42" s="890">
        <v>7240</v>
      </c>
      <c r="G42" s="874">
        <f t="shared" si="3"/>
        <v>87.534760004836173</v>
      </c>
    </row>
    <row r="43" spans="1:7" ht="24.95" customHeight="1" x14ac:dyDescent="0.25">
      <c r="A43" s="839"/>
      <c r="B43" s="856"/>
      <c r="C43" s="752" t="s">
        <v>607</v>
      </c>
      <c r="D43" s="894"/>
      <c r="E43" s="894">
        <v>79200</v>
      </c>
      <c r="F43" s="887">
        <v>78685</v>
      </c>
      <c r="G43" s="751">
        <f t="shared" si="3"/>
        <v>99.349747474747474</v>
      </c>
    </row>
    <row r="44" spans="1:7" ht="35.25" customHeight="1" x14ac:dyDescent="0.25">
      <c r="A44" s="839"/>
      <c r="B44" s="856"/>
      <c r="C44" s="752" t="s">
        <v>677</v>
      </c>
      <c r="D44" s="889"/>
      <c r="E44" s="889">
        <v>17897</v>
      </c>
      <c r="F44" s="890"/>
      <c r="G44" s="874">
        <f t="shared" si="3"/>
        <v>0</v>
      </c>
    </row>
    <row r="45" spans="1:7" ht="26.1" customHeight="1" x14ac:dyDescent="0.3">
      <c r="A45" s="839"/>
      <c r="B45" s="882" t="s">
        <v>297</v>
      </c>
      <c r="C45" s="892"/>
      <c r="D45" s="923"/>
      <c r="E45" s="923"/>
      <c r="F45" s="890"/>
      <c r="G45" s="874"/>
    </row>
    <row r="46" spans="1:7" ht="24.95" customHeight="1" x14ac:dyDescent="0.25">
      <c r="A46" s="839"/>
      <c r="B46" s="856"/>
      <c r="C46" s="895" t="s">
        <v>178</v>
      </c>
      <c r="D46" s="755">
        <v>105000</v>
      </c>
      <c r="E46" s="755">
        <v>171290</v>
      </c>
      <c r="F46" s="750">
        <f>64195-1</f>
        <v>64194</v>
      </c>
      <c r="G46" s="874">
        <f t="shared" ref="G46:G48" si="4">+F46/E46*100</f>
        <v>37.4767937416078</v>
      </c>
    </row>
    <row r="47" spans="1:7" s="41" customFormat="1" ht="24.95" customHeight="1" x14ac:dyDescent="0.25">
      <c r="A47" s="839"/>
      <c r="B47" s="881"/>
      <c r="C47" s="759" t="s">
        <v>273</v>
      </c>
      <c r="D47" s="757"/>
      <c r="E47" s="757">
        <v>2545</v>
      </c>
      <c r="F47" s="857"/>
      <c r="G47" s="751">
        <f t="shared" si="4"/>
        <v>0</v>
      </c>
    </row>
    <row r="48" spans="1:7" s="41" customFormat="1" ht="24.95" customHeight="1" x14ac:dyDescent="0.25">
      <c r="A48" s="839"/>
      <c r="B48" s="881"/>
      <c r="C48" s="759" t="s">
        <v>561</v>
      </c>
      <c r="D48" s="757"/>
      <c r="E48" s="757">
        <v>684</v>
      </c>
      <c r="F48" s="857">
        <v>684</v>
      </c>
      <c r="G48" s="751">
        <f t="shared" si="4"/>
        <v>100</v>
      </c>
    </row>
    <row r="49" spans="1:7" ht="42.75" customHeight="1" x14ac:dyDescent="0.25">
      <c r="A49" s="935"/>
      <c r="B49" s="881"/>
      <c r="C49" s="861" t="s">
        <v>659</v>
      </c>
      <c r="D49" s="755"/>
      <c r="E49" s="755">
        <v>18422</v>
      </c>
      <c r="F49" s="897"/>
      <c r="G49" s="751">
        <f>+F49/E49*100</f>
        <v>0</v>
      </c>
    </row>
    <row r="50" spans="1:7" ht="24.95" customHeight="1" x14ac:dyDescent="0.25">
      <c r="A50" s="935"/>
      <c r="B50" s="881"/>
      <c r="C50" s="858" t="s">
        <v>658</v>
      </c>
      <c r="D50" s="755"/>
      <c r="E50" s="755">
        <v>3500</v>
      </c>
      <c r="F50" s="897">
        <f>3026-1</f>
        <v>3025</v>
      </c>
      <c r="G50" s="751">
        <f>+F50/E50*100</f>
        <v>86.428571428571431</v>
      </c>
    </row>
    <row r="51" spans="1:7" ht="24.95" customHeight="1" x14ac:dyDescent="0.25">
      <c r="A51" s="896"/>
      <c r="B51" s="881"/>
      <c r="C51" s="827" t="s">
        <v>638</v>
      </c>
      <c r="D51" s="755">
        <v>16277</v>
      </c>
      <c r="E51" s="755"/>
      <c r="F51" s="897"/>
      <c r="G51" s="751">
        <v>0</v>
      </c>
    </row>
    <row r="52" spans="1:7" ht="24.95" customHeight="1" x14ac:dyDescent="0.25">
      <c r="A52" s="896"/>
      <c r="B52" s="881"/>
      <c r="C52" s="759" t="s">
        <v>710</v>
      </c>
      <c r="D52" s="755"/>
      <c r="E52" s="755">
        <v>40000</v>
      </c>
      <c r="F52" s="897"/>
      <c r="G52" s="751">
        <f>+F52/E52*100</f>
        <v>0</v>
      </c>
    </row>
    <row r="53" spans="1:7" ht="26.1" customHeight="1" x14ac:dyDescent="0.25">
      <c r="A53" s="839"/>
      <c r="B53" s="898" t="s">
        <v>342</v>
      </c>
      <c r="C53" s="895"/>
      <c r="D53" s="899"/>
      <c r="E53" s="899"/>
      <c r="F53" s="750"/>
      <c r="G53" s="751"/>
    </row>
    <row r="54" spans="1:7" ht="24.95" customHeight="1" x14ac:dyDescent="0.25">
      <c r="A54" s="839"/>
      <c r="B54" s="856"/>
      <c r="C54" s="895" t="s">
        <v>443</v>
      </c>
      <c r="D54" s="755"/>
      <c r="E54" s="755">
        <v>1300</v>
      </c>
      <c r="F54" s="750">
        <f>1149-1</f>
        <v>1148</v>
      </c>
      <c r="G54" s="874">
        <f>+F54/E54*100</f>
        <v>88.307692307692307</v>
      </c>
    </row>
    <row r="55" spans="1:7" ht="24.95" customHeight="1" x14ac:dyDescent="0.25">
      <c r="A55" s="839"/>
      <c r="B55" s="856"/>
      <c r="C55" s="809" t="s">
        <v>429</v>
      </c>
      <c r="D55" s="755"/>
      <c r="E55" s="755">
        <v>1073</v>
      </c>
      <c r="F55" s="750"/>
      <c r="G55" s="874">
        <f>+F55/E55*100</f>
        <v>0</v>
      </c>
    </row>
    <row r="56" spans="1:7" ht="26.1" customHeight="1" x14ac:dyDescent="0.25">
      <c r="A56" s="839"/>
      <c r="B56" s="898" t="s">
        <v>37</v>
      </c>
      <c r="C56" s="898"/>
      <c r="D56" s="857"/>
      <c r="E56" s="857"/>
      <c r="F56" s="750"/>
      <c r="G56" s="885"/>
    </row>
    <row r="57" spans="1:7" ht="24.95" customHeight="1" x14ac:dyDescent="0.25">
      <c r="A57" s="839"/>
      <c r="B57" s="898"/>
      <c r="C57" s="895" t="s">
        <v>668</v>
      </c>
      <c r="D57" s="857"/>
      <c r="E57" s="857">
        <v>2617</v>
      </c>
      <c r="F57" s="750">
        <v>953</v>
      </c>
      <c r="G57" s="885">
        <f t="shared" ref="G57:G60" si="5">+F57/E57*100</f>
        <v>36.415743217424534</v>
      </c>
    </row>
    <row r="58" spans="1:7" ht="24.95" customHeight="1" x14ac:dyDescent="0.25">
      <c r="A58" s="839"/>
      <c r="B58" s="898"/>
      <c r="C58" s="895" t="s">
        <v>543</v>
      </c>
      <c r="D58" s="857">
        <v>4500</v>
      </c>
      <c r="E58" s="857">
        <v>4500</v>
      </c>
      <c r="F58" s="750">
        <v>3156</v>
      </c>
      <c r="G58" s="885">
        <f t="shared" si="5"/>
        <v>70.13333333333334</v>
      </c>
    </row>
    <row r="59" spans="1:7" ht="24.95" customHeight="1" x14ac:dyDescent="0.25">
      <c r="A59" s="839"/>
      <c r="B59" s="898"/>
      <c r="C59" s="901" t="s">
        <v>557</v>
      </c>
      <c r="D59" s="857">
        <v>4500</v>
      </c>
      <c r="E59" s="857">
        <v>4500</v>
      </c>
      <c r="F59" s="750"/>
      <c r="G59" s="885">
        <f t="shared" si="5"/>
        <v>0</v>
      </c>
    </row>
    <row r="60" spans="1:7" ht="24.95" customHeight="1" x14ac:dyDescent="0.25">
      <c r="A60" s="839"/>
      <c r="B60" s="898"/>
      <c r="C60" s="900" t="s">
        <v>157</v>
      </c>
      <c r="D60" s="857">
        <v>5000</v>
      </c>
      <c r="E60" s="857">
        <v>5000</v>
      </c>
      <c r="F60" s="750"/>
      <c r="G60" s="885">
        <f t="shared" si="5"/>
        <v>0</v>
      </c>
    </row>
    <row r="61" spans="1:7" s="404" customFormat="1" ht="24.95" customHeight="1" x14ac:dyDescent="0.25">
      <c r="A61" s="839"/>
      <c r="B61" s="881"/>
      <c r="C61" s="901" t="s">
        <v>570</v>
      </c>
      <c r="D61" s="757">
        <v>6300</v>
      </c>
      <c r="E61" s="757">
        <v>2432</v>
      </c>
      <c r="F61" s="857">
        <v>1512</v>
      </c>
      <c r="G61" s="885">
        <f>+F61/E61*100</f>
        <v>62.171052631578952</v>
      </c>
    </row>
    <row r="62" spans="1:7" ht="26.1" customHeight="1" x14ac:dyDescent="0.25">
      <c r="A62" s="839"/>
      <c r="B62" s="902" t="s">
        <v>62</v>
      </c>
      <c r="C62" s="903"/>
      <c r="D62" s="757"/>
      <c r="E62" s="757"/>
      <c r="F62" s="857"/>
      <c r="G62" s="874"/>
    </row>
    <row r="63" spans="1:7" ht="24.95" customHeight="1" x14ac:dyDescent="0.25">
      <c r="A63" s="839"/>
      <c r="B63" s="898"/>
      <c r="C63" s="895" t="s">
        <v>430</v>
      </c>
      <c r="D63" s="857"/>
      <c r="E63" s="857">
        <v>10603</v>
      </c>
      <c r="F63" s="750">
        <v>10581</v>
      </c>
      <c r="G63" s="885">
        <f t="shared" ref="G63:G121" si="6">+F63/E63*100</f>
        <v>99.792511553333966</v>
      </c>
    </row>
    <row r="64" spans="1:7" ht="39.950000000000003" customHeight="1" x14ac:dyDescent="0.25">
      <c r="A64" s="839"/>
      <c r="B64" s="898"/>
      <c r="C64" s="1010" t="s">
        <v>678</v>
      </c>
      <c r="D64" s="857"/>
      <c r="E64" s="857">
        <v>2685</v>
      </c>
      <c r="F64" s="904"/>
      <c r="G64" s="885">
        <f t="shared" si="6"/>
        <v>0</v>
      </c>
    </row>
    <row r="65" spans="1:7" s="404" customFormat="1" ht="24.95" customHeight="1" x14ac:dyDescent="0.25">
      <c r="A65" s="886"/>
      <c r="B65" s="881"/>
      <c r="C65" s="905" t="s">
        <v>562</v>
      </c>
      <c r="D65" s="857"/>
      <c r="E65" s="857">
        <v>118766</v>
      </c>
      <c r="F65" s="904"/>
      <c r="G65" s="874">
        <f t="shared" si="6"/>
        <v>0</v>
      </c>
    </row>
    <row r="66" spans="1:7" ht="24.95" customHeight="1" x14ac:dyDescent="0.25">
      <c r="A66" s="839"/>
      <c r="B66" s="881"/>
      <c r="C66" s="905" t="s">
        <v>610</v>
      </c>
      <c r="D66" s="857">
        <v>267970</v>
      </c>
      <c r="E66" s="857">
        <v>210027</v>
      </c>
      <c r="F66" s="857">
        <v>8789</v>
      </c>
      <c r="G66" s="874">
        <f t="shared" ref="G66:G70" si="7">+F66/E66*100</f>
        <v>4.1847000623729329</v>
      </c>
    </row>
    <row r="67" spans="1:7" ht="39.950000000000003" customHeight="1" x14ac:dyDescent="0.25">
      <c r="A67" s="839"/>
      <c r="B67" s="881"/>
      <c r="C67" s="905" t="s">
        <v>711</v>
      </c>
      <c r="D67" s="857"/>
      <c r="E67" s="857">
        <v>51228</v>
      </c>
      <c r="F67" s="857"/>
      <c r="G67" s="874">
        <f t="shared" si="7"/>
        <v>0</v>
      </c>
    </row>
    <row r="68" spans="1:7" ht="39.950000000000003" customHeight="1" x14ac:dyDescent="0.25">
      <c r="A68" s="839"/>
      <c r="B68" s="881"/>
      <c r="C68" s="905" t="s">
        <v>719</v>
      </c>
      <c r="D68" s="857"/>
      <c r="E68" s="857">
        <v>622</v>
      </c>
      <c r="F68" s="857"/>
      <c r="G68" s="874">
        <f t="shared" si="7"/>
        <v>0</v>
      </c>
    </row>
    <row r="69" spans="1:7" ht="45" customHeight="1" x14ac:dyDescent="0.25">
      <c r="A69" s="839"/>
      <c r="B69" s="881"/>
      <c r="C69" s="905" t="s">
        <v>614</v>
      </c>
      <c r="D69" s="857">
        <v>195011</v>
      </c>
      <c r="E69" s="857">
        <v>195011</v>
      </c>
      <c r="F69" s="857">
        <v>195011</v>
      </c>
      <c r="G69" s="874">
        <f t="shared" si="7"/>
        <v>100</v>
      </c>
    </row>
    <row r="70" spans="1:7" s="939" customFormat="1" ht="24.95" customHeight="1" x14ac:dyDescent="0.25">
      <c r="A70" s="935"/>
      <c r="B70" s="936"/>
      <c r="C70" s="937" t="s">
        <v>615</v>
      </c>
      <c r="D70" s="938">
        <v>94500</v>
      </c>
      <c r="E70" s="938">
        <v>94500</v>
      </c>
      <c r="F70" s="938">
        <v>10985</v>
      </c>
      <c r="G70" s="874">
        <f t="shared" si="7"/>
        <v>11.624338624338625</v>
      </c>
    </row>
    <row r="71" spans="1:7" ht="24.95" customHeight="1" x14ac:dyDescent="0.25">
      <c r="A71" s="839"/>
      <c r="B71" s="881"/>
      <c r="C71" s="906" t="s">
        <v>611</v>
      </c>
      <c r="D71" s="857">
        <v>499797</v>
      </c>
      <c r="E71" s="857">
        <v>499797</v>
      </c>
      <c r="F71" s="857">
        <v>163922</v>
      </c>
      <c r="G71" s="874">
        <f>+F71/E71*100</f>
        <v>32.797715872644297</v>
      </c>
    </row>
    <row r="72" spans="1:7" s="930" customFormat="1" ht="24.95" customHeight="1" x14ac:dyDescent="0.25">
      <c r="A72" s="927"/>
      <c r="B72" s="928"/>
      <c r="C72" s="1027" t="s">
        <v>612</v>
      </c>
      <c r="D72" s="929">
        <v>106666</v>
      </c>
      <c r="E72" s="929">
        <v>384934</v>
      </c>
      <c r="F72" s="929">
        <v>7553</v>
      </c>
      <c r="G72" s="1028">
        <f t="shared" si="6"/>
        <v>1.9621545511698109</v>
      </c>
    </row>
    <row r="73" spans="1:7" s="930" customFormat="1" ht="24.95" customHeight="1" x14ac:dyDescent="0.25">
      <c r="A73" s="927"/>
      <c r="B73" s="928"/>
      <c r="C73" s="1027" t="s">
        <v>712</v>
      </c>
      <c r="D73" s="929"/>
      <c r="E73" s="929">
        <v>20055</v>
      </c>
      <c r="F73" s="1029"/>
      <c r="G73" s="1028">
        <f t="shared" si="6"/>
        <v>0</v>
      </c>
    </row>
    <row r="74" spans="1:7" s="930" customFormat="1" ht="39.950000000000003" customHeight="1" x14ac:dyDescent="0.25">
      <c r="A74" s="927"/>
      <c r="B74" s="928"/>
      <c r="C74" s="1030" t="s">
        <v>613</v>
      </c>
      <c r="D74" s="929">
        <v>1380067</v>
      </c>
      <c r="E74" s="929">
        <v>1380067</v>
      </c>
      <c r="F74" s="1029">
        <v>1380067</v>
      </c>
      <c r="G74" s="1028">
        <f t="shared" si="6"/>
        <v>100</v>
      </c>
    </row>
    <row r="75" spans="1:7" s="1031" customFormat="1" ht="24.95" customHeight="1" x14ac:dyDescent="0.25">
      <c r="A75" s="927"/>
      <c r="B75" s="928"/>
      <c r="C75" s="1027" t="s">
        <v>213</v>
      </c>
      <c r="D75" s="1032"/>
      <c r="E75" s="1032">
        <v>33500</v>
      </c>
      <c r="F75" s="1033">
        <v>18662</v>
      </c>
      <c r="G75" s="1028">
        <f t="shared" si="6"/>
        <v>55.707462686567169</v>
      </c>
    </row>
    <row r="76" spans="1:7" s="930" customFormat="1" ht="24.95" customHeight="1" x14ac:dyDescent="0.25">
      <c r="A76" s="927"/>
      <c r="B76" s="928"/>
      <c r="C76" s="1027" t="s">
        <v>140</v>
      </c>
      <c r="D76" s="1032"/>
      <c r="E76" s="1032">
        <v>6332</v>
      </c>
      <c r="F76" s="1033"/>
      <c r="G76" s="1028">
        <f t="shared" si="6"/>
        <v>0</v>
      </c>
    </row>
    <row r="77" spans="1:7" s="930" customFormat="1" ht="24.95" customHeight="1" x14ac:dyDescent="0.25">
      <c r="A77" s="927"/>
      <c r="B77" s="928"/>
      <c r="C77" s="1035" t="s">
        <v>274</v>
      </c>
      <c r="D77" s="1032"/>
      <c r="E77" s="1032">
        <v>25204</v>
      </c>
      <c r="F77" s="1033">
        <v>7130</v>
      </c>
      <c r="G77" s="1028">
        <f t="shared" si="6"/>
        <v>28.289160450722107</v>
      </c>
    </row>
    <row r="78" spans="1:7" s="930" customFormat="1" ht="24.95" customHeight="1" x14ac:dyDescent="0.25">
      <c r="A78" s="927"/>
      <c r="B78" s="928"/>
      <c r="C78" s="1034" t="s">
        <v>492</v>
      </c>
      <c r="D78" s="1036">
        <v>58081</v>
      </c>
      <c r="E78" s="1036">
        <v>57376</v>
      </c>
      <c r="F78" s="1033"/>
      <c r="G78" s="1028">
        <f t="shared" si="6"/>
        <v>0</v>
      </c>
    </row>
    <row r="79" spans="1:7" s="930" customFormat="1" ht="24.95" customHeight="1" x14ac:dyDescent="0.25">
      <c r="A79" s="927"/>
      <c r="B79" s="928"/>
      <c r="C79" s="1035" t="s">
        <v>469</v>
      </c>
      <c r="D79" s="1036">
        <v>455670</v>
      </c>
      <c r="E79" s="1036">
        <v>361774</v>
      </c>
      <c r="F79" s="1033">
        <v>6747</v>
      </c>
      <c r="G79" s="1028">
        <f t="shared" si="6"/>
        <v>1.8649764770270942</v>
      </c>
    </row>
    <row r="80" spans="1:7" s="930" customFormat="1" ht="24.95" customHeight="1" x14ac:dyDescent="0.25">
      <c r="A80" s="927"/>
      <c r="B80" s="928"/>
      <c r="C80" s="1035" t="s">
        <v>572</v>
      </c>
      <c r="D80" s="1036"/>
      <c r="E80" s="1036">
        <v>93930</v>
      </c>
      <c r="F80" s="1033"/>
      <c r="G80" s="1028">
        <f t="shared" si="6"/>
        <v>0</v>
      </c>
    </row>
    <row r="81" spans="1:7" s="930" customFormat="1" ht="24.95" customHeight="1" x14ac:dyDescent="0.25">
      <c r="A81" s="927"/>
      <c r="B81" s="928"/>
      <c r="C81" s="1035" t="s">
        <v>585</v>
      </c>
      <c r="D81" s="1032">
        <v>18730</v>
      </c>
      <c r="E81" s="1032">
        <v>22961</v>
      </c>
      <c r="F81" s="1033">
        <v>12385</v>
      </c>
      <c r="G81" s="1028">
        <f t="shared" si="6"/>
        <v>53.939288358520962</v>
      </c>
    </row>
    <row r="82" spans="1:7" ht="24.95" customHeight="1" x14ac:dyDescent="0.25">
      <c r="A82" s="896"/>
      <c r="B82" s="881"/>
      <c r="C82" s="905" t="s">
        <v>471</v>
      </c>
      <c r="D82" s="755">
        <v>1270205</v>
      </c>
      <c r="E82" s="755">
        <v>1262664</v>
      </c>
      <c r="F82" s="897">
        <v>42931</v>
      </c>
      <c r="G82" s="874">
        <f t="shared" si="6"/>
        <v>3.4000335797963674</v>
      </c>
    </row>
    <row r="83" spans="1:7" ht="24.95" customHeight="1" x14ac:dyDescent="0.25">
      <c r="A83" s="839"/>
      <c r="B83" s="881"/>
      <c r="C83" s="905" t="s">
        <v>574</v>
      </c>
      <c r="D83" s="755">
        <v>288775</v>
      </c>
      <c r="E83" s="755">
        <v>292606</v>
      </c>
      <c r="F83" s="897"/>
      <c r="G83" s="874">
        <f t="shared" si="6"/>
        <v>0</v>
      </c>
    </row>
    <row r="84" spans="1:7" ht="24.95" customHeight="1" x14ac:dyDescent="0.25">
      <c r="A84" s="839"/>
      <c r="B84" s="881"/>
      <c r="C84" s="905" t="s">
        <v>586</v>
      </c>
      <c r="D84" s="750"/>
      <c r="E84" s="750">
        <v>200</v>
      </c>
      <c r="F84" s="897">
        <v>200</v>
      </c>
      <c r="G84" s="874">
        <f t="shared" si="6"/>
        <v>100</v>
      </c>
    </row>
    <row r="85" spans="1:7" ht="24.95" customHeight="1" x14ac:dyDescent="0.25">
      <c r="A85" s="896"/>
      <c r="B85" s="881"/>
      <c r="C85" s="905" t="s">
        <v>598</v>
      </c>
      <c r="D85" s="755">
        <v>1420000</v>
      </c>
      <c r="E85" s="755">
        <v>1417775</v>
      </c>
      <c r="F85" s="897">
        <v>57023</v>
      </c>
      <c r="G85" s="874">
        <f t="shared" si="6"/>
        <v>4.0220063127082923</v>
      </c>
    </row>
    <row r="86" spans="1:7" ht="24.95" customHeight="1" x14ac:dyDescent="0.25">
      <c r="A86" s="896"/>
      <c r="B86" s="881"/>
      <c r="C86" s="905" t="s">
        <v>599</v>
      </c>
      <c r="D86" s="755">
        <v>1128180</v>
      </c>
      <c r="E86" s="755"/>
      <c r="F86" s="897"/>
      <c r="G86" s="874">
        <v>0</v>
      </c>
    </row>
    <row r="87" spans="1:7" ht="24.95" customHeight="1" x14ac:dyDescent="0.25">
      <c r="A87" s="896"/>
      <c r="B87" s="881"/>
      <c r="C87" s="905" t="s">
        <v>597</v>
      </c>
      <c r="D87" s="755">
        <v>460000</v>
      </c>
      <c r="E87" s="755">
        <v>418824</v>
      </c>
      <c r="F87" s="897">
        <v>23451</v>
      </c>
      <c r="G87" s="874">
        <f t="shared" si="6"/>
        <v>5.5992493266861496</v>
      </c>
    </row>
    <row r="88" spans="1:7" ht="24.95" customHeight="1" x14ac:dyDescent="0.25">
      <c r="A88" s="839"/>
      <c r="B88" s="881"/>
      <c r="C88" s="905" t="s">
        <v>601</v>
      </c>
      <c r="D88" s="755"/>
      <c r="E88" s="755">
        <v>79724</v>
      </c>
      <c r="F88" s="897"/>
      <c r="G88" s="874">
        <f t="shared" si="6"/>
        <v>0</v>
      </c>
    </row>
    <row r="89" spans="1:7" ht="24.95" customHeight="1" x14ac:dyDescent="0.25">
      <c r="A89" s="896"/>
      <c r="B89" s="881"/>
      <c r="C89" s="905" t="s">
        <v>600</v>
      </c>
      <c r="D89" s="755"/>
      <c r="E89" s="755">
        <v>274000</v>
      </c>
      <c r="F89" s="897">
        <f>4890</f>
        <v>4890</v>
      </c>
      <c r="G89" s="874">
        <f t="shared" si="6"/>
        <v>1.7846715328467151</v>
      </c>
    </row>
    <row r="90" spans="1:7" ht="24.95" customHeight="1" x14ac:dyDescent="0.25">
      <c r="A90" s="896"/>
      <c r="B90" s="881"/>
      <c r="C90" s="907" t="s">
        <v>463</v>
      </c>
      <c r="D90" s="756">
        <v>678118</v>
      </c>
      <c r="E90" s="756">
        <v>686073</v>
      </c>
      <c r="F90" s="908">
        <v>140</v>
      </c>
      <c r="G90" s="874">
        <f t="shared" si="6"/>
        <v>2.0405991782215596E-2</v>
      </c>
    </row>
    <row r="91" spans="1:7" ht="24.95" customHeight="1" x14ac:dyDescent="0.25">
      <c r="A91" s="839"/>
      <c r="B91" s="881"/>
      <c r="C91" s="901" t="s">
        <v>573</v>
      </c>
      <c r="D91" s="755">
        <v>167457</v>
      </c>
      <c r="E91" s="755">
        <v>159625</v>
      </c>
      <c r="F91" s="897"/>
      <c r="G91" s="874">
        <f t="shared" si="6"/>
        <v>0</v>
      </c>
    </row>
    <row r="92" spans="1:7" ht="24.95" customHeight="1" x14ac:dyDescent="0.25">
      <c r="A92" s="896"/>
      <c r="B92" s="881"/>
      <c r="C92" s="907" t="s">
        <v>470</v>
      </c>
      <c r="D92" s="755">
        <v>429534</v>
      </c>
      <c r="E92" s="755">
        <v>434625</v>
      </c>
      <c r="F92" s="897">
        <v>7346</v>
      </c>
      <c r="G92" s="874">
        <f t="shared" si="6"/>
        <v>1.6901926948518837</v>
      </c>
    </row>
    <row r="93" spans="1:7" ht="24.95" customHeight="1" x14ac:dyDescent="0.25">
      <c r="A93" s="839"/>
      <c r="B93" s="881"/>
      <c r="C93" s="907" t="s">
        <v>571</v>
      </c>
      <c r="D93" s="755">
        <v>102789</v>
      </c>
      <c r="E93" s="755">
        <v>94084</v>
      </c>
      <c r="F93" s="897"/>
      <c r="G93" s="874">
        <f t="shared" si="6"/>
        <v>0</v>
      </c>
    </row>
    <row r="94" spans="1:7" ht="24.95" customHeight="1" x14ac:dyDescent="0.25">
      <c r="A94" s="839"/>
      <c r="B94" s="881"/>
      <c r="C94" s="907" t="s">
        <v>587</v>
      </c>
      <c r="D94" s="755">
        <v>17000</v>
      </c>
      <c r="E94" s="755">
        <v>43681</v>
      </c>
      <c r="F94" s="897">
        <v>9407</v>
      </c>
      <c r="G94" s="874">
        <f t="shared" si="6"/>
        <v>21.535679128225084</v>
      </c>
    </row>
    <row r="95" spans="1:7" ht="39.950000000000003" customHeight="1" x14ac:dyDescent="0.25">
      <c r="A95" s="839"/>
      <c r="B95" s="881"/>
      <c r="C95" s="907" t="s">
        <v>716</v>
      </c>
      <c r="D95" s="755"/>
      <c r="E95" s="755">
        <v>3614</v>
      </c>
      <c r="F95" s="897"/>
      <c r="G95" s="874">
        <f t="shared" si="6"/>
        <v>0</v>
      </c>
    </row>
    <row r="96" spans="1:7" ht="39.950000000000003" customHeight="1" x14ac:dyDescent="0.25">
      <c r="A96" s="896"/>
      <c r="B96" s="881"/>
      <c r="C96" s="901" t="s">
        <v>460</v>
      </c>
      <c r="D96" s="755">
        <v>135960</v>
      </c>
      <c r="E96" s="755">
        <v>136068</v>
      </c>
      <c r="F96" s="897">
        <v>135968</v>
      </c>
      <c r="G96" s="874">
        <f t="shared" si="6"/>
        <v>99.926507334568015</v>
      </c>
    </row>
    <row r="97" spans="1:7" ht="39.950000000000003" customHeight="1" x14ac:dyDescent="0.25">
      <c r="A97" s="839"/>
      <c r="B97" s="881"/>
      <c r="C97" s="901" t="s">
        <v>588</v>
      </c>
      <c r="D97" s="755"/>
      <c r="E97" s="755">
        <v>562</v>
      </c>
      <c r="F97" s="897">
        <v>56</v>
      </c>
      <c r="G97" s="874">
        <f t="shared" si="6"/>
        <v>9.9644128113879002</v>
      </c>
    </row>
    <row r="98" spans="1:7" ht="24.95" customHeight="1" x14ac:dyDescent="0.25">
      <c r="A98" s="896"/>
      <c r="B98" s="881"/>
      <c r="C98" s="901" t="s">
        <v>459</v>
      </c>
      <c r="D98" s="755">
        <v>123865</v>
      </c>
      <c r="E98" s="755">
        <v>124065</v>
      </c>
      <c r="F98" s="897">
        <v>123795</v>
      </c>
      <c r="G98" s="874">
        <f t="shared" si="6"/>
        <v>99.78237214363439</v>
      </c>
    </row>
    <row r="99" spans="1:7" ht="39.950000000000003" customHeight="1" x14ac:dyDescent="0.25">
      <c r="A99" s="839"/>
      <c r="B99" s="881"/>
      <c r="C99" s="901" t="s">
        <v>575</v>
      </c>
      <c r="D99" s="755">
        <v>28953</v>
      </c>
      <c r="E99" s="755">
        <v>28953</v>
      </c>
      <c r="F99" s="897"/>
      <c r="G99" s="874">
        <f t="shared" si="6"/>
        <v>0</v>
      </c>
    </row>
    <row r="100" spans="1:7" ht="39.950000000000003" customHeight="1" x14ac:dyDescent="0.25">
      <c r="A100" s="839"/>
      <c r="B100" s="881"/>
      <c r="C100" s="901" t="s">
        <v>589</v>
      </c>
      <c r="D100" s="755">
        <v>13673</v>
      </c>
      <c r="E100" s="755">
        <v>13781</v>
      </c>
      <c r="F100" s="897">
        <v>13693</v>
      </c>
      <c r="G100" s="874">
        <f t="shared" si="6"/>
        <v>99.361439663304552</v>
      </c>
    </row>
    <row r="101" spans="1:7" ht="39.950000000000003" customHeight="1" x14ac:dyDescent="0.25">
      <c r="A101" s="839"/>
      <c r="B101" s="881"/>
      <c r="C101" s="901" t="s">
        <v>609</v>
      </c>
      <c r="D101" s="755">
        <v>3648</v>
      </c>
      <c r="E101" s="755">
        <v>3648</v>
      </c>
      <c r="F101" s="897"/>
      <c r="G101" s="874">
        <f t="shared" si="6"/>
        <v>0</v>
      </c>
    </row>
    <row r="102" spans="1:7" ht="24.95" customHeight="1" x14ac:dyDescent="0.25">
      <c r="A102" s="896"/>
      <c r="B102" s="881"/>
      <c r="C102" s="901" t="s">
        <v>482</v>
      </c>
      <c r="D102" s="755">
        <v>239810</v>
      </c>
      <c r="E102" s="755">
        <v>227267</v>
      </c>
      <c r="F102" s="897">
        <v>78569</v>
      </c>
      <c r="G102" s="874">
        <f t="shared" si="6"/>
        <v>34.571231195026115</v>
      </c>
    </row>
    <row r="103" spans="1:7" ht="24.95" customHeight="1" x14ac:dyDescent="0.25">
      <c r="A103" s="839"/>
      <c r="B103" s="881"/>
      <c r="C103" s="901" t="s">
        <v>576</v>
      </c>
      <c r="D103" s="755"/>
      <c r="E103" s="755">
        <v>12543</v>
      </c>
      <c r="F103" s="897"/>
      <c r="G103" s="874">
        <f t="shared" si="6"/>
        <v>0</v>
      </c>
    </row>
    <row r="104" spans="1:7" ht="24.95" customHeight="1" x14ac:dyDescent="0.25">
      <c r="A104" s="839"/>
      <c r="B104" s="881"/>
      <c r="C104" s="901" t="s">
        <v>590</v>
      </c>
      <c r="D104" s="755">
        <v>5858</v>
      </c>
      <c r="E104" s="755">
        <v>8538</v>
      </c>
      <c r="F104" s="897">
        <v>4898</v>
      </c>
      <c r="G104" s="874">
        <f t="shared" si="6"/>
        <v>57.367064886390253</v>
      </c>
    </row>
    <row r="105" spans="1:7" ht="24.95" customHeight="1" x14ac:dyDescent="0.25">
      <c r="A105" s="896"/>
      <c r="B105" s="881"/>
      <c r="C105" s="758" t="s">
        <v>474</v>
      </c>
      <c r="D105" s="755">
        <v>715762</v>
      </c>
      <c r="E105" s="755">
        <v>715762</v>
      </c>
      <c r="F105" s="897">
        <v>9114</v>
      </c>
      <c r="G105" s="874">
        <f t="shared" si="6"/>
        <v>1.2733282851003547</v>
      </c>
    </row>
    <row r="106" spans="1:7" ht="39.950000000000003" customHeight="1" x14ac:dyDescent="0.25">
      <c r="A106" s="839"/>
      <c r="B106" s="881"/>
      <c r="C106" s="901" t="s">
        <v>487</v>
      </c>
      <c r="D106" s="755">
        <v>183158</v>
      </c>
      <c r="E106" s="755">
        <v>186282</v>
      </c>
      <c r="F106" s="897"/>
      <c r="G106" s="874">
        <f t="shared" si="6"/>
        <v>0</v>
      </c>
    </row>
    <row r="107" spans="1:7" ht="39.950000000000003" customHeight="1" x14ac:dyDescent="0.25">
      <c r="A107" s="839"/>
      <c r="B107" s="881"/>
      <c r="C107" s="901" t="s">
        <v>680</v>
      </c>
      <c r="D107" s="755"/>
      <c r="E107" s="755">
        <v>24913</v>
      </c>
      <c r="F107" s="897"/>
      <c r="G107" s="874">
        <f t="shared" si="6"/>
        <v>0</v>
      </c>
    </row>
    <row r="108" spans="1:7" ht="39.950000000000003" customHeight="1" x14ac:dyDescent="0.25">
      <c r="A108" s="839"/>
      <c r="B108" s="881"/>
      <c r="C108" s="901" t="s">
        <v>693</v>
      </c>
      <c r="D108" s="755"/>
      <c r="E108" s="755">
        <v>6726</v>
      </c>
      <c r="F108" s="897"/>
      <c r="G108" s="874">
        <f t="shared" si="6"/>
        <v>0</v>
      </c>
    </row>
    <row r="109" spans="1:7" ht="39.950000000000003" customHeight="1" x14ac:dyDescent="0.25">
      <c r="A109" s="839"/>
      <c r="B109" s="881"/>
      <c r="C109" s="901" t="s">
        <v>681</v>
      </c>
      <c r="D109" s="755"/>
      <c r="E109" s="755">
        <v>49825</v>
      </c>
      <c r="F109" s="897"/>
      <c r="G109" s="874">
        <f t="shared" si="6"/>
        <v>0</v>
      </c>
    </row>
    <row r="110" spans="1:7" ht="39.950000000000003" customHeight="1" x14ac:dyDescent="0.25">
      <c r="A110" s="839"/>
      <c r="B110" s="881"/>
      <c r="C110" s="901" t="s">
        <v>694</v>
      </c>
      <c r="D110" s="755"/>
      <c r="E110" s="755">
        <v>13453</v>
      </c>
      <c r="F110" s="897"/>
      <c r="G110" s="874">
        <f t="shared" si="6"/>
        <v>0</v>
      </c>
    </row>
    <row r="111" spans="1:7" ht="39.950000000000003" customHeight="1" x14ac:dyDescent="0.25">
      <c r="A111" s="839"/>
      <c r="B111" s="881"/>
      <c r="C111" s="901" t="s">
        <v>682</v>
      </c>
      <c r="D111" s="755"/>
      <c r="E111" s="755">
        <v>25000</v>
      </c>
      <c r="F111" s="897"/>
      <c r="G111" s="874">
        <f t="shared" si="6"/>
        <v>0</v>
      </c>
    </row>
    <row r="112" spans="1:7" ht="39.950000000000003" customHeight="1" x14ac:dyDescent="0.25">
      <c r="A112" s="839"/>
      <c r="B112" s="881"/>
      <c r="C112" s="901" t="s">
        <v>695</v>
      </c>
      <c r="D112" s="755"/>
      <c r="E112" s="755">
        <v>6750</v>
      </c>
      <c r="F112" s="897"/>
      <c r="G112" s="874">
        <f t="shared" si="6"/>
        <v>0</v>
      </c>
    </row>
    <row r="113" spans="1:7" ht="39.950000000000003" customHeight="1" x14ac:dyDescent="0.25">
      <c r="A113" s="839"/>
      <c r="B113" s="881"/>
      <c r="C113" s="901" t="s">
        <v>683</v>
      </c>
      <c r="D113" s="755"/>
      <c r="E113" s="755">
        <v>70000</v>
      </c>
      <c r="F113" s="897"/>
      <c r="G113" s="751">
        <f t="shared" si="6"/>
        <v>0</v>
      </c>
    </row>
    <row r="114" spans="1:7" ht="39.950000000000003" customHeight="1" x14ac:dyDescent="0.25">
      <c r="A114" s="839"/>
      <c r="B114" s="881"/>
      <c r="C114" s="901" t="s">
        <v>696</v>
      </c>
      <c r="D114" s="755"/>
      <c r="E114" s="755">
        <v>18900</v>
      </c>
      <c r="F114" s="897"/>
      <c r="G114" s="751">
        <f t="shared" si="6"/>
        <v>0</v>
      </c>
    </row>
    <row r="115" spans="1:7" ht="39.950000000000003" customHeight="1" x14ac:dyDescent="0.25">
      <c r="A115" s="839"/>
      <c r="B115" s="881"/>
      <c r="C115" s="901" t="s">
        <v>577</v>
      </c>
      <c r="D115" s="756">
        <v>171067</v>
      </c>
      <c r="E115" s="756">
        <v>1689</v>
      </c>
      <c r="F115" s="908">
        <v>1637</v>
      </c>
      <c r="G115" s="874">
        <f t="shared" si="6"/>
        <v>96.921255180580218</v>
      </c>
    </row>
    <row r="116" spans="1:7" ht="39.950000000000003" customHeight="1" x14ac:dyDescent="0.25">
      <c r="A116" s="839"/>
      <c r="B116" s="881"/>
      <c r="C116" s="901" t="s">
        <v>608</v>
      </c>
      <c r="D116" s="755">
        <v>45732</v>
      </c>
      <c r="E116" s="755"/>
      <c r="F116" s="897"/>
      <c r="G116" s="751"/>
    </row>
    <row r="117" spans="1:7" ht="39.950000000000003" customHeight="1" x14ac:dyDescent="0.25">
      <c r="A117" s="839"/>
      <c r="B117" s="881"/>
      <c r="C117" s="901" t="s">
        <v>697</v>
      </c>
      <c r="D117" s="755">
        <v>56630</v>
      </c>
      <c r="E117" s="755">
        <v>119484</v>
      </c>
      <c r="F117" s="897">
        <v>34</v>
      </c>
      <c r="G117" s="874">
        <f t="shared" si="6"/>
        <v>2.8455692812426769E-2</v>
      </c>
    </row>
    <row r="118" spans="1:7" ht="39.950000000000003" customHeight="1" x14ac:dyDescent="0.25">
      <c r="A118" s="839"/>
      <c r="B118" s="881"/>
      <c r="C118" s="901" t="s">
        <v>698</v>
      </c>
      <c r="D118" s="755"/>
      <c r="E118" s="755">
        <v>29128</v>
      </c>
      <c r="F118" s="897"/>
      <c r="G118" s="874">
        <f t="shared" si="6"/>
        <v>0</v>
      </c>
    </row>
    <row r="119" spans="1:7" ht="24.95" customHeight="1" x14ac:dyDescent="0.25">
      <c r="A119" s="896"/>
      <c r="B119" s="881"/>
      <c r="C119" s="901" t="s">
        <v>465</v>
      </c>
      <c r="D119" s="755">
        <v>866003</v>
      </c>
      <c r="E119" s="755">
        <v>966905</v>
      </c>
      <c r="F119" s="897">
        <v>440</v>
      </c>
      <c r="G119" s="874">
        <f t="shared" si="6"/>
        <v>4.5506021791179067E-2</v>
      </c>
    </row>
    <row r="120" spans="1:7" ht="24.95" customHeight="1" x14ac:dyDescent="0.25">
      <c r="A120" s="839"/>
      <c r="B120" s="881"/>
      <c r="C120" s="901" t="s">
        <v>578</v>
      </c>
      <c r="D120" s="755">
        <v>206590</v>
      </c>
      <c r="E120" s="755">
        <v>105848</v>
      </c>
      <c r="F120" s="897"/>
      <c r="G120" s="874">
        <f t="shared" si="6"/>
        <v>0</v>
      </c>
    </row>
    <row r="121" spans="1:7" ht="39.950000000000003" customHeight="1" x14ac:dyDescent="0.25">
      <c r="A121" s="839"/>
      <c r="B121" s="881"/>
      <c r="C121" s="901" t="s">
        <v>660</v>
      </c>
      <c r="D121" s="755"/>
      <c r="E121" s="755">
        <v>3092</v>
      </c>
      <c r="F121" s="897">
        <v>173</v>
      </c>
      <c r="G121" s="874">
        <f t="shared" si="6"/>
        <v>5.5950840879689521</v>
      </c>
    </row>
    <row r="122" spans="1:7" ht="24.95" customHeight="1" x14ac:dyDescent="0.25">
      <c r="A122" s="896"/>
      <c r="B122" s="881"/>
      <c r="C122" s="905" t="s">
        <v>475</v>
      </c>
      <c r="D122" s="756">
        <v>491184</v>
      </c>
      <c r="E122" s="756">
        <v>606494</v>
      </c>
      <c r="F122" s="908">
        <v>53872</v>
      </c>
      <c r="G122" s="874">
        <f t="shared" ref="G122:G143" si="8">+F122/E122*100</f>
        <v>8.8825281041527209</v>
      </c>
    </row>
    <row r="123" spans="1:7" ht="39.950000000000003" customHeight="1" x14ac:dyDescent="0.25">
      <c r="A123" s="839"/>
      <c r="B123" s="881"/>
      <c r="C123" s="901" t="s">
        <v>579</v>
      </c>
      <c r="D123" s="755">
        <v>253104</v>
      </c>
      <c r="E123" s="755">
        <v>137794</v>
      </c>
      <c r="F123" s="897"/>
      <c r="G123" s="874">
        <f t="shared" si="8"/>
        <v>0</v>
      </c>
    </row>
    <row r="124" spans="1:7" ht="24.95" customHeight="1" x14ac:dyDescent="0.25">
      <c r="A124" s="896"/>
      <c r="B124" s="881"/>
      <c r="C124" s="901" t="s">
        <v>462</v>
      </c>
      <c r="D124" s="757">
        <v>978386</v>
      </c>
      <c r="E124" s="757">
        <v>978386</v>
      </c>
      <c r="F124" s="904">
        <v>27110</v>
      </c>
      <c r="G124" s="874">
        <f t="shared" si="8"/>
        <v>2.7708900168236261</v>
      </c>
    </row>
    <row r="125" spans="1:7" ht="24.95" customHeight="1" x14ac:dyDescent="0.25">
      <c r="A125" s="839"/>
      <c r="B125" s="881"/>
      <c r="C125" s="901" t="s">
        <v>591</v>
      </c>
      <c r="D125" s="755"/>
      <c r="E125" s="755">
        <v>5111</v>
      </c>
      <c r="F125" s="897">
        <v>2711</v>
      </c>
      <c r="G125" s="874">
        <f t="shared" si="8"/>
        <v>53.042457444727063</v>
      </c>
    </row>
    <row r="126" spans="1:7" ht="24.95" customHeight="1" x14ac:dyDescent="0.25">
      <c r="A126" s="896"/>
      <c r="B126" s="881"/>
      <c r="C126" s="758" t="s">
        <v>478</v>
      </c>
      <c r="D126" s="757">
        <v>274974</v>
      </c>
      <c r="E126" s="757">
        <v>274974</v>
      </c>
      <c r="F126" s="904">
        <v>192046</v>
      </c>
      <c r="G126" s="874">
        <f t="shared" si="8"/>
        <v>69.841512288434544</v>
      </c>
    </row>
    <row r="127" spans="1:7" ht="24.95" customHeight="1" x14ac:dyDescent="0.25">
      <c r="A127" s="839"/>
      <c r="B127" s="881"/>
      <c r="C127" s="758" t="s">
        <v>592</v>
      </c>
      <c r="D127" s="755">
        <v>11</v>
      </c>
      <c r="E127" s="755">
        <v>111</v>
      </c>
      <c r="F127" s="897"/>
      <c r="G127" s="874">
        <f t="shared" si="8"/>
        <v>0</v>
      </c>
    </row>
    <row r="128" spans="1:7" ht="24.95" customHeight="1" x14ac:dyDescent="0.25">
      <c r="A128" s="896"/>
      <c r="B128" s="881"/>
      <c r="C128" s="758" t="s">
        <v>466</v>
      </c>
      <c r="D128" s="757">
        <v>170316</v>
      </c>
      <c r="E128" s="757">
        <v>169330</v>
      </c>
      <c r="F128" s="904">
        <v>128245</v>
      </c>
      <c r="G128" s="874">
        <f t="shared" si="8"/>
        <v>75.736727100927183</v>
      </c>
    </row>
    <row r="129" spans="1:9" ht="24.95" customHeight="1" x14ac:dyDescent="0.25">
      <c r="A129" s="839"/>
      <c r="B129" s="881"/>
      <c r="C129" s="758" t="s">
        <v>580</v>
      </c>
      <c r="D129" s="755">
        <v>55596</v>
      </c>
      <c r="E129" s="755">
        <v>56582</v>
      </c>
      <c r="F129" s="897"/>
      <c r="G129" s="874">
        <f t="shared" si="8"/>
        <v>0</v>
      </c>
    </row>
    <row r="130" spans="1:9" ht="24.95" customHeight="1" x14ac:dyDescent="0.25">
      <c r="A130" s="896"/>
      <c r="B130" s="881"/>
      <c r="C130" s="901" t="s">
        <v>468</v>
      </c>
      <c r="D130" s="757">
        <v>275025</v>
      </c>
      <c r="E130" s="757">
        <v>275025</v>
      </c>
      <c r="F130" s="904">
        <v>199503</v>
      </c>
      <c r="G130" s="874">
        <f t="shared" si="8"/>
        <v>72.539950913553312</v>
      </c>
    </row>
    <row r="131" spans="1:9" ht="24.95" customHeight="1" x14ac:dyDescent="0.25">
      <c r="A131" s="839"/>
      <c r="B131" s="881"/>
      <c r="C131" s="901" t="s">
        <v>593</v>
      </c>
      <c r="D131" s="755">
        <v>4565</v>
      </c>
      <c r="E131" s="755">
        <v>4790</v>
      </c>
      <c r="F131" s="897">
        <v>200</v>
      </c>
      <c r="G131" s="874">
        <f t="shared" si="8"/>
        <v>4.1753653444676413</v>
      </c>
    </row>
    <row r="132" spans="1:9" ht="24.95" customHeight="1" x14ac:dyDescent="0.25">
      <c r="A132" s="896"/>
      <c r="B132" s="881"/>
      <c r="C132" s="758" t="s">
        <v>476</v>
      </c>
      <c r="D132" s="755">
        <v>170173</v>
      </c>
      <c r="E132" s="755">
        <v>170173</v>
      </c>
      <c r="F132" s="897">
        <v>123596</v>
      </c>
      <c r="G132" s="874">
        <f t="shared" si="8"/>
        <v>72.629618094527331</v>
      </c>
    </row>
    <row r="133" spans="1:9" ht="39.950000000000003" customHeight="1" x14ac:dyDescent="0.25">
      <c r="A133" s="839"/>
      <c r="B133" s="881"/>
      <c r="C133" s="758" t="s">
        <v>594</v>
      </c>
      <c r="D133" s="755">
        <v>3670</v>
      </c>
      <c r="E133" s="755">
        <v>3995</v>
      </c>
      <c r="F133" s="897">
        <v>200</v>
      </c>
      <c r="G133" s="874">
        <f t="shared" si="8"/>
        <v>5.0062578222778473</v>
      </c>
    </row>
    <row r="134" spans="1:9" ht="25.5" customHeight="1" x14ac:dyDescent="0.3">
      <c r="A134" s="1013"/>
      <c r="B134" s="881"/>
      <c r="C134" s="905" t="s">
        <v>461</v>
      </c>
      <c r="D134" s="755">
        <v>536036</v>
      </c>
      <c r="E134" s="755">
        <v>337995</v>
      </c>
      <c r="F134" s="897">
        <v>337563</v>
      </c>
      <c r="G134" s="874">
        <f t="shared" si="8"/>
        <v>99.87218745839435</v>
      </c>
    </row>
    <row r="135" spans="1:9" ht="39.950000000000003" customHeight="1" x14ac:dyDescent="0.25">
      <c r="A135" s="896"/>
      <c r="B135" s="881"/>
      <c r="C135" s="747" t="s">
        <v>581</v>
      </c>
      <c r="D135" s="755">
        <v>124004</v>
      </c>
      <c r="E135" s="755"/>
      <c r="F135" s="897"/>
      <c r="G135" s="874">
        <v>0</v>
      </c>
    </row>
    <row r="136" spans="1:9" s="1016" customFormat="1" ht="39.950000000000003" customHeight="1" x14ac:dyDescent="0.25">
      <c r="A136" s="896"/>
      <c r="B136" s="1015"/>
      <c r="C136" s="901" t="s">
        <v>639</v>
      </c>
      <c r="D136" s="755">
        <v>82785</v>
      </c>
      <c r="E136" s="755">
        <v>46702</v>
      </c>
      <c r="F136" s="897">
        <f>40+572+171</f>
        <v>783</v>
      </c>
      <c r="G136" s="874">
        <f>+F136/E136*100</f>
        <v>1.6765877264356985</v>
      </c>
    </row>
    <row r="137" spans="1:9" ht="24.95" customHeight="1" x14ac:dyDescent="0.25">
      <c r="A137" s="896"/>
      <c r="B137" s="881"/>
      <c r="C137" s="901" t="s">
        <v>479</v>
      </c>
      <c r="D137" s="757">
        <v>64712</v>
      </c>
      <c r="E137" s="757">
        <v>66603</v>
      </c>
      <c r="F137" s="904">
        <v>49169</v>
      </c>
      <c r="G137" s="874">
        <f t="shared" si="8"/>
        <v>73.824001921835361</v>
      </c>
    </row>
    <row r="138" spans="1:9" ht="24.95" customHeight="1" x14ac:dyDescent="0.25">
      <c r="A138" s="839"/>
      <c r="B138" s="881"/>
      <c r="C138" s="901" t="s">
        <v>595</v>
      </c>
      <c r="D138" s="755">
        <v>5146</v>
      </c>
      <c r="E138" s="755">
        <v>6088</v>
      </c>
      <c r="F138" s="897">
        <v>140</v>
      </c>
      <c r="G138" s="874">
        <f t="shared" si="8"/>
        <v>2.2996057818659659</v>
      </c>
    </row>
    <row r="139" spans="1:9" ht="24.95" customHeight="1" x14ac:dyDescent="0.25">
      <c r="A139" s="896"/>
      <c r="B139" s="881"/>
      <c r="C139" s="758" t="s">
        <v>483</v>
      </c>
      <c r="D139" s="756">
        <v>357114</v>
      </c>
      <c r="E139" s="756">
        <v>330370</v>
      </c>
      <c r="F139" s="908">
        <v>185612</v>
      </c>
      <c r="G139" s="874">
        <f t="shared" si="8"/>
        <v>56.183067469806581</v>
      </c>
    </row>
    <row r="140" spans="1:9" ht="24.95" customHeight="1" x14ac:dyDescent="0.25">
      <c r="A140" s="839"/>
      <c r="B140" s="881"/>
      <c r="C140" s="758" t="s">
        <v>582</v>
      </c>
      <c r="D140" s="755"/>
      <c r="E140" s="755">
        <v>26590</v>
      </c>
      <c r="F140" s="897"/>
      <c r="G140" s="874">
        <f t="shared" si="8"/>
        <v>0</v>
      </c>
    </row>
    <row r="141" spans="1:9" ht="24.95" customHeight="1" x14ac:dyDescent="0.25">
      <c r="A141" s="839"/>
      <c r="B141" s="881"/>
      <c r="C141" s="758" t="s">
        <v>596</v>
      </c>
      <c r="D141" s="755"/>
      <c r="E141" s="755">
        <v>316</v>
      </c>
      <c r="F141" s="897">
        <v>316</v>
      </c>
      <c r="G141" s="874">
        <f t="shared" si="8"/>
        <v>100</v>
      </c>
    </row>
    <row r="142" spans="1:9" ht="39.950000000000003" customHeight="1" x14ac:dyDescent="0.25">
      <c r="A142" s="839"/>
      <c r="B142" s="881"/>
      <c r="C142" s="754" t="s">
        <v>1785</v>
      </c>
      <c r="D142" s="755"/>
      <c r="E142" s="755">
        <v>3175</v>
      </c>
      <c r="F142" s="897">
        <v>2858</v>
      </c>
      <c r="G142" s="874">
        <f t="shared" si="8"/>
        <v>90.015748031496074</v>
      </c>
    </row>
    <row r="143" spans="1:9" ht="39.950000000000003" customHeight="1" x14ac:dyDescent="0.25">
      <c r="A143" s="839"/>
      <c r="B143" s="881"/>
      <c r="C143" s="754" t="s">
        <v>1786</v>
      </c>
      <c r="D143" s="755"/>
      <c r="E143" s="755">
        <v>3810</v>
      </c>
      <c r="F143" s="897"/>
      <c r="G143" s="874">
        <f t="shared" si="8"/>
        <v>0</v>
      </c>
    </row>
    <row r="144" spans="1:9" ht="26.1" customHeight="1" x14ac:dyDescent="0.25">
      <c r="A144" s="839"/>
      <c r="B144" s="862"/>
      <c r="C144" s="877" t="s">
        <v>69</v>
      </c>
      <c r="D144" s="909">
        <f>SUM(D30:D143)</f>
        <v>16223637</v>
      </c>
      <c r="E144" s="909">
        <f>SUM(E30:E143)</f>
        <v>17149372</v>
      </c>
      <c r="F144" s="909">
        <f>SUM(F30:F143)</f>
        <v>4777879</v>
      </c>
      <c r="G144" s="910">
        <f>+F144/E144*100</f>
        <v>27.86037296292832</v>
      </c>
      <c r="I144" s="83"/>
    </row>
    <row r="145" spans="1:7" s="808" customFormat="1" ht="26.1" customHeight="1" x14ac:dyDescent="0.25">
      <c r="A145" s="911"/>
      <c r="B145" s="805" t="s">
        <v>305</v>
      </c>
      <c r="C145" s="806" t="s">
        <v>28</v>
      </c>
      <c r="D145" s="804">
        <v>0</v>
      </c>
      <c r="E145" s="804">
        <v>0</v>
      </c>
      <c r="F145" s="804">
        <v>0</v>
      </c>
      <c r="G145" s="807">
        <v>0</v>
      </c>
    </row>
    <row r="146" spans="1:7" s="403" customFormat="1" ht="24.75" customHeight="1" thickBot="1" x14ac:dyDescent="0.3">
      <c r="A146" s="839"/>
      <c r="B146" s="912" t="s">
        <v>464</v>
      </c>
      <c r="C146" s="913" t="s">
        <v>97</v>
      </c>
      <c r="D146" s="914">
        <v>10000</v>
      </c>
      <c r="E146" s="914">
        <v>26105</v>
      </c>
      <c r="F146" s="914">
        <v>22536</v>
      </c>
      <c r="G146" s="915">
        <f>+F146/E146*100</f>
        <v>86.328289599693548</v>
      </c>
    </row>
    <row r="147" spans="1:7" ht="26.1" customHeight="1" thickBot="1" x14ac:dyDescent="0.3">
      <c r="A147" s="839"/>
      <c r="B147" s="916"/>
      <c r="C147" s="917" t="s">
        <v>256</v>
      </c>
      <c r="D147" s="918">
        <f>D15+D16+D21+D22+D27+D144+D146+D18+D145</f>
        <v>16453237</v>
      </c>
      <c r="E147" s="918">
        <f>E15+E16+E21+E22+E27+E144+E146+E18+E145</f>
        <v>17541394</v>
      </c>
      <c r="F147" s="918">
        <f>F15+F16+F21+F22+F27+F144+F146+F18+F145</f>
        <v>4869611</v>
      </c>
      <c r="G147" s="919">
        <f>+F147/E147*100</f>
        <v>27.76068424208475</v>
      </c>
    </row>
    <row r="148" spans="1:7" ht="30.75" customHeight="1" x14ac:dyDescent="0.25">
      <c r="A148" s="839"/>
      <c r="B148" s="920"/>
      <c r="C148" s="920"/>
      <c r="D148" s="921"/>
      <c r="E148" s="922"/>
      <c r="F148" s="922"/>
      <c r="G148" s="920"/>
    </row>
    <row r="149" spans="1:7" ht="15" customHeight="1" x14ac:dyDescent="0.25">
      <c r="A149" s="839"/>
      <c r="B149" s="920"/>
      <c r="C149" s="920"/>
      <c r="D149" s="921"/>
      <c r="E149" s="922"/>
      <c r="F149" s="922"/>
      <c r="G149" s="920"/>
    </row>
    <row r="150" spans="1:7" ht="15" customHeight="1" x14ac:dyDescent="0.25">
      <c r="A150" s="839"/>
      <c r="B150" s="920"/>
      <c r="C150" s="920"/>
      <c r="D150" s="921"/>
      <c r="E150" s="922"/>
      <c r="F150" s="922"/>
      <c r="G150" s="920"/>
    </row>
    <row r="151" spans="1:7" ht="15" customHeight="1" x14ac:dyDescent="0.25">
      <c r="A151" s="839"/>
      <c r="B151" s="920"/>
      <c r="C151" s="920"/>
      <c r="D151" s="921"/>
      <c r="E151" s="922"/>
      <c r="F151" s="922"/>
      <c r="G151" s="920"/>
    </row>
    <row r="152" spans="1:7" ht="15" customHeight="1" x14ac:dyDescent="0.25">
      <c r="A152" s="839"/>
      <c r="B152" s="920"/>
      <c r="C152" s="920"/>
      <c r="D152" s="921"/>
      <c r="E152" s="922"/>
      <c r="F152" s="922"/>
      <c r="G152" s="920"/>
    </row>
    <row r="153" spans="1:7" ht="15" customHeight="1" x14ac:dyDescent="0.25">
      <c r="A153" s="839"/>
      <c r="B153" s="920"/>
      <c r="C153" s="920"/>
      <c r="D153" s="921"/>
      <c r="E153" s="922"/>
      <c r="F153" s="922"/>
      <c r="G153" s="920"/>
    </row>
    <row r="154" spans="1:7" ht="15" customHeight="1" x14ac:dyDescent="0.25">
      <c r="A154" s="839"/>
      <c r="B154" s="920"/>
      <c r="C154" s="920"/>
      <c r="D154" s="921"/>
      <c r="E154" s="922"/>
      <c r="F154" s="922"/>
      <c r="G154" s="920"/>
    </row>
    <row r="155" spans="1:7" ht="15" customHeight="1" x14ac:dyDescent="0.25">
      <c r="A155" s="839"/>
      <c r="B155" s="920"/>
      <c r="C155" s="920"/>
      <c r="D155" s="921"/>
      <c r="E155" s="922"/>
      <c r="F155" s="922"/>
      <c r="G155" s="920"/>
    </row>
    <row r="156" spans="1:7" ht="15" customHeight="1" x14ac:dyDescent="0.25">
      <c r="A156" s="839"/>
      <c r="B156" s="920"/>
      <c r="C156" s="920"/>
      <c r="D156" s="921"/>
      <c r="E156" s="922"/>
      <c r="F156" s="922"/>
      <c r="G156" s="920"/>
    </row>
    <row r="157" spans="1:7" ht="15" customHeight="1" x14ac:dyDescent="0.25">
      <c r="A157" s="839"/>
      <c r="B157" s="920"/>
      <c r="C157" s="920"/>
      <c r="D157" s="921"/>
      <c r="E157" s="922"/>
      <c r="F157" s="922"/>
      <c r="G157" s="920"/>
    </row>
    <row r="158" spans="1:7" ht="15" customHeight="1" x14ac:dyDescent="0.25">
      <c r="A158" s="839"/>
      <c r="B158" s="920"/>
      <c r="C158" s="920"/>
      <c r="D158" s="921"/>
      <c r="E158" s="922"/>
      <c r="F158" s="922"/>
      <c r="G158" s="920"/>
    </row>
    <row r="159" spans="1:7" ht="15" customHeight="1" x14ac:dyDescent="0.25">
      <c r="D159" s="41"/>
    </row>
    <row r="160" spans="1:7" ht="15" customHeight="1" x14ac:dyDescent="0.25">
      <c r="D160" s="41"/>
    </row>
    <row r="161" spans="1:7" ht="15" customHeight="1" x14ac:dyDescent="0.25">
      <c r="D161" s="41"/>
    </row>
    <row r="162" spans="1:7" ht="15" customHeight="1" x14ac:dyDescent="0.25">
      <c r="D162" s="41"/>
      <c r="G162" s="83"/>
    </row>
    <row r="163" spans="1:7" ht="15" customHeight="1" x14ac:dyDescent="0.25">
      <c r="D163" s="41"/>
    </row>
    <row r="164" spans="1:7" s="83" customFormat="1" ht="15" customHeight="1" x14ac:dyDescent="0.25">
      <c r="A164" s="810"/>
      <c r="B164" s="40"/>
      <c r="C164" s="40"/>
      <c r="D164" s="41"/>
      <c r="G164" s="40"/>
    </row>
    <row r="165" spans="1:7" s="83" customFormat="1" ht="15" customHeight="1" x14ac:dyDescent="0.25">
      <c r="A165" s="810"/>
      <c r="B165" s="40"/>
      <c r="C165" s="40"/>
      <c r="D165" s="41"/>
      <c r="G165" s="40"/>
    </row>
    <row r="166" spans="1:7" s="83" customFormat="1" ht="15" customHeight="1" x14ac:dyDescent="0.25">
      <c r="A166" s="810"/>
      <c r="B166" s="40"/>
      <c r="C166" s="40"/>
      <c r="D166" s="41"/>
      <c r="G166" s="40"/>
    </row>
    <row r="167" spans="1:7" s="83" customFormat="1" ht="15" customHeight="1" x14ac:dyDescent="0.25">
      <c r="A167" s="810"/>
      <c r="B167" s="40"/>
      <c r="C167" s="40"/>
      <c r="D167" s="41"/>
      <c r="G167" s="40"/>
    </row>
    <row r="168" spans="1:7" s="83" customFormat="1" ht="15" customHeight="1" x14ac:dyDescent="0.25">
      <c r="A168" s="810"/>
      <c r="B168" s="40"/>
      <c r="C168" s="40"/>
      <c r="D168" s="41"/>
      <c r="G168" s="40"/>
    </row>
    <row r="169" spans="1:7" s="83" customFormat="1" ht="15" customHeight="1" x14ac:dyDescent="0.25">
      <c r="A169" s="810"/>
      <c r="B169" s="40"/>
      <c r="C169" s="40"/>
      <c r="D169" s="41"/>
      <c r="G169" s="40"/>
    </row>
    <row r="170" spans="1:7" s="83" customFormat="1" ht="15" customHeight="1" x14ac:dyDescent="0.25">
      <c r="A170" s="810"/>
      <c r="B170" s="40"/>
      <c r="C170" s="40"/>
      <c r="D170" s="41"/>
      <c r="G170" s="40"/>
    </row>
    <row r="171" spans="1:7" s="83" customFormat="1" ht="15" customHeight="1" x14ac:dyDescent="0.25">
      <c r="A171" s="810"/>
      <c r="B171" s="40"/>
      <c r="C171" s="40"/>
      <c r="D171" s="41"/>
      <c r="G171" s="40"/>
    </row>
    <row r="172" spans="1:7" s="83" customFormat="1" ht="15" customHeight="1" x14ac:dyDescent="0.25">
      <c r="A172" s="810"/>
      <c r="B172" s="40"/>
      <c r="C172" s="40"/>
      <c r="D172" s="41"/>
      <c r="G172" s="40"/>
    </row>
    <row r="173" spans="1:7" s="83" customFormat="1" ht="15" customHeight="1" x14ac:dyDescent="0.25">
      <c r="A173" s="810"/>
      <c r="B173" s="40"/>
      <c r="C173" s="40"/>
      <c r="D173" s="41"/>
      <c r="G173" s="40"/>
    </row>
    <row r="174" spans="1:7" s="83" customFormat="1" ht="15" customHeight="1" x14ac:dyDescent="0.25">
      <c r="A174" s="810"/>
      <c r="B174" s="40"/>
      <c r="C174" s="40"/>
      <c r="D174" s="41"/>
      <c r="G174" s="40"/>
    </row>
    <row r="175" spans="1:7" s="83" customFormat="1" ht="15" customHeight="1" x14ac:dyDescent="0.25">
      <c r="A175" s="810"/>
      <c r="B175" s="40"/>
      <c r="C175" s="40"/>
      <c r="D175" s="41"/>
      <c r="G175" s="40"/>
    </row>
    <row r="176" spans="1:7" s="83" customFormat="1" ht="15" customHeight="1" x14ac:dyDescent="0.25">
      <c r="A176" s="810"/>
      <c r="B176" s="40"/>
      <c r="C176" s="40"/>
      <c r="D176" s="41"/>
      <c r="G176" s="40"/>
    </row>
    <row r="177" spans="1:7" s="83" customFormat="1" ht="15" customHeight="1" x14ac:dyDescent="0.25">
      <c r="A177" s="810"/>
      <c r="B177" s="40"/>
      <c r="C177" s="40"/>
      <c r="D177" s="41"/>
      <c r="G177" s="40"/>
    </row>
    <row r="178" spans="1:7" s="83" customFormat="1" ht="15" customHeight="1" x14ac:dyDescent="0.25">
      <c r="A178" s="810"/>
      <c r="B178" s="40"/>
      <c r="C178" s="40"/>
      <c r="D178" s="41"/>
      <c r="G178" s="40"/>
    </row>
    <row r="179" spans="1:7" s="83" customFormat="1" ht="15" customHeight="1" x14ac:dyDescent="0.25">
      <c r="A179" s="810"/>
      <c r="B179" s="40"/>
      <c r="C179" s="40"/>
      <c r="D179" s="41"/>
      <c r="G179" s="40"/>
    </row>
    <row r="180" spans="1:7" s="83" customFormat="1" ht="15" customHeight="1" x14ac:dyDescent="0.25">
      <c r="A180" s="810"/>
      <c r="B180" s="40"/>
      <c r="C180" s="40"/>
      <c r="D180" s="41"/>
      <c r="G180" s="40"/>
    </row>
    <row r="181" spans="1:7" s="83" customFormat="1" ht="15" customHeight="1" x14ac:dyDescent="0.25">
      <c r="A181" s="810"/>
      <c r="B181" s="40"/>
      <c r="C181" s="40"/>
      <c r="D181" s="41"/>
      <c r="G181" s="40"/>
    </row>
    <row r="182" spans="1:7" s="83" customFormat="1" ht="15" customHeight="1" x14ac:dyDescent="0.25">
      <c r="A182" s="810"/>
      <c r="B182" s="40"/>
      <c r="C182" s="40"/>
      <c r="D182" s="41"/>
      <c r="G182" s="40"/>
    </row>
    <row r="183" spans="1:7" s="83" customFormat="1" ht="15" customHeight="1" x14ac:dyDescent="0.25">
      <c r="A183" s="810"/>
      <c r="B183" s="40"/>
      <c r="C183" s="40"/>
      <c r="D183" s="41"/>
      <c r="G183" s="40"/>
    </row>
    <row r="184" spans="1:7" s="83" customFormat="1" ht="15" customHeight="1" x14ac:dyDescent="0.25">
      <c r="A184" s="810"/>
      <c r="B184" s="40"/>
      <c r="C184" s="40"/>
      <c r="D184" s="41"/>
      <c r="G184" s="40"/>
    </row>
    <row r="185" spans="1:7" s="83" customFormat="1" ht="15" customHeight="1" x14ac:dyDescent="0.25">
      <c r="A185" s="810"/>
      <c r="B185" s="40"/>
      <c r="C185" s="40"/>
      <c r="D185" s="41"/>
      <c r="G185" s="40"/>
    </row>
    <row r="186" spans="1:7" s="83" customFormat="1" ht="15" customHeight="1" x14ac:dyDescent="0.25">
      <c r="A186" s="810"/>
      <c r="B186" s="40"/>
      <c r="C186" s="40"/>
      <c r="D186" s="41"/>
      <c r="G186" s="40"/>
    </row>
    <row r="187" spans="1:7" s="83" customFormat="1" ht="15" customHeight="1" x14ac:dyDescent="0.25">
      <c r="A187" s="810"/>
      <c r="B187" s="40"/>
      <c r="C187" s="40"/>
      <c r="D187" s="41"/>
      <c r="G187" s="40"/>
    </row>
    <row r="188" spans="1:7" s="83" customFormat="1" ht="15" customHeight="1" x14ac:dyDescent="0.25">
      <c r="A188" s="810"/>
      <c r="B188" s="40"/>
      <c r="C188" s="40"/>
      <c r="D188" s="41"/>
      <c r="G188" s="40"/>
    </row>
    <row r="189" spans="1:7" s="83" customFormat="1" ht="15" customHeight="1" x14ac:dyDescent="0.25">
      <c r="A189" s="810"/>
      <c r="B189" s="40"/>
      <c r="C189" s="40"/>
      <c r="D189" s="41"/>
      <c r="G189" s="40"/>
    </row>
    <row r="190" spans="1:7" s="83" customFormat="1" ht="15" customHeight="1" x14ac:dyDescent="0.25">
      <c r="A190" s="810"/>
      <c r="B190" s="40"/>
      <c r="C190" s="40"/>
      <c r="D190" s="41"/>
      <c r="G190" s="40"/>
    </row>
    <row r="191" spans="1:7" s="83" customFormat="1" ht="15" customHeight="1" x14ac:dyDescent="0.25">
      <c r="A191" s="810"/>
      <c r="B191" s="40"/>
      <c r="C191" s="40"/>
      <c r="D191" s="41"/>
      <c r="G191" s="40"/>
    </row>
    <row r="192" spans="1:7" s="83" customFormat="1" ht="15" customHeight="1" x14ac:dyDescent="0.25">
      <c r="A192" s="810"/>
      <c r="B192" s="40"/>
      <c r="C192" s="40"/>
      <c r="D192" s="41"/>
      <c r="G192" s="40"/>
    </row>
    <row r="193" spans="1:7" s="83" customFormat="1" ht="15" customHeight="1" x14ac:dyDescent="0.25">
      <c r="A193" s="810"/>
      <c r="B193" s="40"/>
      <c r="C193" s="40"/>
      <c r="D193" s="41"/>
      <c r="G193" s="40"/>
    </row>
    <row r="194" spans="1:7" s="83" customFormat="1" ht="15" customHeight="1" x14ac:dyDescent="0.25">
      <c r="A194" s="810"/>
      <c r="B194" s="40"/>
      <c r="C194" s="40"/>
      <c r="D194" s="41"/>
      <c r="G194" s="40"/>
    </row>
    <row r="195" spans="1:7" s="83" customFormat="1" ht="15" customHeight="1" x14ac:dyDescent="0.25">
      <c r="A195" s="810"/>
      <c r="B195" s="40"/>
      <c r="C195" s="40"/>
      <c r="D195" s="41"/>
      <c r="G195" s="40"/>
    </row>
    <row r="196" spans="1:7" s="83" customFormat="1" ht="15" customHeight="1" x14ac:dyDescent="0.25">
      <c r="A196" s="810"/>
      <c r="B196" s="40"/>
      <c r="C196" s="40"/>
      <c r="D196" s="41"/>
      <c r="G196" s="40"/>
    </row>
    <row r="197" spans="1:7" s="83" customFormat="1" ht="15" customHeight="1" x14ac:dyDescent="0.25">
      <c r="A197" s="810"/>
      <c r="B197" s="40"/>
      <c r="C197" s="40"/>
      <c r="D197" s="41"/>
      <c r="G197" s="40"/>
    </row>
    <row r="198" spans="1:7" s="83" customFormat="1" ht="15" customHeight="1" x14ac:dyDescent="0.25">
      <c r="A198" s="810"/>
      <c r="B198" s="40"/>
      <c r="C198" s="40"/>
      <c r="D198" s="41"/>
      <c r="G198" s="40"/>
    </row>
    <row r="199" spans="1:7" s="83" customFormat="1" ht="15" customHeight="1" x14ac:dyDescent="0.25">
      <c r="A199" s="810"/>
      <c r="B199" s="40"/>
      <c r="C199" s="40"/>
      <c r="D199" s="41"/>
      <c r="G199" s="40"/>
    </row>
    <row r="200" spans="1:7" s="83" customFormat="1" ht="15" customHeight="1" x14ac:dyDescent="0.25">
      <c r="A200" s="810"/>
      <c r="B200" s="40"/>
      <c r="C200" s="40"/>
      <c r="D200" s="41"/>
      <c r="G200" s="40"/>
    </row>
    <row r="201" spans="1:7" s="83" customFormat="1" ht="15" customHeight="1" x14ac:dyDescent="0.25">
      <c r="A201" s="810"/>
      <c r="B201" s="40"/>
      <c r="C201" s="40"/>
      <c r="D201" s="41"/>
      <c r="G201" s="40"/>
    </row>
    <row r="202" spans="1:7" s="83" customFormat="1" ht="15" customHeight="1" x14ac:dyDescent="0.25">
      <c r="A202" s="810"/>
      <c r="B202" s="40"/>
      <c r="C202" s="40"/>
      <c r="D202" s="41"/>
      <c r="G202" s="40"/>
    </row>
    <row r="203" spans="1:7" s="83" customFormat="1" ht="15" customHeight="1" x14ac:dyDescent="0.25">
      <c r="A203" s="810"/>
      <c r="B203" s="40"/>
      <c r="C203" s="40"/>
      <c r="D203" s="41"/>
      <c r="G203" s="40"/>
    </row>
    <row r="204" spans="1:7" s="83" customFormat="1" ht="15" customHeight="1" x14ac:dyDescent="0.25">
      <c r="A204" s="810"/>
      <c r="B204" s="40"/>
      <c r="C204" s="40"/>
      <c r="D204" s="41"/>
      <c r="G204" s="40"/>
    </row>
    <row r="205" spans="1:7" s="83" customFormat="1" ht="15" customHeight="1" x14ac:dyDescent="0.25">
      <c r="A205" s="810"/>
      <c r="B205" s="40"/>
      <c r="C205" s="40"/>
      <c r="D205" s="41"/>
      <c r="G205" s="40"/>
    </row>
    <row r="206" spans="1:7" s="83" customFormat="1" ht="15" customHeight="1" x14ac:dyDescent="0.25">
      <c r="A206" s="810"/>
      <c r="B206" s="40"/>
      <c r="C206" s="40"/>
      <c r="D206" s="41"/>
      <c r="G206" s="40"/>
    </row>
    <row r="207" spans="1:7" s="83" customFormat="1" ht="15" customHeight="1" x14ac:dyDescent="0.25">
      <c r="A207" s="810"/>
      <c r="B207" s="40"/>
      <c r="C207" s="40"/>
      <c r="D207" s="41"/>
      <c r="G207" s="40"/>
    </row>
    <row r="208" spans="1:7" s="83" customFormat="1" ht="15" customHeight="1" x14ac:dyDescent="0.25">
      <c r="A208" s="810"/>
      <c r="B208" s="40"/>
      <c r="C208" s="40"/>
      <c r="D208" s="41"/>
      <c r="G208" s="40"/>
    </row>
    <row r="209" spans="1:7" s="83" customFormat="1" ht="15" customHeight="1" x14ac:dyDescent="0.25">
      <c r="A209" s="810"/>
      <c r="B209" s="40"/>
      <c r="C209" s="40"/>
      <c r="D209" s="41"/>
      <c r="G209" s="40"/>
    </row>
    <row r="210" spans="1:7" s="83" customFormat="1" ht="15" customHeight="1" x14ac:dyDescent="0.25">
      <c r="A210" s="810"/>
      <c r="B210" s="40"/>
      <c r="C210" s="40"/>
      <c r="D210" s="41"/>
      <c r="G210" s="40"/>
    </row>
    <row r="211" spans="1:7" s="83" customFormat="1" ht="15" customHeight="1" x14ac:dyDescent="0.25">
      <c r="A211" s="810"/>
      <c r="B211" s="40"/>
      <c r="C211" s="40"/>
      <c r="D211" s="41"/>
      <c r="G211" s="40"/>
    </row>
    <row r="212" spans="1:7" s="83" customFormat="1" ht="15" customHeight="1" x14ac:dyDescent="0.25">
      <c r="A212" s="810"/>
      <c r="B212" s="40"/>
      <c r="C212" s="40"/>
      <c r="D212" s="41"/>
      <c r="G212" s="40"/>
    </row>
    <row r="213" spans="1:7" s="83" customFormat="1" ht="15" customHeight="1" x14ac:dyDescent="0.25">
      <c r="A213" s="810"/>
      <c r="B213" s="40"/>
      <c r="C213" s="40"/>
      <c r="D213" s="41"/>
      <c r="G213" s="40"/>
    </row>
    <row r="214" spans="1:7" s="83" customFormat="1" ht="15" customHeight="1" x14ac:dyDescent="0.25">
      <c r="A214" s="810"/>
      <c r="B214" s="40"/>
      <c r="C214" s="40"/>
      <c r="D214" s="41"/>
      <c r="G214" s="40"/>
    </row>
    <row r="215" spans="1:7" s="83" customFormat="1" ht="15" customHeight="1" x14ac:dyDescent="0.25">
      <c r="A215" s="810"/>
      <c r="B215" s="40"/>
      <c r="C215" s="40"/>
      <c r="D215" s="41"/>
      <c r="G215" s="40"/>
    </row>
    <row r="216" spans="1:7" s="83" customFormat="1" ht="15" customHeight="1" x14ac:dyDescent="0.25">
      <c r="A216" s="810"/>
      <c r="B216" s="40"/>
      <c r="C216" s="40"/>
      <c r="D216" s="41"/>
      <c r="G216" s="40"/>
    </row>
    <row r="217" spans="1:7" s="83" customFormat="1" ht="15" customHeight="1" x14ac:dyDescent="0.25">
      <c r="A217" s="810"/>
      <c r="B217" s="40"/>
      <c r="C217" s="40"/>
      <c r="D217" s="41"/>
      <c r="G217" s="40"/>
    </row>
    <row r="218" spans="1:7" s="83" customFormat="1" ht="15" customHeight="1" x14ac:dyDescent="0.25">
      <c r="A218" s="810"/>
      <c r="B218" s="40"/>
      <c r="C218" s="40"/>
      <c r="D218" s="41"/>
      <c r="G218" s="40"/>
    </row>
    <row r="219" spans="1:7" s="83" customFormat="1" ht="15" customHeight="1" x14ac:dyDescent="0.25">
      <c r="A219" s="810"/>
      <c r="B219" s="40"/>
      <c r="C219" s="40"/>
      <c r="D219" s="41"/>
      <c r="G219" s="40"/>
    </row>
    <row r="220" spans="1:7" s="83" customFormat="1" ht="15" customHeight="1" x14ac:dyDescent="0.25">
      <c r="A220" s="810"/>
      <c r="B220" s="40"/>
      <c r="C220" s="40"/>
      <c r="D220" s="41"/>
      <c r="G220" s="40"/>
    </row>
    <row r="221" spans="1:7" s="83" customFormat="1" ht="15" customHeight="1" x14ac:dyDescent="0.25">
      <c r="A221" s="810"/>
      <c r="B221" s="40"/>
      <c r="C221" s="40"/>
      <c r="D221" s="41"/>
      <c r="G221" s="40"/>
    </row>
    <row r="222" spans="1:7" s="83" customFormat="1" ht="15" customHeight="1" x14ac:dyDescent="0.25">
      <c r="A222" s="810"/>
      <c r="B222" s="40"/>
      <c r="C222" s="40"/>
      <c r="D222" s="41"/>
      <c r="G222" s="40"/>
    </row>
    <row r="223" spans="1:7" s="83" customFormat="1" ht="15" customHeight="1" x14ac:dyDescent="0.25">
      <c r="A223" s="810"/>
      <c r="B223" s="40"/>
      <c r="C223" s="40"/>
      <c r="D223" s="41"/>
      <c r="G223" s="40"/>
    </row>
    <row r="224" spans="1:7" s="83" customFormat="1" ht="15" customHeight="1" x14ac:dyDescent="0.25">
      <c r="A224" s="810"/>
      <c r="B224" s="40"/>
      <c r="C224" s="40"/>
      <c r="D224" s="41"/>
      <c r="G224" s="40"/>
    </row>
    <row r="225" spans="1:7" s="83" customFormat="1" ht="15" customHeight="1" x14ac:dyDescent="0.25">
      <c r="A225" s="810"/>
      <c r="B225" s="40"/>
      <c r="C225" s="40"/>
      <c r="D225" s="41"/>
      <c r="G225" s="40"/>
    </row>
    <row r="226" spans="1:7" s="83" customFormat="1" ht="15" customHeight="1" x14ac:dyDescent="0.25">
      <c r="A226" s="810"/>
      <c r="B226" s="40"/>
      <c r="C226" s="40"/>
      <c r="D226" s="41"/>
      <c r="G226" s="40"/>
    </row>
    <row r="227" spans="1:7" s="83" customFormat="1" ht="15" customHeight="1" x14ac:dyDescent="0.25">
      <c r="A227" s="810"/>
      <c r="B227" s="40"/>
      <c r="C227" s="40"/>
      <c r="D227" s="41"/>
      <c r="G227" s="40"/>
    </row>
    <row r="228" spans="1:7" s="83" customFormat="1" ht="15" customHeight="1" x14ac:dyDescent="0.25">
      <c r="A228" s="810"/>
      <c r="B228" s="40"/>
      <c r="C228" s="40"/>
      <c r="D228" s="41"/>
      <c r="G228" s="40"/>
    </row>
    <row r="229" spans="1:7" s="83" customFormat="1" ht="15" customHeight="1" x14ac:dyDescent="0.25">
      <c r="A229" s="810"/>
      <c r="B229" s="40"/>
      <c r="C229" s="40"/>
      <c r="D229" s="41"/>
      <c r="G229" s="40"/>
    </row>
    <row r="230" spans="1:7" s="83" customFormat="1" ht="15" customHeight="1" x14ac:dyDescent="0.25">
      <c r="A230" s="810"/>
      <c r="B230" s="40"/>
      <c r="C230" s="40"/>
      <c r="D230" s="41"/>
      <c r="G230" s="40"/>
    </row>
    <row r="231" spans="1:7" s="83" customFormat="1" ht="15" customHeight="1" x14ac:dyDescent="0.25">
      <c r="A231" s="810"/>
      <c r="B231" s="40"/>
      <c r="C231" s="40"/>
      <c r="D231" s="41"/>
      <c r="G231" s="40"/>
    </row>
    <row r="232" spans="1:7" s="83" customFormat="1" ht="15" customHeight="1" x14ac:dyDescent="0.25">
      <c r="A232" s="810"/>
      <c r="B232" s="40"/>
      <c r="C232" s="40"/>
      <c r="D232" s="41"/>
      <c r="G232" s="40"/>
    </row>
    <row r="233" spans="1:7" s="83" customFormat="1" ht="15" customHeight="1" x14ac:dyDescent="0.25">
      <c r="A233" s="810"/>
      <c r="B233" s="40"/>
      <c r="C233" s="40"/>
      <c r="D233" s="41"/>
      <c r="G233" s="40"/>
    </row>
    <row r="234" spans="1:7" s="83" customFormat="1" ht="15" customHeight="1" x14ac:dyDescent="0.25">
      <c r="A234" s="810"/>
      <c r="B234" s="40"/>
      <c r="C234" s="40"/>
      <c r="D234" s="41"/>
      <c r="G234" s="40"/>
    </row>
    <row r="235" spans="1:7" s="83" customFormat="1" ht="15" customHeight="1" x14ac:dyDescent="0.25">
      <c r="A235" s="810"/>
      <c r="B235" s="40"/>
      <c r="C235" s="40"/>
      <c r="D235" s="41"/>
      <c r="G235" s="40"/>
    </row>
    <row r="236" spans="1:7" s="83" customFormat="1" ht="15" customHeight="1" x14ac:dyDescent="0.25">
      <c r="A236" s="810"/>
      <c r="B236" s="40"/>
      <c r="C236" s="40"/>
      <c r="D236" s="41"/>
      <c r="G236" s="40"/>
    </row>
    <row r="237" spans="1:7" s="83" customFormat="1" ht="15" customHeight="1" x14ac:dyDescent="0.25">
      <c r="A237" s="810"/>
      <c r="B237" s="40"/>
      <c r="C237" s="40"/>
      <c r="D237" s="41"/>
      <c r="G237" s="40"/>
    </row>
    <row r="238" spans="1:7" s="83" customFormat="1" ht="15" customHeight="1" x14ac:dyDescent="0.25">
      <c r="A238" s="810"/>
      <c r="B238" s="40"/>
      <c r="C238" s="40"/>
      <c r="D238" s="41"/>
      <c r="G238" s="40"/>
    </row>
    <row r="239" spans="1:7" s="83" customFormat="1" ht="15" customHeight="1" x14ac:dyDescent="0.25">
      <c r="A239" s="810"/>
      <c r="B239" s="40"/>
      <c r="C239" s="40"/>
      <c r="D239" s="41"/>
      <c r="G239" s="40"/>
    </row>
    <row r="240" spans="1:7" s="83" customFormat="1" ht="15" customHeight="1" x14ac:dyDescent="0.25">
      <c r="A240" s="810"/>
      <c r="B240" s="40"/>
      <c r="C240" s="40"/>
      <c r="D240" s="41"/>
      <c r="G240" s="40"/>
    </row>
    <row r="241" spans="1:7" s="83" customFormat="1" ht="15" customHeight="1" x14ac:dyDescent="0.25">
      <c r="A241" s="810"/>
      <c r="B241" s="40"/>
      <c r="C241" s="40"/>
      <c r="D241" s="41"/>
      <c r="G241" s="40"/>
    </row>
    <row r="242" spans="1:7" s="83" customFormat="1" ht="15" customHeight="1" x14ac:dyDescent="0.25">
      <c r="A242" s="810"/>
      <c r="B242" s="40"/>
      <c r="C242" s="40"/>
      <c r="D242" s="41"/>
      <c r="G242" s="40"/>
    </row>
    <row r="243" spans="1:7" s="83" customFormat="1" ht="15" customHeight="1" x14ac:dyDescent="0.25">
      <c r="A243" s="810"/>
      <c r="B243" s="40"/>
      <c r="C243" s="40"/>
      <c r="D243" s="41"/>
      <c r="G243" s="40"/>
    </row>
    <row r="244" spans="1:7" s="83" customFormat="1" ht="15" customHeight="1" x14ac:dyDescent="0.25">
      <c r="A244" s="810"/>
      <c r="B244" s="40"/>
      <c r="C244" s="40"/>
      <c r="D244" s="41"/>
      <c r="G244" s="40"/>
    </row>
    <row r="245" spans="1:7" s="83" customFormat="1" ht="15" customHeight="1" x14ac:dyDescent="0.25">
      <c r="A245" s="810"/>
      <c r="B245" s="40"/>
      <c r="C245" s="40"/>
      <c r="D245" s="41"/>
      <c r="G245" s="40"/>
    </row>
    <row r="246" spans="1:7" s="83" customFormat="1" ht="15" customHeight="1" x14ac:dyDescent="0.25">
      <c r="A246" s="810"/>
      <c r="B246" s="40"/>
      <c r="C246" s="40"/>
      <c r="D246" s="41"/>
      <c r="G246" s="40"/>
    </row>
    <row r="247" spans="1:7" s="83" customFormat="1" ht="15" customHeight="1" x14ac:dyDescent="0.25">
      <c r="A247" s="810"/>
      <c r="B247" s="40"/>
      <c r="C247" s="40"/>
      <c r="D247" s="41"/>
      <c r="G247" s="40"/>
    </row>
    <row r="248" spans="1:7" s="83" customFormat="1" ht="15" customHeight="1" x14ac:dyDescent="0.25">
      <c r="A248" s="810"/>
      <c r="B248" s="40"/>
      <c r="C248" s="40"/>
      <c r="D248" s="41"/>
      <c r="G248" s="40"/>
    </row>
    <row r="249" spans="1:7" s="83" customFormat="1" ht="15" customHeight="1" x14ac:dyDescent="0.25">
      <c r="A249" s="810"/>
      <c r="B249" s="40"/>
      <c r="C249" s="40"/>
      <c r="D249" s="41"/>
      <c r="G249" s="40"/>
    </row>
    <row r="250" spans="1:7" s="83" customFormat="1" ht="15" customHeight="1" x14ac:dyDescent="0.25">
      <c r="A250" s="810"/>
      <c r="B250" s="40"/>
      <c r="C250" s="40"/>
      <c r="D250" s="41"/>
      <c r="G250" s="40"/>
    </row>
    <row r="251" spans="1:7" s="83" customFormat="1" ht="15" customHeight="1" x14ac:dyDescent="0.25">
      <c r="A251" s="810"/>
      <c r="B251" s="40"/>
      <c r="C251" s="40"/>
      <c r="D251" s="41"/>
      <c r="G251" s="40"/>
    </row>
    <row r="252" spans="1:7" s="83" customFormat="1" ht="15" customHeight="1" x14ac:dyDescent="0.25">
      <c r="A252" s="810"/>
      <c r="B252" s="40"/>
      <c r="C252" s="40"/>
      <c r="D252" s="41"/>
      <c r="G252" s="40"/>
    </row>
    <row r="253" spans="1:7" s="83" customFormat="1" ht="15" customHeight="1" x14ac:dyDescent="0.25">
      <c r="A253" s="810"/>
      <c r="B253" s="40"/>
      <c r="C253" s="40"/>
      <c r="D253" s="41"/>
      <c r="G253" s="40"/>
    </row>
    <row r="254" spans="1:7" s="83" customFormat="1" ht="15" customHeight="1" x14ac:dyDescent="0.25">
      <c r="A254" s="810"/>
      <c r="B254" s="40"/>
      <c r="C254" s="40"/>
      <c r="D254" s="41"/>
      <c r="G254" s="40"/>
    </row>
    <row r="255" spans="1:7" s="83" customFormat="1" ht="15" customHeight="1" x14ac:dyDescent="0.25">
      <c r="A255" s="810"/>
      <c r="B255" s="40"/>
      <c r="C255" s="40"/>
      <c r="D255" s="41"/>
      <c r="G255" s="40"/>
    </row>
    <row r="256" spans="1:7" s="83" customFormat="1" ht="15" customHeight="1" x14ac:dyDescent="0.25">
      <c r="A256" s="810"/>
      <c r="B256" s="40"/>
      <c r="C256" s="40"/>
      <c r="D256" s="41"/>
      <c r="G256" s="40"/>
    </row>
    <row r="257" spans="1:7" s="83" customFormat="1" ht="15" customHeight="1" x14ac:dyDescent="0.25">
      <c r="A257" s="810"/>
      <c r="B257" s="40"/>
      <c r="C257" s="40"/>
      <c r="D257" s="41"/>
      <c r="G257" s="40"/>
    </row>
    <row r="258" spans="1:7" s="83" customFormat="1" ht="15" customHeight="1" x14ac:dyDescent="0.25">
      <c r="A258" s="810"/>
      <c r="B258" s="40"/>
      <c r="C258" s="40"/>
      <c r="D258" s="41"/>
      <c r="G258" s="40"/>
    </row>
    <row r="259" spans="1:7" s="83" customFormat="1" ht="15" customHeight="1" x14ac:dyDescent="0.25">
      <c r="A259" s="810"/>
      <c r="B259" s="40"/>
      <c r="C259" s="40"/>
      <c r="D259" s="41"/>
      <c r="G259" s="40"/>
    </row>
    <row r="260" spans="1:7" s="83" customFormat="1" ht="15" customHeight="1" x14ac:dyDescent="0.25">
      <c r="A260" s="810"/>
      <c r="B260" s="40"/>
      <c r="C260" s="40"/>
      <c r="D260" s="41"/>
      <c r="G260" s="40"/>
    </row>
    <row r="261" spans="1:7" s="83" customFormat="1" ht="15" customHeight="1" x14ac:dyDescent="0.25">
      <c r="A261" s="810"/>
      <c r="B261" s="40"/>
      <c r="C261" s="40"/>
      <c r="D261" s="41"/>
      <c r="G261" s="40"/>
    </row>
    <row r="262" spans="1:7" s="83" customFormat="1" ht="15" customHeight="1" x14ac:dyDescent="0.25">
      <c r="A262" s="810"/>
      <c r="B262" s="40"/>
      <c r="C262" s="40"/>
      <c r="D262" s="41"/>
      <c r="G262" s="40"/>
    </row>
    <row r="263" spans="1:7" s="83" customFormat="1" ht="15" customHeight="1" x14ac:dyDescent="0.25">
      <c r="A263" s="810"/>
      <c r="B263" s="40"/>
      <c r="C263" s="40"/>
      <c r="D263" s="41"/>
      <c r="G263" s="40"/>
    </row>
    <row r="264" spans="1:7" s="83" customFormat="1" ht="15" customHeight="1" x14ac:dyDescent="0.25">
      <c r="A264" s="810"/>
      <c r="B264" s="40"/>
      <c r="C264" s="40"/>
      <c r="D264" s="41"/>
      <c r="G264" s="40"/>
    </row>
    <row r="265" spans="1:7" s="83" customFormat="1" ht="15" customHeight="1" x14ac:dyDescent="0.25">
      <c r="A265" s="810"/>
      <c r="B265" s="40"/>
      <c r="C265" s="40"/>
      <c r="D265" s="41"/>
      <c r="G265" s="40"/>
    </row>
    <row r="266" spans="1:7" s="83" customFormat="1" ht="15" customHeight="1" x14ac:dyDescent="0.25">
      <c r="A266" s="810"/>
      <c r="B266" s="40"/>
      <c r="C266" s="40"/>
      <c r="D266" s="41"/>
      <c r="G266" s="40"/>
    </row>
    <row r="267" spans="1:7" s="83" customFormat="1" ht="15" customHeight="1" x14ac:dyDescent="0.25">
      <c r="A267" s="810"/>
      <c r="B267" s="40"/>
      <c r="C267" s="40"/>
      <c r="D267" s="41"/>
      <c r="G267" s="40"/>
    </row>
    <row r="268" spans="1:7" s="83" customFormat="1" ht="15" customHeight="1" x14ac:dyDescent="0.25">
      <c r="A268" s="810"/>
      <c r="B268" s="40"/>
      <c r="C268" s="40"/>
      <c r="D268" s="41"/>
      <c r="G268" s="40"/>
    </row>
    <row r="269" spans="1:7" s="83" customFormat="1" ht="15" customHeight="1" x14ac:dyDescent="0.25">
      <c r="A269" s="810"/>
      <c r="B269" s="40"/>
      <c r="C269" s="40"/>
      <c r="D269" s="41"/>
      <c r="G269" s="40"/>
    </row>
    <row r="270" spans="1:7" s="83" customFormat="1" ht="15" customHeight="1" x14ac:dyDescent="0.25">
      <c r="A270" s="810"/>
      <c r="B270" s="40"/>
      <c r="C270" s="40"/>
      <c r="D270" s="41"/>
      <c r="G270" s="40"/>
    </row>
    <row r="271" spans="1:7" s="83" customFormat="1" ht="15" customHeight="1" x14ac:dyDescent="0.25">
      <c r="A271" s="810"/>
      <c r="B271" s="40"/>
      <c r="C271" s="40"/>
      <c r="D271" s="41"/>
      <c r="G271" s="40"/>
    </row>
    <row r="272" spans="1:7" s="83" customFormat="1" ht="15" customHeight="1" x14ac:dyDescent="0.25">
      <c r="A272" s="810"/>
      <c r="B272" s="40"/>
      <c r="C272" s="40"/>
      <c r="D272" s="41"/>
      <c r="G272" s="40"/>
    </row>
    <row r="273" spans="1:7" s="83" customFormat="1" ht="15" customHeight="1" x14ac:dyDescent="0.25">
      <c r="A273" s="810"/>
      <c r="B273" s="40"/>
      <c r="C273" s="40"/>
      <c r="D273" s="41"/>
      <c r="G273" s="40"/>
    </row>
    <row r="274" spans="1:7" s="83" customFormat="1" ht="15" customHeight="1" x14ac:dyDescent="0.25">
      <c r="A274" s="810"/>
      <c r="B274" s="40"/>
      <c r="C274" s="40"/>
      <c r="D274" s="41"/>
      <c r="G274" s="40"/>
    </row>
    <row r="275" spans="1:7" s="83" customFormat="1" ht="15" customHeight="1" x14ac:dyDescent="0.25">
      <c r="A275" s="810"/>
      <c r="B275" s="40"/>
      <c r="C275" s="40"/>
      <c r="D275" s="41"/>
      <c r="G275" s="40"/>
    </row>
    <row r="276" spans="1:7" s="83" customFormat="1" ht="15" customHeight="1" x14ac:dyDescent="0.25">
      <c r="A276" s="810"/>
      <c r="B276" s="40"/>
      <c r="C276" s="40"/>
      <c r="D276" s="41"/>
      <c r="G276" s="40"/>
    </row>
    <row r="277" spans="1:7" s="83" customFormat="1" ht="15" customHeight="1" x14ac:dyDescent="0.25">
      <c r="A277" s="810"/>
      <c r="B277" s="40"/>
      <c r="C277" s="40"/>
      <c r="D277" s="41"/>
      <c r="G277" s="40"/>
    </row>
    <row r="278" spans="1:7" s="83" customFormat="1" ht="15" customHeight="1" x14ac:dyDescent="0.25">
      <c r="A278" s="810"/>
      <c r="B278" s="40"/>
      <c r="C278" s="40"/>
      <c r="D278" s="41"/>
      <c r="G278" s="40"/>
    </row>
    <row r="279" spans="1:7" s="83" customFormat="1" ht="15" customHeight="1" x14ac:dyDescent="0.25">
      <c r="A279" s="810"/>
      <c r="B279" s="40"/>
      <c r="C279" s="40"/>
      <c r="D279" s="41"/>
      <c r="G279" s="40"/>
    </row>
    <row r="280" spans="1:7" s="83" customFormat="1" ht="15" customHeight="1" x14ac:dyDescent="0.25">
      <c r="A280" s="810"/>
      <c r="B280" s="40"/>
      <c r="C280" s="40"/>
      <c r="D280" s="41"/>
      <c r="G280" s="40"/>
    </row>
    <row r="281" spans="1:7" s="83" customFormat="1" ht="15" customHeight="1" x14ac:dyDescent="0.25">
      <c r="A281" s="810"/>
      <c r="B281" s="40"/>
      <c r="C281" s="40"/>
      <c r="D281" s="41"/>
      <c r="G281" s="40"/>
    </row>
    <row r="282" spans="1:7" s="83" customFormat="1" ht="15" customHeight="1" x14ac:dyDescent="0.25">
      <c r="A282" s="810"/>
      <c r="B282" s="40"/>
      <c r="C282" s="40"/>
      <c r="D282" s="41"/>
      <c r="G282" s="40"/>
    </row>
    <row r="283" spans="1:7" s="83" customFormat="1" ht="15" customHeight="1" x14ac:dyDescent="0.25">
      <c r="A283" s="810"/>
      <c r="B283" s="40"/>
      <c r="C283" s="40"/>
      <c r="D283" s="41"/>
      <c r="G283" s="40"/>
    </row>
    <row r="284" spans="1:7" s="83" customFormat="1" ht="15" customHeight="1" x14ac:dyDescent="0.25">
      <c r="A284" s="810"/>
      <c r="B284" s="40"/>
      <c r="C284" s="40"/>
      <c r="D284" s="41"/>
      <c r="G284" s="40"/>
    </row>
    <row r="285" spans="1:7" s="83" customFormat="1" ht="15" customHeight="1" x14ac:dyDescent="0.25">
      <c r="A285" s="810"/>
      <c r="B285" s="40"/>
      <c r="C285" s="40"/>
      <c r="D285" s="41"/>
      <c r="G285" s="40"/>
    </row>
    <row r="286" spans="1:7" s="83" customFormat="1" ht="15" customHeight="1" x14ac:dyDescent="0.25">
      <c r="A286" s="810"/>
      <c r="B286" s="40"/>
      <c r="C286" s="40"/>
      <c r="D286" s="41"/>
      <c r="G286" s="40"/>
    </row>
    <row r="287" spans="1:7" s="83" customFormat="1" ht="15" customHeight="1" x14ac:dyDescent="0.25">
      <c r="A287" s="810"/>
      <c r="B287" s="40"/>
      <c r="C287" s="40"/>
      <c r="D287" s="41"/>
      <c r="G287" s="40"/>
    </row>
    <row r="288" spans="1:7" s="83" customFormat="1" ht="15" customHeight="1" x14ac:dyDescent="0.25">
      <c r="A288" s="810"/>
      <c r="B288" s="40"/>
      <c r="C288" s="40"/>
      <c r="D288" s="41"/>
      <c r="G288" s="40"/>
    </row>
    <row r="289" spans="1:7" s="83" customFormat="1" ht="15" customHeight="1" x14ac:dyDescent="0.25">
      <c r="A289" s="810"/>
      <c r="B289" s="40"/>
      <c r="C289" s="40"/>
      <c r="D289" s="41"/>
      <c r="G289" s="40"/>
    </row>
    <row r="290" spans="1:7" s="83" customFormat="1" ht="15" customHeight="1" x14ac:dyDescent="0.25">
      <c r="A290" s="810"/>
      <c r="B290" s="40"/>
      <c r="C290" s="40"/>
      <c r="D290" s="41"/>
      <c r="G290" s="40"/>
    </row>
    <row r="291" spans="1:7" s="83" customFormat="1" ht="15" customHeight="1" x14ac:dyDescent="0.25">
      <c r="A291" s="810"/>
      <c r="B291" s="40"/>
      <c r="C291" s="40"/>
      <c r="D291" s="41"/>
      <c r="G291" s="40"/>
    </row>
    <row r="292" spans="1:7" s="83" customFormat="1" ht="15" customHeight="1" x14ac:dyDescent="0.25">
      <c r="A292" s="810"/>
      <c r="B292" s="40"/>
      <c r="C292" s="40"/>
      <c r="D292" s="41"/>
      <c r="G292" s="40"/>
    </row>
    <row r="293" spans="1:7" s="83" customFormat="1" ht="15" customHeight="1" x14ac:dyDescent="0.25">
      <c r="A293" s="810"/>
      <c r="B293" s="40"/>
      <c r="C293" s="40"/>
      <c r="D293" s="41"/>
      <c r="G293" s="40"/>
    </row>
    <row r="294" spans="1:7" s="83" customFormat="1" ht="15" customHeight="1" x14ac:dyDescent="0.25">
      <c r="A294" s="810"/>
      <c r="B294" s="40"/>
      <c r="C294" s="40"/>
      <c r="D294" s="41"/>
      <c r="G294" s="40"/>
    </row>
    <row r="295" spans="1:7" s="83" customFormat="1" ht="15" customHeight="1" x14ac:dyDescent="0.25">
      <c r="A295" s="810"/>
      <c r="B295" s="40"/>
      <c r="C295" s="40"/>
      <c r="D295" s="41"/>
      <c r="G295" s="40"/>
    </row>
    <row r="296" spans="1:7" s="83" customFormat="1" ht="15" customHeight="1" x14ac:dyDescent="0.25">
      <c r="A296" s="810"/>
      <c r="B296" s="40"/>
      <c r="C296" s="40"/>
      <c r="D296" s="41"/>
      <c r="G296" s="40"/>
    </row>
    <row r="297" spans="1:7" s="83" customFormat="1" ht="15" customHeight="1" x14ac:dyDescent="0.25">
      <c r="A297" s="810"/>
      <c r="B297" s="40"/>
      <c r="C297" s="40"/>
      <c r="D297" s="41"/>
      <c r="G297" s="40"/>
    </row>
    <row r="298" spans="1:7" s="83" customFormat="1" ht="15" customHeight="1" x14ac:dyDescent="0.25">
      <c r="A298" s="810"/>
      <c r="B298" s="40"/>
      <c r="C298" s="40"/>
      <c r="D298" s="41"/>
      <c r="G298" s="40"/>
    </row>
    <row r="299" spans="1:7" s="83" customFormat="1" ht="15" customHeight="1" x14ac:dyDescent="0.25">
      <c r="A299" s="810"/>
      <c r="B299" s="40"/>
      <c r="C299" s="40"/>
      <c r="D299" s="41"/>
      <c r="G299" s="40"/>
    </row>
    <row r="300" spans="1:7" s="83" customFormat="1" ht="15" customHeight="1" x14ac:dyDescent="0.25">
      <c r="A300" s="810"/>
      <c r="B300" s="40"/>
      <c r="C300" s="40"/>
      <c r="D300" s="41"/>
      <c r="G300" s="40"/>
    </row>
    <row r="301" spans="1:7" s="83" customFormat="1" ht="15" customHeight="1" x14ac:dyDescent="0.25">
      <c r="A301" s="810"/>
      <c r="B301" s="40"/>
      <c r="C301" s="40"/>
      <c r="D301" s="41"/>
      <c r="G301" s="40"/>
    </row>
    <row r="302" spans="1:7" s="83" customFormat="1" ht="15" customHeight="1" x14ac:dyDescent="0.25">
      <c r="A302" s="810"/>
      <c r="B302" s="40"/>
      <c r="C302" s="40"/>
      <c r="D302" s="41"/>
      <c r="G302" s="40"/>
    </row>
    <row r="303" spans="1:7" s="83" customFormat="1" ht="15" customHeight="1" x14ac:dyDescent="0.25">
      <c r="A303" s="810"/>
      <c r="B303" s="40"/>
      <c r="C303" s="40"/>
      <c r="D303" s="41"/>
      <c r="G303" s="40"/>
    </row>
    <row r="304" spans="1:7" s="83" customFormat="1" ht="15" customHeight="1" x14ac:dyDescent="0.25">
      <c r="A304" s="810"/>
      <c r="B304" s="40"/>
      <c r="C304" s="40"/>
      <c r="D304" s="41"/>
      <c r="G304" s="40"/>
    </row>
    <row r="305" spans="1:7" s="83" customFormat="1" ht="15" customHeight="1" x14ac:dyDescent="0.25">
      <c r="A305" s="810"/>
      <c r="B305" s="40"/>
      <c r="C305" s="40"/>
      <c r="D305" s="41"/>
      <c r="G305" s="40"/>
    </row>
    <row r="306" spans="1:7" s="83" customFormat="1" ht="15" customHeight="1" x14ac:dyDescent="0.25">
      <c r="A306" s="810"/>
      <c r="B306" s="40"/>
      <c r="C306" s="40"/>
      <c r="D306" s="41"/>
      <c r="G306" s="40"/>
    </row>
    <row r="307" spans="1:7" s="83" customFormat="1" ht="15" customHeight="1" x14ac:dyDescent="0.25">
      <c r="A307" s="810"/>
      <c r="B307" s="40"/>
      <c r="C307" s="40"/>
      <c r="D307" s="41"/>
      <c r="G307" s="40"/>
    </row>
    <row r="308" spans="1:7" s="83" customFormat="1" ht="15" customHeight="1" x14ac:dyDescent="0.25">
      <c r="A308" s="810"/>
      <c r="B308" s="40"/>
      <c r="C308" s="40"/>
      <c r="D308" s="41"/>
      <c r="G308" s="40"/>
    </row>
    <row r="309" spans="1:7" s="83" customFormat="1" ht="15" customHeight="1" x14ac:dyDescent="0.25">
      <c r="A309" s="810"/>
      <c r="B309" s="40"/>
      <c r="C309" s="40"/>
      <c r="D309" s="41"/>
      <c r="G309" s="40"/>
    </row>
    <row r="310" spans="1:7" s="83" customFormat="1" ht="15" customHeight="1" x14ac:dyDescent="0.25">
      <c r="A310" s="810"/>
      <c r="B310" s="40"/>
      <c r="C310" s="40"/>
      <c r="D310" s="41"/>
      <c r="G310" s="40"/>
    </row>
    <row r="311" spans="1:7" s="83" customFormat="1" ht="15" customHeight="1" x14ac:dyDescent="0.25">
      <c r="A311" s="810"/>
      <c r="B311" s="40"/>
      <c r="C311" s="40"/>
      <c r="D311" s="41"/>
      <c r="G311" s="40"/>
    </row>
    <row r="312" spans="1:7" s="83" customFormat="1" ht="15" customHeight="1" x14ac:dyDescent="0.25">
      <c r="A312" s="810"/>
      <c r="B312" s="40"/>
      <c r="C312" s="40"/>
      <c r="D312" s="41"/>
      <c r="G312" s="40"/>
    </row>
    <row r="313" spans="1:7" s="83" customFormat="1" ht="15" customHeight="1" x14ac:dyDescent="0.25">
      <c r="A313" s="810"/>
      <c r="B313" s="40"/>
      <c r="C313" s="40"/>
      <c r="D313" s="41"/>
      <c r="G313" s="40"/>
    </row>
    <row r="314" spans="1:7" s="83" customFormat="1" ht="15" customHeight="1" x14ac:dyDescent="0.25">
      <c r="A314" s="810"/>
      <c r="B314" s="40"/>
      <c r="C314" s="40"/>
      <c r="D314" s="41"/>
      <c r="G314" s="40"/>
    </row>
    <row r="315" spans="1:7" s="83" customFormat="1" ht="15" customHeight="1" x14ac:dyDescent="0.25">
      <c r="A315" s="810"/>
      <c r="B315" s="40"/>
      <c r="C315" s="40"/>
      <c r="D315" s="41"/>
      <c r="G315" s="40"/>
    </row>
    <row r="316" spans="1:7" s="83" customFormat="1" ht="15" customHeight="1" x14ac:dyDescent="0.25">
      <c r="A316" s="810"/>
      <c r="B316" s="40"/>
      <c r="C316" s="40"/>
      <c r="D316" s="41"/>
      <c r="G316" s="40"/>
    </row>
    <row r="317" spans="1:7" s="83" customFormat="1" ht="15" customHeight="1" x14ac:dyDescent="0.25">
      <c r="A317" s="810"/>
      <c r="B317" s="40"/>
      <c r="C317" s="40"/>
      <c r="D317" s="41"/>
      <c r="G317" s="40"/>
    </row>
    <row r="318" spans="1:7" s="83" customFormat="1" ht="15" customHeight="1" x14ac:dyDescent="0.25">
      <c r="A318" s="810"/>
      <c r="B318" s="40"/>
      <c r="C318" s="40"/>
      <c r="D318" s="41"/>
      <c r="G318" s="40"/>
    </row>
    <row r="319" spans="1:7" s="83" customFormat="1" ht="15" customHeight="1" x14ac:dyDescent="0.25">
      <c r="A319" s="810"/>
      <c r="B319" s="40"/>
      <c r="C319" s="40"/>
      <c r="D319" s="41"/>
      <c r="G319" s="40"/>
    </row>
    <row r="320" spans="1:7" s="83" customFormat="1" ht="15" customHeight="1" x14ac:dyDescent="0.25">
      <c r="A320" s="810"/>
      <c r="B320" s="40"/>
      <c r="C320" s="40"/>
      <c r="D320" s="41"/>
      <c r="G320" s="40"/>
    </row>
    <row r="321" spans="1:7" s="83" customFormat="1" ht="15" customHeight="1" x14ac:dyDescent="0.25">
      <c r="A321" s="810"/>
      <c r="B321" s="40"/>
      <c r="C321" s="40"/>
      <c r="D321" s="41"/>
      <c r="G321" s="40"/>
    </row>
    <row r="322" spans="1:7" s="83" customFormat="1" ht="15" customHeight="1" x14ac:dyDescent="0.25">
      <c r="A322" s="810"/>
      <c r="B322" s="40"/>
      <c r="C322" s="40"/>
      <c r="D322" s="41"/>
      <c r="G322" s="40"/>
    </row>
    <row r="323" spans="1:7" s="83" customFormat="1" ht="15" customHeight="1" x14ac:dyDescent="0.25">
      <c r="A323" s="810"/>
      <c r="B323" s="40"/>
      <c r="C323" s="40"/>
      <c r="D323" s="41"/>
      <c r="G323" s="40"/>
    </row>
    <row r="324" spans="1:7" s="83" customFormat="1" ht="15" customHeight="1" x14ac:dyDescent="0.25">
      <c r="A324" s="810"/>
      <c r="B324" s="40"/>
      <c r="C324" s="40"/>
      <c r="D324" s="41"/>
      <c r="G324" s="40"/>
    </row>
    <row r="325" spans="1:7" s="83" customFormat="1" ht="15" customHeight="1" x14ac:dyDescent="0.25">
      <c r="A325" s="810"/>
      <c r="B325" s="40"/>
      <c r="C325" s="40"/>
      <c r="D325" s="41"/>
      <c r="G325" s="40"/>
    </row>
    <row r="326" spans="1:7" s="83" customFormat="1" ht="15" customHeight="1" x14ac:dyDescent="0.25">
      <c r="A326" s="810"/>
      <c r="B326" s="40"/>
      <c r="C326" s="40"/>
      <c r="D326" s="41"/>
      <c r="G326" s="40"/>
    </row>
    <row r="327" spans="1:7" s="83" customFormat="1" ht="15" customHeight="1" x14ac:dyDescent="0.25">
      <c r="A327" s="810"/>
      <c r="B327" s="40"/>
      <c r="C327" s="40"/>
      <c r="D327" s="41"/>
      <c r="G327" s="40"/>
    </row>
    <row r="328" spans="1:7" s="83" customFormat="1" ht="15" customHeight="1" x14ac:dyDescent="0.25">
      <c r="A328" s="810"/>
      <c r="B328" s="40"/>
      <c r="C328" s="40"/>
      <c r="D328" s="41"/>
      <c r="G328" s="40"/>
    </row>
    <row r="329" spans="1:7" s="83" customFormat="1" ht="15" customHeight="1" x14ac:dyDescent="0.25">
      <c r="A329" s="810"/>
      <c r="B329" s="40"/>
      <c r="C329" s="40"/>
      <c r="D329" s="41"/>
      <c r="G329" s="40"/>
    </row>
    <row r="330" spans="1:7" s="83" customFormat="1" ht="15" customHeight="1" x14ac:dyDescent="0.25">
      <c r="A330" s="810"/>
      <c r="B330" s="40"/>
      <c r="C330" s="40"/>
      <c r="D330" s="41"/>
      <c r="G330" s="40"/>
    </row>
    <row r="331" spans="1:7" s="83" customFormat="1" ht="15" customHeight="1" x14ac:dyDescent="0.25">
      <c r="A331" s="810"/>
      <c r="B331" s="40"/>
      <c r="C331" s="40"/>
      <c r="D331" s="41"/>
      <c r="G331" s="40"/>
    </row>
    <row r="332" spans="1:7" s="83" customFormat="1" ht="15" customHeight="1" x14ac:dyDescent="0.25">
      <c r="A332" s="810"/>
      <c r="B332" s="40"/>
      <c r="C332" s="40"/>
      <c r="D332" s="41"/>
      <c r="G332" s="40"/>
    </row>
    <row r="333" spans="1:7" s="83" customFormat="1" ht="15" customHeight="1" x14ac:dyDescent="0.25">
      <c r="A333" s="810"/>
      <c r="B333" s="40"/>
      <c r="C333" s="40"/>
      <c r="D333" s="41"/>
      <c r="G333" s="40"/>
    </row>
    <row r="334" spans="1:7" s="83" customFormat="1" ht="15" customHeight="1" x14ac:dyDescent="0.25">
      <c r="A334" s="810"/>
      <c r="B334" s="40"/>
      <c r="C334" s="40"/>
      <c r="D334" s="41"/>
      <c r="G334" s="40"/>
    </row>
    <row r="335" spans="1:7" s="83" customFormat="1" ht="15" customHeight="1" x14ac:dyDescent="0.25">
      <c r="A335" s="810"/>
      <c r="B335" s="40"/>
      <c r="C335" s="40"/>
      <c r="D335" s="41"/>
      <c r="G335" s="40"/>
    </row>
    <row r="336" spans="1:7" s="83" customFormat="1" ht="15" customHeight="1" x14ac:dyDescent="0.25">
      <c r="A336" s="810"/>
      <c r="B336" s="40"/>
      <c r="C336" s="40"/>
      <c r="D336" s="41"/>
      <c r="G336" s="40"/>
    </row>
    <row r="337" spans="1:7" s="83" customFormat="1" ht="15" customHeight="1" x14ac:dyDescent="0.25">
      <c r="A337" s="810"/>
      <c r="B337" s="40"/>
      <c r="C337" s="40"/>
      <c r="D337" s="41"/>
      <c r="G337" s="40"/>
    </row>
    <row r="338" spans="1:7" s="83" customFormat="1" ht="15" customHeight="1" x14ac:dyDescent="0.25">
      <c r="A338" s="810"/>
      <c r="B338" s="40"/>
      <c r="C338" s="40"/>
      <c r="D338" s="41"/>
      <c r="G338" s="40"/>
    </row>
    <row r="339" spans="1:7" s="83" customFormat="1" ht="15" customHeight="1" x14ac:dyDescent="0.25">
      <c r="A339" s="810"/>
      <c r="B339" s="40"/>
      <c r="C339" s="40"/>
      <c r="D339" s="41"/>
      <c r="G339" s="40"/>
    </row>
    <row r="340" spans="1:7" s="83" customFormat="1" ht="15" customHeight="1" x14ac:dyDescent="0.25">
      <c r="A340" s="810"/>
      <c r="B340" s="40"/>
      <c r="C340" s="40"/>
      <c r="D340" s="41"/>
      <c r="G340" s="40"/>
    </row>
    <row r="341" spans="1:7" s="83" customFormat="1" ht="15" customHeight="1" x14ac:dyDescent="0.25">
      <c r="A341" s="810"/>
      <c r="B341" s="40"/>
      <c r="C341" s="40"/>
      <c r="D341" s="41"/>
      <c r="G341" s="40"/>
    </row>
    <row r="342" spans="1:7" s="83" customFormat="1" ht="15" customHeight="1" x14ac:dyDescent="0.25">
      <c r="A342" s="810"/>
      <c r="B342" s="40"/>
      <c r="C342" s="40"/>
      <c r="D342" s="41"/>
      <c r="G342" s="40"/>
    </row>
    <row r="343" spans="1:7" s="83" customFormat="1" ht="15" customHeight="1" x14ac:dyDescent="0.25">
      <c r="A343" s="810"/>
      <c r="B343" s="40"/>
      <c r="C343" s="40"/>
      <c r="D343" s="41"/>
      <c r="G343" s="40"/>
    </row>
    <row r="344" spans="1:7" s="83" customFormat="1" ht="15" customHeight="1" x14ac:dyDescent="0.25">
      <c r="A344" s="810"/>
      <c r="B344" s="40"/>
      <c r="C344" s="40"/>
      <c r="D344" s="41"/>
      <c r="G344" s="40"/>
    </row>
    <row r="345" spans="1:7" s="83" customFormat="1" ht="15" customHeight="1" x14ac:dyDescent="0.25">
      <c r="A345" s="810"/>
      <c r="B345" s="40"/>
      <c r="C345" s="40"/>
      <c r="D345" s="41"/>
      <c r="G345" s="40"/>
    </row>
    <row r="346" spans="1:7" s="83" customFormat="1" ht="15" customHeight="1" x14ac:dyDescent="0.25">
      <c r="A346" s="810"/>
      <c r="B346" s="40"/>
      <c r="C346" s="40"/>
      <c r="D346" s="41"/>
      <c r="G346" s="40"/>
    </row>
    <row r="347" spans="1:7" s="83" customFormat="1" ht="15" customHeight="1" x14ac:dyDescent="0.25">
      <c r="A347" s="810"/>
      <c r="B347" s="40"/>
      <c r="C347" s="40"/>
      <c r="D347" s="41"/>
      <c r="G347" s="40"/>
    </row>
    <row r="348" spans="1:7" s="83" customFormat="1" ht="15" customHeight="1" x14ac:dyDescent="0.25">
      <c r="A348" s="810"/>
      <c r="B348" s="40"/>
      <c r="C348" s="40"/>
      <c r="D348" s="41"/>
      <c r="G348" s="40"/>
    </row>
    <row r="349" spans="1:7" s="83" customFormat="1" ht="15" customHeight="1" x14ac:dyDescent="0.25">
      <c r="A349" s="810"/>
      <c r="B349" s="40"/>
      <c r="C349" s="40"/>
      <c r="D349" s="41"/>
      <c r="G349" s="40"/>
    </row>
    <row r="350" spans="1:7" s="83" customFormat="1" ht="15" customHeight="1" x14ac:dyDescent="0.25">
      <c r="A350" s="810"/>
      <c r="B350" s="40"/>
      <c r="C350" s="40"/>
      <c r="D350" s="41"/>
      <c r="G350" s="40"/>
    </row>
    <row r="351" spans="1:7" s="83" customFormat="1" ht="15" customHeight="1" x14ac:dyDescent="0.25">
      <c r="A351" s="810"/>
      <c r="B351" s="40"/>
      <c r="C351" s="40"/>
      <c r="D351" s="41"/>
      <c r="G351" s="40"/>
    </row>
    <row r="352" spans="1:7" s="83" customFormat="1" ht="15" customHeight="1" x14ac:dyDescent="0.25">
      <c r="A352" s="810"/>
      <c r="B352" s="40"/>
      <c r="C352" s="40"/>
      <c r="D352" s="41"/>
      <c r="G352" s="40"/>
    </row>
    <row r="353" spans="1:7" s="83" customFormat="1" ht="15" customHeight="1" x14ac:dyDescent="0.25">
      <c r="A353" s="810"/>
      <c r="B353" s="40"/>
      <c r="C353" s="40"/>
      <c r="D353" s="41"/>
      <c r="G353" s="40"/>
    </row>
    <row r="354" spans="1:7" s="83" customFormat="1" ht="15" customHeight="1" x14ac:dyDescent="0.25">
      <c r="A354" s="810"/>
      <c r="B354" s="40"/>
      <c r="C354" s="40"/>
      <c r="D354" s="41"/>
      <c r="G354" s="40"/>
    </row>
    <row r="355" spans="1:7" s="83" customFormat="1" ht="15" customHeight="1" x14ac:dyDescent="0.25">
      <c r="A355" s="810"/>
      <c r="B355" s="40"/>
      <c r="C355" s="40"/>
      <c r="D355" s="41"/>
      <c r="G355" s="40"/>
    </row>
    <row r="356" spans="1:7" s="83" customFormat="1" ht="15" customHeight="1" x14ac:dyDescent="0.25">
      <c r="A356" s="810"/>
      <c r="B356" s="40"/>
      <c r="C356" s="40"/>
      <c r="D356" s="41"/>
      <c r="G356" s="40"/>
    </row>
    <row r="357" spans="1:7" s="83" customFormat="1" ht="15" customHeight="1" x14ac:dyDescent="0.25">
      <c r="A357" s="810"/>
      <c r="B357" s="40"/>
      <c r="C357" s="40"/>
      <c r="D357" s="41"/>
      <c r="G357" s="40"/>
    </row>
    <row r="358" spans="1:7" s="83" customFormat="1" ht="15" customHeight="1" x14ac:dyDescent="0.25">
      <c r="A358" s="810"/>
      <c r="B358" s="40"/>
      <c r="C358" s="40"/>
      <c r="D358" s="41"/>
      <c r="G358" s="40"/>
    </row>
    <row r="359" spans="1:7" s="83" customFormat="1" ht="15" customHeight="1" x14ac:dyDescent="0.25">
      <c r="A359" s="810"/>
      <c r="B359" s="40"/>
      <c r="C359" s="40"/>
      <c r="D359" s="41"/>
      <c r="G359" s="40"/>
    </row>
    <row r="360" spans="1:7" s="83" customFormat="1" ht="15" customHeight="1" x14ac:dyDescent="0.25">
      <c r="A360" s="810"/>
      <c r="B360" s="40"/>
      <c r="C360" s="40"/>
      <c r="D360" s="41"/>
      <c r="G360" s="40"/>
    </row>
    <row r="361" spans="1:7" s="83" customFormat="1" ht="15" customHeight="1" x14ac:dyDescent="0.25">
      <c r="A361" s="810"/>
      <c r="B361" s="40"/>
      <c r="C361" s="40"/>
      <c r="D361" s="41"/>
      <c r="G361" s="40"/>
    </row>
    <row r="362" spans="1:7" s="83" customFormat="1" ht="15" customHeight="1" x14ac:dyDescent="0.25">
      <c r="A362" s="810"/>
      <c r="B362" s="40"/>
      <c r="C362" s="40"/>
      <c r="D362" s="41"/>
      <c r="G362" s="40"/>
    </row>
    <row r="363" spans="1:7" s="83" customFormat="1" ht="15" customHeight="1" x14ac:dyDescent="0.25">
      <c r="A363" s="810"/>
      <c r="B363" s="40"/>
      <c r="C363" s="40"/>
      <c r="D363" s="41"/>
      <c r="G363" s="40"/>
    </row>
    <row r="364" spans="1:7" s="83" customFormat="1" ht="15" customHeight="1" x14ac:dyDescent="0.25">
      <c r="A364" s="810"/>
      <c r="B364" s="40"/>
      <c r="C364" s="40"/>
      <c r="D364" s="41"/>
      <c r="G364" s="40"/>
    </row>
    <row r="365" spans="1:7" s="83" customFormat="1" ht="15" customHeight="1" x14ac:dyDescent="0.25">
      <c r="A365" s="810"/>
      <c r="B365" s="40"/>
      <c r="C365" s="40"/>
      <c r="D365" s="41"/>
      <c r="G365" s="40"/>
    </row>
    <row r="366" spans="1:7" s="83" customFormat="1" ht="15" customHeight="1" x14ac:dyDescent="0.25">
      <c r="A366" s="810"/>
      <c r="B366" s="40"/>
      <c r="C366" s="40"/>
      <c r="D366" s="41"/>
      <c r="G366" s="40"/>
    </row>
    <row r="367" spans="1:7" s="83" customFormat="1" ht="15" customHeight="1" x14ac:dyDescent="0.25">
      <c r="A367" s="810"/>
      <c r="B367" s="40"/>
      <c r="C367" s="40"/>
      <c r="D367" s="41"/>
      <c r="G367" s="40"/>
    </row>
    <row r="368" spans="1:7" s="83" customFormat="1" ht="15" customHeight="1" x14ac:dyDescent="0.25">
      <c r="A368" s="810"/>
      <c r="B368" s="40"/>
      <c r="C368" s="40"/>
      <c r="D368" s="41"/>
      <c r="G368" s="40"/>
    </row>
    <row r="369" spans="1:7" s="83" customFormat="1" ht="15" customHeight="1" x14ac:dyDescent="0.25">
      <c r="A369" s="810"/>
      <c r="B369" s="40"/>
      <c r="C369" s="40"/>
      <c r="D369" s="41"/>
      <c r="G369" s="40"/>
    </row>
    <row r="370" spans="1:7" s="83" customFormat="1" ht="15" customHeight="1" x14ac:dyDescent="0.25">
      <c r="A370" s="810"/>
      <c r="B370" s="40"/>
      <c r="C370" s="40"/>
      <c r="D370" s="41"/>
      <c r="G370" s="40"/>
    </row>
    <row r="371" spans="1:7" s="83" customFormat="1" ht="15" customHeight="1" x14ac:dyDescent="0.25">
      <c r="A371" s="810"/>
      <c r="B371" s="40"/>
      <c r="C371" s="40"/>
      <c r="D371" s="41"/>
      <c r="G371" s="40"/>
    </row>
    <row r="372" spans="1:7" s="83" customFormat="1" ht="15" customHeight="1" x14ac:dyDescent="0.25">
      <c r="A372" s="810"/>
      <c r="B372" s="40"/>
      <c r="C372" s="40"/>
      <c r="D372" s="41"/>
      <c r="G372" s="40"/>
    </row>
    <row r="373" spans="1:7" s="83" customFormat="1" ht="15" customHeight="1" x14ac:dyDescent="0.25">
      <c r="A373" s="810"/>
      <c r="B373" s="40"/>
      <c r="C373" s="40"/>
      <c r="D373" s="41"/>
      <c r="G373" s="40"/>
    </row>
    <row r="374" spans="1:7" s="83" customFormat="1" ht="15" customHeight="1" x14ac:dyDescent="0.25">
      <c r="A374" s="810"/>
      <c r="B374" s="40"/>
      <c r="C374" s="40"/>
      <c r="D374" s="41"/>
      <c r="G374" s="40"/>
    </row>
    <row r="375" spans="1:7" s="83" customFormat="1" ht="15" customHeight="1" x14ac:dyDescent="0.25">
      <c r="A375" s="810"/>
      <c r="B375" s="40"/>
      <c r="C375" s="40"/>
      <c r="D375" s="41"/>
      <c r="G375" s="40"/>
    </row>
    <row r="376" spans="1:7" s="83" customFormat="1" ht="15" customHeight="1" x14ac:dyDescent="0.25">
      <c r="A376" s="810"/>
      <c r="B376" s="40"/>
      <c r="C376" s="40"/>
      <c r="D376" s="41"/>
      <c r="G376" s="40"/>
    </row>
    <row r="377" spans="1:7" s="83" customFormat="1" ht="15" customHeight="1" x14ac:dyDescent="0.25">
      <c r="A377" s="810"/>
      <c r="B377" s="40"/>
      <c r="C377" s="40"/>
      <c r="D377" s="41"/>
      <c r="G377" s="40"/>
    </row>
    <row r="378" spans="1:7" s="83" customFormat="1" ht="15" customHeight="1" x14ac:dyDescent="0.25">
      <c r="A378" s="810"/>
      <c r="B378" s="40"/>
      <c r="C378" s="40"/>
      <c r="D378" s="41"/>
      <c r="G378" s="40"/>
    </row>
    <row r="379" spans="1:7" s="83" customFormat="1" ht="15" customHeight="1" x14ac:dyDescent="0.25">
      <c r="A379" s="810"/>
      <c r="B379" s="40"/>
      <c r="C379" s="40"/>
      <c r="D379" s="41"/>
      <c r="G379" s="40"/>
    </row>
    <row r="380" spans="1:7" s="83" customFormat="1" ht="15" customHeight="1" x14ac:dyDescent="0.25">
      <c r="A380" s="810"/>
      <c r="B380" s="40"/>
      <c r="C380" s="40"/>
      <c r="D380" s="41"/>
      <c r="G380" s="40"/>
    </row>
    <row r="381" spans="1:7" s="83" customFormat="1" ht="15" customHeight="1" x14ac:dyDescent="0.25">
      <c r="A381" s="810"/>
      <c r="B381" s="40"/>
      <c r="C381" s="40"/>
      <c r="D381" s="41"/>
      <c r="G381" s="40"/>
    </row>
    <row r="382" spans="1:7" s="83" customFormat="1" ht="15" customHeight="1" x14ac:dyDescent="0.25">
      <c r="A382" s="810"/>
      <c r="B382" s="40"/>
      <c r="C382" s="40"/>
      <c r="D382" s="41"/>
      <c r="G382" s="40"/>
    </row>
    <row r="383" spans="1:7" s="83" customFormat="1" ht="15" customHeight="1" x14ac:dyDescent="0.25">
      <c r="A383" s="810"/>
      <c r="B383" s="40"/>
      <c r="C383" s="40"/>
      <c r="D383" s="41"/>
      <c r="G383" s="40"/>
    </row>
    <row r="384" spans="1:7" s="83" customFormat="1" ht="15" customHeight="1" x14ac:dyDescent="0.25">
      <c r="A384" s="810"/>
      <c r="B384" s="40"/>
      <c r="C384" s="40"/>
      <c r="D384" s="41"/>
      <c r="G384" s="40"/>
    </row>
    <row r="385" spans="1:7" s="83" customFormat="1" ht="15" customHeight="1" x14ac:dyDescent="0.25">
      <c r="A385" s="810"/>
      <c r="B385" s="40"/>
      <c r="C385" s="40"/>
      <c r="D385" s="41"/>
      <c r="G385" s="40"/>
    </row>
    <row r="386" spans="1:7" s="83" customFormat="1" ht="15" customHeight="1" x14ac:dyDescent="0.25">
      <c r="A386" s="810"/>
      <c r="B386" s="40"/>
      <c r="C386" s="40"/>
      <c r="D386" s="41"/>
      <c r="G386" s="40"/>
    </row>
    <row r="387" spans="1:7" s="83" customFormat="1" ht="15" customHeight="1" x14ac:dyDescent="0.25">
      <c r="A387" s="810"/>
      <c r="B387" s="40"/>
      <c r="C387" s="40"/>
      <c r="D387" s="41"/>
      <c r="G387" s="40"/>
    </row>
    <row r="388" spans="1:7" s="83" customFormat="1" ht="15" customHeight="1" x14ac:dyDescent="0.25">
      <c r="A388" s="810"/>
      <c r="B388" s="40"/>
      <c r="C388" s="40"/>
      <c r="D388" s="41"/>
      <c r="G388" s="40"/>
    </row>
    <row r="389" spans="1:7" s="83" customFormat="1" ht="15" customHeight="1" x14ac:dyDescent="0.25">
      <c r="A389" s="810"/>
      <c r="B389" s="40"/>
      <c r="C389" s="40"/>
      <c r="D389" s="41"/>
      <c r="G389" s="40"/>
    </row>
    <row r="390" spans="1:7" s="83" customFormat="1" ht="15" customHeight="1" x14ac:dyDescent="0.25">
      <c r="A390" s="810"/>
      <c r="B390" s="40"/>
      <c r="C390" s="40"/>
      <c r="D390" s="41"/>
      <c r="G390" s="40"/>
    </row>
    <row r="391" spans="1:7" s="83" customFormat="1" ht="15" customHeight="1" x14ac:dyDescent="0.25">
      <c r="A391" s="810"/>
      <c r="B391" s="40"/>
      <c r="C391" s="40"/>
      <c r="D391" s="41"/>
      <c r="G391" s="40"/>
    </row>
    <row r="392" spans="1:7" s="83" customFormat="1" ht="15" customHeight="1" x14ac:dyDescent="0.25">
      <c r="A392" s="810"/>
      <c r="B392" s="40"/>
      <c r="C392" s="40"/>
      <c r="D392" s="41"/>
      <c r="G392" s="40"/>
    </row>
    <row r="393" spans="1:7" s="83" customFormat="1" ht="15" customHeight="1" x14ac:dyDescent="0.25">
      <c r="A393" s="810"/>
      <c r="B393" s="40"/>
      <c r="C393" s="40"/>
      <c r="D393" s="41"/>
      <c r="G393" s="40"/>
    </row>
    <row r="394" spans="1:7" s="83" customFormat="1" ht="15" customHeight="1" x14ac:dyDescent="0.25">
      <c r="A394" s="810"/>
      <c r="B394" s="40"/>
      <c r="C394" s="40"/>
      <c r="D394" s="41"/>
      <c r="G394" s="40"/>
    </row>
    <row r="395" spans="1:7" s="83" customFormat="1" ht="15" customHeight="1" x14ac:dyDescent="0.25">
      <c r="A395" s="810"/>
      <c r="B395" s="40"/>
      <c r="C395" s="40"/>
      <c r="D395" s="41"/>
      <c r="G395" s="40"/>
    </row>
    <row r="396" spans="1:7" s="83" customFormat="1" ht="15" customHeight="1" x14ac:dyDescent="0.25">
      <c r="A396" s="810"/>
      <c r="B396" s="40"/>
      <c r="C396" s="40"/>
      <c r="D396" s="41"/>
      <c r="G396" s="40"/>
    </row>
    <row r="397" spans="1:7" s="83" customFormat="1" ht="15" customHeight="1" x14ac:dyDescent="0.25">
      <c r="A397" s="810"/>
      <c r="B397" s="40"/>
      <c r="C397" s="40"/>
      <c r="D397" s="41"/>
      <c r="G397" s="40"/>
    </row>
    <row r="398" spans="1:7" s="83" customFormat="1" ht="15" customHeight="1" x14ac:dyDescent="0.25">
      <c r="A398" s="810"/>
      <c r="B398" s="40"/>
      <c r="C398" s="40"/>
      <c r="D398" s="41"/>
      <c r="G398" s="40"/>
    </row>
    <row r="399" spans="1:7" s="83" customFormat="1" ht="15" customHeight="1" x14ac:dyDescent="0.25">
      <c r="A399" s="810"/>
      <c r="B399" s="40"/>
      <c r="C399" s="40"/>
      <c r="D399" s="41"/>
      <c r="G399" s="40"/>
    </row>
    <row r="400" spans="1:7" s="83" customFormat="1" ht="15" customHeight="1" x14ac:dyDescent="0.25">
      <c r="A400" s="810"/>
      <c r="B400" s="40"/>
      <c r="C400" s="40"/>
      <c r="D400" s="41"/>
      <c r="G400" s="40"/>
    </row>
    <row r="401" spans="1:7" s="83" customFormat="1" ht="15" customHeight="1" x14ac:dyDescent="0.25">
      <c r="A401" s="810"/>
      <c r="B401" s="40"/>
      <c r="C401" s="40"/>
      <c r="D401" s="41"/>
      <c r="G401" s="40"/>
    </row>
    <row r="402" spans="1:7" s="83" customFormat="1" ht="15" customHeight="1" x14ac:dyDescent="0.25">
      <c r="A402" s="810"/>
      <c r="B402" s="40"/>
      <c r="C402" s="40"/>
      <c r="D402" s="41"/>
      <c r="G402" s="40"/>
    </row>
    <row r="403" spans="1:7" s="83" customFormat="1" ht="15" customHeight="1" x14ac:dyDescent="0.25">
      <c r="A403" s="810"/>
      <c r="B403" s="40"/>
      <c r="C403" s="40"/>
      <c r="D403" s="41"/>
      <c r="G403" s="40"/>
    </row>
    <row r="404" spans="1:7" s="83" customFormat="1" ht="15" customHeight="1" x14ac:dyDescent="0.25">
      <c r="A404" s="810"/>
      <c r="B404" s="40"/>
      <c r="C404" s="40"/>
      <c r="D404" s="41"/>
      <c r="G404" s="40"/>
    </row>
    <row r="405" spans="1:7" s="83" customFormat="1" ht="15" customHeight="1" x14ac:dyDescent="0.25">
      <c r="A405" s="810"/>
      <c r="B405" s="40"/>
      <c r="C405" s="40"/>
      <c r="D405" s="41"/>
      <c r="G405" s="40"/>
    </row>
    <row r="406" spans="1:7" s="83" customFormat="1" ht="15" customHeight="1" x14ac:dyDescent="0.25">
      <c r="A406" s="810"/>
      <c r="B406" s="40"/>
      <c r="C406" s="40"/>
      <c r="D406" s="41"/>
      <c r="G406" s="40"/>
    </row>
    <row r="407" spans="1:7" s="83" customFormat="1" ht="15" customHeight="1" x14ac:dyDescent="0.25">
      <c r="A407" s="810"/>
      <c r="B407" s="40"/>
      <c r="C407" s="40"/>
      <c r="D407" s="41"/>
      <c r="G407" s="40"/>
    </row>
    <row r="408" spans="1:7" s="83" customFormat="1" ht="15" customHeight="1" x14ac:dyDescent="0.25">
      <c r="A408" s="810"/>
      <c r="B408" s="40"/>
      <c r="C408" s="40"/>
      <c r="D408" s="41"/>
      <c r="G408" s="40"/>
    </row>
    <row r="409" spans="1:7" s="83" customFormat="1" ht="15" customHeight="1" x14ac:dyDescent="0.25">
      <c r="A409" s="810"/>
      <c r="B409" s="40"/>
      <c r="C409" s="40"/>
      <c r="D409" s="41"/>
      <c r="G409" s="40"/>
    </row>
    <row r="410" spans="1:7" s="83" customFormat="1" ht="15" customHeight="1" x14ac:dyDescent="0.25">
      <c r="A410" s="810"/>
      <c r="B410" s="40"/>
      <c r="C410" s="40"/>
      <c r="D410" s="41"/>
      <c r="G410" s="40"/>
    </row>
    <row r="411" spans="1:7" s="83" customFormat="1" ht="15" customHeight="1" x14ac:dyDescent="0.25">
      <c r="A411" s="810"/>
      <c r="B411" s="40"/>
      <c r="C411" s="40"/>
      <c r="D411" s="41"/>
      <c r="G411" s="40"/>
    </row>
    <row r="412" spans="1:7" s="83" customFormat="1" ht="15" customHeight="1" x14ac:dyDescent="0.25">
      <c r="A412" s="810"/>
      <c r="B412" s="40"/>
      <c r="C412" s="40"/>
      <c r="D412" s="41"/>
      <c r="G412" s="40"/>
    </row>
    <row r="413" spans="1:7" s="83" customFormat="1" ht="15" customHeight="1" x14ac:dyDescent="0.25">
      <c r="A413" s="810"/>
      <c r="B413" s="40"/>
      <c r="C413" s="40"/>
      <c r="D413" s="41"/>
      <c r="G413" s="40"/>
    </row>
    <row r="414" spans="1:7" s="83" customFormat="1" ht="15" customHeight="1" x14ac:dyDescent="0.25">
      <c r="A414" s="810"/>
      <c r="B414" s="40"/>
      <c r="C414" s="40"/>
      <c r="D414" s="41"/>
      <c r="G414" s="40"/>
    </row>
    <row r="415" spans="1:7" s="83" customFormat="1" ht="15" customHeight="1" x14ac:dyDescent="0.25">
      <c r="A415" s="810"/>
      <c r="B415" s="40"/>
      <c r="C415" s="40"/>
      <c r="D415" s="41"/>
      <c r="G415" s="40"/>
    </row>
    <row r="416" spans="1:7" s="83" customFormat="1" ht="15" customHeight="1" x14ac:dyDescent="0.25">
      <c r="A416" s="810"/>
      <c r="B416" s="40"/>
      <c r="C416" s="40"/>
      <c r="D416" s="41"/>
      <c r="G416" s="40"/>
    </row>
    <row r="417" spans="1:7" s="83" customFormat="1" ht="15" customHeight="1" x14ac:dyDescent="0.25">
      <c r="A417" s="810"/>
      <c r="B417" s="40"/>
      <c r="C417" s="40"/>
      <c r="D417" s="41"/>
      <c r="G417" s="40"/>
    </row>
    <row r="418" spans="1:7" s="83" customFormat="1" ht="15" customHeight="1" x14ac:dyDescent="0.25">
      <c r="A418" s="810"/>
      <c r="B418" s="40"/>
      <c r="C418" s="40"/>
      <c r="D418" s="41"/>
      <c r="G418" s="40"/>
    </row>
    <row r="419" spans="1:7" s="83" customFormat="1" ht="15" customHeight="1" x14ac:dyDescent="0.25">
      <c r="A419" s="810"/>
      <c r="B419" s="40"/>
      <c r="C419" s="40"/>
      <c r="D419" s="41"/>
      <c r="G419" s="40"/>
    </row>
    <row r="420" spans="1:7" s="83" customFormat="1" ht="15" customHeight="1" x14ac:dyDescent="0.25">
      <c r="A420" s="810"/>
      <c r="B420" s="40"/>
      <c r="C420" s="40"/>
      <c r="D420" s="41"/>
      <c r="G420" s="40"/>
    </row>
    <row r="421" spans="1:7" s="83" customFormat="1" ht="15" customHeight="1" x14ac:dyDescent="0.25">
      <c r="A421" s="810"/>
      <c r="B421" s="40"/>
      <c r="C421" s="40"/>
      <c r="D421" s="41"/>
      <c r="G421" s="40"/>
    </row>
    <row r="422" spans="1:7" s="83" customFormat="1" ht="15" customHeight="1" x14ac:dyDescent="0.25">
      <c r="A422" s="810"/>
      <c r="B422" s="40"/>
      <c r="C422" s="40"/>
      <c r="D422" s="41"/>
      <c r="G422" s="40"/>
    </row>
    <row r="423" spans="1:7" s="83" customFormat="1" ht="15" customHeight="1" x14ac:dyDescent="0.25">
      <c r="A423" s="810"/>
      <c r="B423" s="40"/>
      <c r="C423" s="40"/>
      <c r="D423" s="41"/>
      <c r="G423" s="40"/>
    </row>
    <row r="424" spans="1:7" s="83" customFormat="1" ht="15" customHeight="1" x14ac:dyDescent="0.25">
      <c r="A424" s="810"/>
      <c r="B424" s="40"/>
      <c r="C424" s="40"/>
      <c r="D424" s="41"/>
      <c r="G424" s="40"/>
    </row>
    <row r="425" spans="1:7" s="83" customFormat="1" ht="15" customHeight="1" x14ac:dyDescent="0.25">
      <c r="A425" s="810"/>
      <c r="B425" s="40"/>
      <c r="C425" s="40"/>
      <c r="D425" s="41"/>
      <c r="G425" s="40"/>
    </row>
    <row r="426" spans="1:7" s="83" customFormat="1" ht="15" customHeight="1" x14ac:dyDescent="0.25">
      <c r="A426" s="810"/>
      <c r="B426" s="40"/>
      <c r="C426" s="40"/>
      <c r="D426" s="41"/>
      <c r="G426" s="40"/>
    </row>
    <row r="427" spans="1:7" s="83" customFormat="1" ht="15" customHeight="1" x14ac:dyDescent="0.25">
      <c r="A427" s="810"/>
      <c r="B427" s="40"/>
      <c r="C427" s="40"/>
      <c r="D427" s="41"/>
      <c r="G427" s="40"/>
    </row>
    <row r="428" spans="1:7" s="83" customFormat="1" ht="15" customHeight="1" x14ac:dyDescent="0.25">
      <c r="A428" s="810"/>
      <c r="B428" s="40"/>
      <c r="C428" s="40"/>
      <c r="D428" s="41"/>
      <c r="G428" s="40"/>
    </row>
    <row r="429" spans="1:7" s="83" customFormat="1" ht="15" customHeight="1" x14ac:dyDescent="0.25">
      <c r="A429" s="810"/>
      <c r="B429" s="40"/>
      <c r="C429" s="40"/>
      <c r="D429" s="41"/>
      <c r="G429" s="40"/>
    </row>
    <row r="430" spans="1:7" s="83" customFormat="1" ht="15" customHeight="1" x14ac:dyDescent="0.25">
      <c r="A430" s="810"/>
      <c r="B430" s="40"/>
      <c r="C430" s="40"/>
      <c r="D430" s="41"/>
      <c r="G430" s="40"/>
    </row>
    <row r="431" spans="1:7" s="83" customFormat="1" ht="15" customHeight="1" x14ac:dyDescent="0.25">
      <c r="A431" s="810"/>
      <c r="B431" s="40"/>
      <c r="C431" s="40"/>
      <c r="D431" s="41"/>
      <c r="G431" s="40"/>
    </row>
    <row r="432" spans="1:7" s="83" customFormat="1" ht="15" customHeight="1" x14ac:dyDescent="0.25">
      <c r="A432" s="810"/>
      <c r="B432" s="40"/>
      <c r="C432" s="40"/>
      <c r="D432" s="41"/>
      <c r="G432" s="40"/>
    </row>
    <row r="433" spans="1:7" s="83" customFormat="1" ht="15" customHeight="1" x14ac:dyDescent="0.25">
      <c r="A433" s="810"/>
      <c r="B433" s="40"/>
      <c r="C433" s="40"/>
      <c r="D433" s="41"/>
      <c r="G433" s="40"/>
    </row>
    <row r="434" spans="1:7" s="83" customFormat="1" ht="15" customHeight="1" x14ac:dyDescent="0.25">
      <c r="A434" s="810"/>
      <c r="B434" s="40"/>
      <c r="C434" s="40"/>
      <c r="D434" s="41"/>
      <c r="G434" s="40"/>
    </row>
    <row r="435" spans="1:7" s="83" customFormat="1" ht="15" customHeight="1" x14ac:dyDescent="0.25">
      <c r="A435" s="810"/>
      <c r="B435" s="40"/>
      <c r="C435" s="40"/>
      <c r="D435" s="41"/>
      <c r="G435" s="40"/>
    </row>
    <row r="436" spans="1:7" s="83" customFormat="1" ht="15" customHeight="1" x14ac:dyDescent="0.25">
      <c r="A436" s="810"/>
      <c r="B436" s="40"/>
      <c r="C436" s="40"/>
      <c r="D436" s="41"/>
      <c r="G436" s="40"/>
    </row>
    <row r="437" spans="1:7" s="83" customFormat="1" ht="15" customHeight="1" x14ac:dyDescent="0.25">
      <c r="A437" s="810"/>
      <c r="B437" s="40"/>
      <c r="C437" s="40"/>
      <c r="D437" s="41"/>
      <c r="G437" s="40"/>
    </row>
    <row r="438" spans="1:7" s="83" customFormat="1" ht="15" customHeight="1" x14ac:dyDescent="0.25">
      <c r="A438" s="810"/>
      <c r="B438" s="40"/>
      <c r="C438" s="40"/>
      <c r="D438" s="41"/>
      <c r="G438" s="40"/>
    </row>
    <row r="439" spans="1:7" s="83" customFormat="1" ht="15" customHeight="1" x14ac:dyDescent="0.25">
      <c r="A439" s="810"/>
      <c r="B439" s="40"/>
      <c r="C439" s="40"/>
      <c r="D439" s="41"/>
      <c r="G439" s="40"/>
    </row>
    <row r="440" spans="1:7" s="83" customFormat="1" ht="15" customHeight="1" x14ac:dyDescent="0.25">
      <c r="A440" s="810"/>
      <c r="B440" s="40"/>
      <c r="C440" s="40"/>
      <c r="D440" s="41"/>
      <c r="G440" s="40"/>
    </row>
    <row r="441" spans="1:7" s="83" customFormat="1" ht="15" customHeight="1" x14ac:dyDescent="0.25">
      <c r="A441" s="810"/>
      <c r="B441" s="40"/>
      <c r="C441" s="40"/>
      <c r="D441" s="41"/>
      <c r="G441" s="40"/>
    </row>
    <row r="442" spans="1:7" s="83" customFormat="1" ht="15" customHeight="1" x14ac:dyDescent="0.25">
      <c r="A442" s="810"/>
      <c r="B442" s="40"/>
      <c r="C442" s="40"/>
      <c r="D442" s="41"/>
      <c r="G442" s="40"/>
    </row>
    <row r="443" spans="1:7" s="83" customFormat="1" ht="15" customHeight="1" x14ac:dyDescent="0.25">
      <c r="A443" s="810"/>
      <c r="B443" s="40"/>
      <c r="C443" s="40"/>
      <c r="D443" s="41"/>
      <c r="G443" s="40"/>
    </row>
    <row r="444" spans="1:7" s="83" customFormat="1" ht="15" customHeight="1" x14ac:dyDescent="0.25">
      <c r="A444" s="810"/>
      <c r="B444" s="40"/>
      <c r="C444" s="40"/>
      <c r="D444" s="41"/>
      <c r="G444" s="40"/>
    </row>
    <row r="445" spans="1:7" s="83" customFormat="1" ht="15" customHeight="1" x14ac:dyDescent="0.25">
      <c r="A445" s="810"/>
      <c r="B445" s="40"/>
      <c r="C445" s="40"/>
      <c r="D445" s="41"/>
      <c r="G445" s="40"/>
    </row>
    <row r="446" spans="1:7" s="83" customFormat="1" ht="15" customHeight="1" x14ac:dyDescent="0.25">
      <c r="A446" s="810"/>
      <c r="B446" s="40"/>
      <c r="C446" s="40"/>
      <c r="D446" s="41"/>
      <c r="G446" s="40"/>
    </row>
    <row r="447" spans="1:7" s="83" customFormat="1" ht="15" customHeight="1" x14ac:dyDescent="0.25">
      <c r="A447" s="810"/>
      <c r="B447" s="40"/>
      <c r="C447" s="40"/>
      <c r="D447" s="41"/>
      <c r="G447" s="40"/>
    </row>
    <row r="448" spans="1:7" s="83" customFormat="1" ht="15" customHeight="1" x14ac:dyDescent="0.25">
      <c r="A448" s="810"/>
      <c r="B448" s="40"/>
      <c r="C448" s="40"/>
      <c r="D448" s="41"/>
      <c r="G448" s="40"/>
    </row>
    <row r="449" spans="1:7" s="83" customFormat="1" ht="15" customHeight="1" x14ac:dyDescent="0.25">
      <c r="A449" s="810"/>
      <c r="B449" s="40"/>
      <c r="C449" s="40"/>
      <c r="D449" s="41"/>
      <c r="G449" s="40"/>
    </row>
    <row r="450" spans="1:7" s="83" customFormat="1" ht="15" customHeight="1" x14ac:dyDescent="0.25">
      <c r="A450" s="810"/>
      <c r="B450" s="40"/>
      <c r="C450" s="40"/>
      <c r="D450" s="41"/>
      <c r="G450" s="40"/>
    </row>
    <row r="451" spans="1:7" s="83" customFormat="1" ht="15" customHeight="1" x14ac:dyDescent="0.25">
      <c r="A451" s="810"/>
      <c r="B451" s="40"/>
      <c r="C451" s="40"/>
      <c r="D451" s="41"/>
      <c r="G451" s="40"/>
    </row>
    <row r="452" spans="1:7" s="83" customFormat="1" ht="15" customHeight="1" x14ac:dyDescent="0.25">
      <c r="A452" s="810"/>
      <c r="B452" s="40"/>
      <c r="C452" s="40"/>
      <c r="D452" s="41"/>
      <c r="G452" s="40"/>
    </row>
    <row r="453" spans="1:7" s="83" customFormat="1" ht="15" customHeight="1" x14ac:dyDescent="0.25">
      <c r="A453" s="810"/>
      <c r="B453" s="40"/>
      <c r="C453" s="40"/>
      <c r="D453" s="41"/>
      <c r="G453" s="40"/>
    </row>
    <row r="454" spans="1:7" s="83" customFormat="1" ht="15" customHeight="1" x14ac:dyDescent="0.25">
      <c r="A454" s="810"/>
      <c r="B454" s="40"/>
      <c r="C454" s="40"/>
      <c r="D454" s="41"/>
      <c r="G454" s="40"/>
    </row>
    <row r="455" spans="1:7" s="83" customFormat="1" ht="15" customHeight="1" x14ac:dyDescent="0.25">
      <c r="A455" s="810"/>
      <c r="B455" s="40"/>
      <c r="C455" s="40"/>
      <c r="D455" s="41"/>
      <c r="G455" s="40"/>
    </row>
    <row r="456" spans="1:7" s="83" customFormat="1" ht="15" customHeight="1" x14ac:dyDescent="0.25">
      <c r="A456" s="810"/>
      <c r="B456" s="40"/>
      <c r="C456" s="40"/>
      <c r="D456" s="41"/>
      <c r="G456" s="40"/>
    </row>
    <row r="457" spans="1:7" s="83" customFormat="1" ht="15" customHeight="1" x14ac:dyDescent="0.25">
      <c r="A457" s="810"/>
      <c r="B457" s="40"/>
      <c r="C457" s="40"/>
      <c r="D457" s="41"/>
      <c r="G457" s="40"/>
    </row>
    <row r="458" spans="1:7" s="83" customFormat="1" ht="15" customHeight="1" x14ac:dyDescent="0.25">
      <c r="A458" s="810"/>
      <c r="B458" s="40"/>
      <c r="C458" s="40"/>
      <c r="D458" s="41"/>
      <c r="G458" s="40"/>
    </row>
    <row r="459" spans="1:7" s="83" customFormat="1" ht="15" customHeight="1" x14ac:dyDescent="0.25">
      <c r="A459" s="810"/>
      <c r="B459" s="40"/>
      <c r="C459" s="40"/>
      <c r="D459" s="41"/>
      <c r="G459" s="40"/>
    </row>
    <row r="460" spans="1:7" s="83" customFormat="1" ht="15" customHeight="1" x14ac:dyDescent="0.25">
      <c r="A460" s="810"/>
      <c r="B460" s="40"/>
      <c r="C460" s="40"/>
      <c r="D460" s="41"/>
      <c r="G460" s="40"/>
    </row>
    <row r="461" spans="1:7" s="83" customFormat="1" ht="15" customHeight="1" x14ac:dyDescent="0.25">
      <c r="A461" s="810"/>
      <c r="B461" s="40"/>
      <c r="C461" s="40"/>
      <c r="D461" s="41"/>
      <c r="G461" s="40"/>
    </row>
    <row r="462" spans="1:7" s="83" customFormat="1" ht="15" customHeight="1" x14ac:dyDescent="0.25">
      <c r="A462" s="810"/>
      <c r="B462" s="40"/>
      <c r="C462" s="40"/>
      <c r="D462" s="41"/>
      <c r="G462" s="40"/>
    </row>
    <row r="463" spans="1:7" s="83" customFormat="1" ht="15" customHeight="1" x14ac:dyDescent="0.25">
      <c r="A463" s="810"/>
      <c r="B463" s="40"/>
      <c r="C463" s="40"/>
      <c r="D463" s="41"/>
      <c r="G463" s="40"/>
    </row>
    <row r="464" spans="1:7" s="83" customFormat="1" ht="15" customHeight="1" x14ac:dyDescent="0.25">
      <c r="A464" s="810"/>
      <c r="B464" s="40"/>
      <c r="C464" s="40"/>
      <c r="D464" s="41"/>
      <c r="G464" s="40"/>
    </row>
    <row r="465" spans="1:7" s="83" customFormat="1" ht="15" customHeight="1" x14ac:dyDescent="0.25">
      <c r="A465" s="810"/>
      <c r="B465" s="40"/>
      <c r="C465" s="40"/>
      <c r="D465" s="41"/>
      <c r="G465" s="40"/>
    </row>
    <row r="466" spans="1:7" s="83" customFormat="1" ht="15" customHeight="1" x14ac:dyDescent="0.25">
      <c r="A466" s="810"/>
      <c r="B466" s="40"/>
      <c r="C466" s="40"/>
      <c r="D466" s="41"/>
      <c r="G466" s="40"/>
    </row>
    <row r="467" spans="1:7" s="83" customFormat="1" ht="15" customHeight="1" x14ac:dyDescent="0.25">
      <c r="A467" s="810"/>
      <c r="B467" s="40"/>
      <c r="C467" s="40"/>
      <c r="D467" s="41"/>
      <c r="G467" s="40"/>
    </row>
    <row r="468" spans="1:7" s="83" customFormat="1" ht="15" customHeight="1" x14ac:dyDescent="0.25">
      <c r="A468" s="810"/>
      <c r="B468" s="40"/>
      <c r="C468" s="40"/>
      <c r="D468" s="41"/>
      <c r="G468" s="40"/>
    </row>
    <row r="469" spans="1:7" s="83" customFormat="1" ht="15" customHeight="1" x14ac:dyDescent="0.25">
      <c r="A469" s="810"/>
      <c r="B469" s="40"/>
      <c r="C469" s="40"/>
      <c r="D469" s="41"/>
      <c r="G469" s="40"/>
    </row>
    <row r="470" spans="1:7" s="83" customFormat="1" ht="15" customHeight="1" x14ac:dyDescent="0.25">
      <c r="A470" s="810"/>
      <c r="B470" s="40"/>
      <c r="C470" s="40"/>
      <c r="D470" s="41"/>
      <c r="G470" s="40"/>
    </row>
    <row r="471" spans="1:7" s="83" customFormat="1" ht="15" customHeight="1" x14ac:dyDescent="0.25">
      <c r="A471" s="810"/>
      <c r="B471" s="40"/>
      <c r="C471" s="40"/>
      <c r="D471" s="41"/>
      <c r="G471" s="40"/>
    </row>
    <row r="472" spans="1:7" s="83" customFormat="1" ht="15" customHeight="1" x14ac:dyDescent="0.25">
      <c r="A472" s="810"/>
      <c r="B472" s="40"/>
      <c r="C472" s="40"/>
      <c r="D472" s="41"/>
      <c r="G472" s="40"/>
    </row>
    <row r="473" spans="1:7" s="83" customFormat="1" ht="15" customHeight="1" x14ac:dyDescent="0.25">
      <c r="A473" s="810"/>
      <c r="B473" s="40"/>
      <c r="C473" s="40"/>
      <c r="D473" s="41"/>
      <c r="G473" s="40"/>
    </row>
    <row r="474" spans="1:7" s="83" customFormat="1" ht="15" customHeight="1" x14ac:dyDescent="0.25">
      <c r="A474" s="810"/>
      <c r="B474" s="40"/>
      <c r="C474" s="40"/>
      <c r="D474" s="41"/>
      <c r="G474" s="40"/>
    </row>
    <row r="475" spans="1:7" s="83" customFormat="1" ht="15" customHeight="1" x14ac:dyDescent="0.25">
      <c r="A475" s="810"/>
      <c r="B475" s="40"/>
      <c r="C475" s="40"/>
      <c r="D475" s="41"/>
      <c r="G475" s="40"/>
    </row>
    <row r="476" spans="1:7" s="83" customFormat="1" ht="15" customHeight="1" x14ac:dyDescent="0.25">
      <c r="A476" s="810"/>
      <c r="B476" s="40"/>
      <c r="C476" s="40"/>
      <c r="D476" s="41"/>
      <c r="G476" s="40"/>
    </row>
    <row r="477" spans="1:7" s="83" customFormat="1" ht="15" customHeight="1" x14ac:dyDescent="0.25">
      <c r="A477" s="810"/>
      <c r="B477" s="40"/>
      <c r="C477" s="40"/>
      <c r="D477" s="41"/>
      <c r="G477" s="40"/>
    </row>
    <row r="478" spans="1:7" s="83" customFormat="1" ht="15" customHeight="1" x14ac:dyDescent="0.25">
      <c r="A478" s="810"/>
      <c r="B478" s="40"/>
      <c r="C478" s="40"/>
      <c r="D478" s="41"/>
      <c r="G478" s="40"/>
    </row>
    <row r="479" spans="1:7" s="83" customFormat="1" ht="15" customHeight="1" x14ac:dyDescent="0.25">
      <c r="A479" s="810"/>
      <c r="B479" s="40"/>
      <c r="C479" s="40"/>
      <c r="D479" s="41"/>
      <c r="G479" s="40"/>
    </row>
    <row r="480" spans="1:7" s="83" customFormat="1" ht="15" customHeight="1" x14ac:dyDescent="0.25">
      <c r="A480" s="810"/>
      <c r="B480" s="40"/>
      <c r="C480" s="40"/>
      <c r="D480" s="41"/>
      <c r="G480" s="40"/>
    </row>
    <row r="481" spans="1:7" s="83" customFormat="1" ht="15" customHeight="1" x14ac:dyDescent="0.25">
      <c r="A481" s="810"/>
      <c r="B481" s="40"/>
      <c r="C481" s="40"/>
      <c r="D481" s="41"/>
      <c r="G481" s="40"/>
    </row>
    <row r="482" spans="1:7" s="83" customFormat="1" ht="15" customHeight="1" x14ac:dyDescent="0.25">
      <c r="A482" s="810"/>
      <c r="B482" s="40"/>
      <c r="C482" s="40"/>
      <c r="D482" s="41"/>
      <c r="G482" s="40"/>
    </row>
    <row r="483" spans="1:7" s="83" customFormat="1" ht="15" customHeight="1" x14ac:dyDescent="0.25">
      <c r="A483" s="810"/>
      <c r="B483" s="40"/>
      <c r="C483" s="40"/>
      <c r="D483" s="41"/>
      <c r="G483" s="40"/>
    </row>
    <row r="484" spans="1:7" s="83" customFormat="1" ht="15" customHeight="1" x14ac:dyDescent="0.25">
      <c r="A484" s="810"/>
      <c r="B484" s="40"/>
      <c r="C484" s="40"/>
      <c r="D484" s="41"/>
      <c r="G484" s="40"/>
    </row>
    <row r="485" spans="1:7" s="83" customFormat="1" ht="15" customHeight="1" x14ac:dyDescent="0.25">
      <c r="A485" s="810"/>
      <c r="B485" s="40"/>
      <c r="C485" s="40"/>
      <c r="D485" s="41"/>
      <c r="G485" s="40"/>
    </row>
    <row r="486" spans="1:7" s="83" customFormat="1" ht="15" customHeight="1" x14ac:dyDescent="0.25">
      <c r="A486" s="810"/>
      <c r="B486" s="40"/>
      <c r="C486" s="40"/>
      <c r="D486" s="41"/>
      <c r="G486" s="40"/>
    </row>
    <row r="487" spans="1:7" s="83" customFormat="1" ht="15" customHeight="1" x14ac:dyDescent="0.25">
      <c r="A487" s="810"/>
      <c r="B487" s="40"/>
      <c r="C487" s="40"/>
      <c r="D487" s="41"/>
      <c r="G487" s="40"/>
    </row>
    <row r="488" spans="1:7" s="83" customFormat="1" ht="15" customHeight="1" x14ac:dyDescent="0.25">
      <c r="A488" s="810"/>
      <c r="B488" s="40"/>
      <c r="C488" s="40"/>
      <c r="D488" s="41"/>
      <c r="G488" s="40"/>
    </row>
    <row r="489" spans="1:7" s="83" customFormat="1" ht="15" customHeight="1" x14ac:dyDescent="0.25">
      <c r="A489" s="810"/>
      <c r="B489" s="40"/>
      <c r="C489" s="40"/>
      <c r="D489" s="41"/>
      <c r="G489" s="40"/>
    </row>
    <row r="490" spans="1:7" s="83" customFormat="1" ht="15" customHeight="1" x14ac:dyDescent="0.25">
      <c r="A490" s="810"/>
      <c r="B490" s="40"/>
      <c r="C490" s="40"/>
      <c r="D490" s="41"/>
      <c r="G490" s="40"/>
    </row>
    <row r="491" spans="1:7" s="83" customFormat="1" ht="15" customHeight="1" x14ac:dyDescent="0.25">
      <c r="A491" s="810"/>
      <c r="B491" s="40"/>
      <c r="C491" s="40"/>
      <c r="D491" s="41"/>
      <c r="G491" s="40"/>
    </row>
    <row r="492" spans="1:7" s="83" customFormat="1" ht="15" customHeight="1" x14ac:dyDescent="0.25">
      <c r="A492" s="810"/>
      <c r="B492" s="40"/>
      <c r="C492" s="40"/>
      <c r="D492" s="41"/>
      <c r="G492" s="40"/>
    </row>
    <row r="493" spans="1:7" s="83" customFormat="1" ht="15" customHeight="1" x14ac:dyDescent="0.25">
      <c r="A493" s="810"/>
      <c r="B493" s="40"/>
      <c r="C493" s="40"/>
      <c r="D493" s="41"/>
      <c r="G493" s="40"/>
    </row>
    <row r="494" spans="1:7" s="83" customFormat="1" ht="15" customHeight="1" x14ac:dyDescent="0.25">
      <c r="A494" s="810"/>
      <c r="B494" s="40"/>
      <c r="C494" s="40"/>
      <c r="D494" s="41"/>
      <c r="G494" s="40"/>
    </row>
    <row r="495" spans="1:7" s="83" customFormat="1" ht="15" customHeight="1" x14ac:dyDescent="0.25">
      <c r="A495" s="810"/>
      <c r="B495" s="40"/>
      <c r="C495" s="40"/>
      <c r="D495" s="41"/>
      <c r="G495" s="40"/>
    </row>
    <row r="496" spans="1:7" s="83" customFormat="1" ht="15" customHeight="1" x14ac:dyDescent="0.25">
      <c r="A496" s="810"/>
      <c r="B496" s="40"/>
      <c r="C496" s="40"/>
      <c r="D496" s="41"/>
      <c r="G496" s="40"/>
    </row>
    <row r="497" spans="1:7" s="83" customFormat="1" ht="15" customHeight="1" x14ac:dyDescent="0.25">
      <c r="A497" s="810"/>
      <c r="B497" s="40"/>
      <c r="C497" s="40"/>
      <c r="D497" s="41"/>
      <c r="G497" s="40"/>
    </row>
    <row r="498" spans="1:7" s="83" customFormat="1" ht="15" customHeight="1" x14ac:dyDescent="0.25">
      <c r="A498" s="810"/>
      <c r="B498" s="40"/>
      <c r="C498" s="40"/>
      <c r="D498" s="41"/>
      <c r="G498" s="40"/>
    </row>
    <row r="499" spans="1:7" s="83" customFormat="1" ht="15" customHeight="1" x14ac:dyDescent="0.25">
      <c r="A499" s="810"/>
      <c r="B499" s="40"/>
      <c r="C499" s="40"/>
      <c r="D499" s="41"/>
      <c r="G499" s="40"/>
    </row>
    <row r="500" spans="1:7" s="83" customFormat="1" ht="15" customHeight="1" x14ac:dyDescent="0.25">
      <c r="A500" s="810"/>
      <c r="B500" s="40"/>
      <c r="C500" s="40"/>
      <c r="D500" s="41"/>
      <c r="G500" s="40"/>
    </row>
    <row r="501" spans="1:7" s="83" customFormat="1" ht="15" customHeight="1" x14ac:dyDescent="0.25">
      <c r="A501" s="810"/>
      <c r="B501" s="40"/>
      <c r="C501" s="40"/>
      <c r="D501" s="41"/>
      <c r="G501" s="40"/>
    </row>
    <row r="502" spans="1:7" s="83" customFormat="1" ht="15" customHeight="1" x14ac:dyDescent="0.25">
      <c r="A502" s="810"/>
      <c r="B502" s="40"/>
      <c r="C502" s="40"/>
      <c r="D502" s="41"/>
      <c r="G502" s="40"/>
    </row>
    <row r="503" spans="1:7" s="83" customFormat="1" ht="15" customHeight="1" x14ac:dyDescent="0.25">
      <c r="A503" s="810"/>
      <c r="B503" s="40"/>
      <c r="C503" s="40"/>
      <c r="D503" s="41"/>
      <c r="G503" s="40"/>
    </row>
    <row r="504" spans="1:7" s="83" customFormat="1" ht="15" customHeight="1" x14ac:dyDescent="0.25">
      <c r="A504" s="810"/>
      <c r="B504" s="40"/>
      <c r="C504" s="40"/>
      <c r="D504" s="41"/>
      <c r="G504" s="40"/>
    </row>
    <row r="505" spans="1:7" s="83" customFormat="1" ht="15" customHeight="1" x14ac:dyDescent="0.25">
      <c r="A505" s="810"/>
      <c r="B505" s="40"/>
      <c r="C505" s="40"/>
      <c r="D505" s="41"/>
      <c r="G505" s="40"/>
    </row>
    <row r="506" spans="1:7" s="83" customFormat="1" ht="15" customHeight="1" x14ac:dyDescent="0.25">
      <c r="A506" s="810"/>
      <c r="B506" s="40"/>
      <c r="C506" s="40"/>
      <c r="D506" s="41"/>
      <c r="G506" s="40"/>
    </row>
    <row r="507" spans="1:7" s="83" customFormat="1" ht="15" customHeight="1" x14ac:dyDescent="0.25">
      <c r="A507" s="810"/>
      <c r="B507" s="40"/>
      <c r="C507" s="40"/>
      <c r="D507" s="41"/>
      <c r="G507" s="40"/>
    </row>
    <row r="508" spans="1:7" s="83" customFormat="1" ht="15" customHeight="1" x14ac:dyDescent="0.25">
      <c r="A508" s="810"/>
      <c r="B508" s="40"/>
      <c r="C508" s="40"/>
      <c r="D508" s="41"/>
      <c r="G508" s="40"/>
    </row>
    <row r="509" spans="1:7" s="83" customFormat="1" ht="15" customHeight="1" x14ac:dyDescent="0.25">
      <c r="A509" s="810"/>
      <c r="B509" s="40"/>
      <c r="C509" s="40"/>
      <c r="D509" s="41"/>
      <c r="G509" s="40"/>
    </row>
    <row r="510" spans="1:7" s="83" customFormat="1" ht="15" customHeight="1" x14ac:dyDescent="0.25">
      <c r="A510" s="810"/>
      <c r="B510" s="40"/>
      <c r="C510" s="40"/>
      <c r="D510" s="41"/>
      <c r="G510" s="40"/>
    </row>
    <row r="511" spans="1:7" s="83" customFormat="1" ht="15" customHeight="1" x14ac:dyDescent="0.25">
      <c r="A511" s="810"/>
      <c r="B511" s="40"/>
      <c r="C511" s="40"/>
      <c r="D511" s="41"/>
      <c r="G511" s="40"/>
    </row>
    <row r="512" spans="1:7" s="83" customFormat="1" ht="15" customHeight="1" x14ac:dyDescent="0.25">
      <c r="A512" s="810"/>
      <c r="B512" s="40"/>
      <c r="C512" s="40"/>
      <c r="D512" s="41"/>
      <c r="G512" s="40"/>
    </row>
    <row r="513" spans="1:7" s="83" customFormat="1" ht="15" customHeight="1" x14ac:dyDescent="0.25">
      <c r="A513" s="810"/>
      <c r="B513" s="40"/>
      <c r="C513" s="40"/>
      <c r="D513" s="41"/>
      <c r="G513" s="40"/>
    </row>
    <row r="514" spans="1:7" s="83" customFormat="1" ht="15" customHeight="1" x14ac:dyDescent="0.25">
      <c r="A514" s="810"/>
      <c r="B514" s="40"/>
      <c r="C514" s="40"/>
      <c r="D514" s="41"/>
      <c r="G514" s="40"/>
    </row>
    <row r="515" spans="1:7" s="83" customFormat="1" ht="15" customHeight="1" x14ac:dyDescent="0.25">
      <c r="A515" s="810"/>
      <c r="B515" s="40"/>
      <c r="C515" s="40"/>
      <c r="D515" s="41"/>
      <c r="G515" s="40"/>
    </row>
    <row r="516" spans="1:7" s="83" customFormat="1" ht="15" customHeight="1" x14ac:dyDescent="0.25">
      <c r="A516" s="810"/>
      <c r="B516" s="40"/>
      <c r="C516" s="40"/>
      <c r="D516" s="41"/>
      <c r="G516" s="40"/>
    </row>
    <row r="517" spans="1:7" s="83" customFormat="1" ht="15" customHeight="1" x14ac:dyDescent="0.25">
      <c r="A517" s="810"/>
      <c r="B517" s="40"/>
      <c r="C517" s="40"/>
      <c r="D517" s="41"/>
      <c r="G517" s="40"/>
    </row>
    <row r="518" spans="1:7" s="83" customFormat="1" ht="15" customHeight="1" x14ac:dyDescent="0.25">
      <c r="A518" s="810"/>
      <c r="B518" s="40"/>
      <c r="C518" s="40"/>
      <c r="D518" s="41"/>
      <c r="G518" s="40"/>
    </row>
    <row r="519" spans="1:7" s="83" customFormat="1" ht="15" customHeight="1" x14ac:dyDescent="0.25">
      <c r="A519" s="810"/>
      <c r="B519" s="40"/>
      <c r="C519" s="40"/>
      <c r="D519" s="41"/>
      <c r="G519" s="40"/>
    </row>
    <row r="520" spans="1:7" s="83" customFormat="1" ht="15" customHeight="1" x14ac:dyDescent="0.25">
      <c r="A520" s="810"/>
      <c r="B520" s="40"/>
      <c r="C520" s="40"/>
      <c r="D520" s="41"/>
      <c r="G520" s="40"/>
    </row>
    <row r="521" spans="1:7" s="83" customFormat="1" ht="15" customHeight="1" x14ac:dyDescent="0.25">
      <c r="A521" s="810"/>
      <c r="B521" s="40"/>
      <c r="C521" s="40"/>
      <c r="D521" s="41"/>
      <c r="G521" s="40"/>
    </row>
    <row r="522" spans="1:7" s="83" customFormat="1" ht="15" customHeight="1" x14ac:dyDescent="0.25">
      <c r="A522" s="810"/>
      <c r="B522" s="40"/>
      <c r="C522" s="40"/>
      <c r="D522" s="41"/>
      <c r="G522" s="40"/>
    </row>
    <row r="523" spans="1:7" s="83" customFormat="1" ht="15" customHeight="1" x14ac:dyDescent="0.25">
      <c r="A523" s="810"/>
      <c r="B523" s="40"/>
      <c r="C523" s="40"/>
      <c r="D523" s="41"/>
      <c r="G523" s="40"/>
    </row>
    <row r="524" spans="1:7" s="83" customFormat="1" ht="15" customHeight="1" x14ac:dyDescent="0.25">
      <c r="A524" s="810"/>
      <c r="B524" s="40"/>
      <c r="C524" s="40"/>
      <c r="D524" s="41"/>
      <c r="G524" s="40"/>
    </row>
    <row r="525" spans="1:7" s="83" customFormat="1" ht="15" customHeight="1" x14ac:dyDescent="0.25">
      <c r="A525" s="810"/>
      <c r="B525" s="40"/>
      <c r="C525" s="40"/>
      <c r="D525" s="41"/>
      <c r="G525" s="40"/>
    </row>
    <row r="526" spans="1:7" s="83" customFormat="1" ht="15" customHeight="1" x14ac:dyDescent="0.25">
      <c r="A526" s="810"/>
      <c r="B526" s="40"/>
      <c r="C526" s="40"/>
      <c r="D526" s="41"/>
      <c r="G526" s="40"/>
    </row>
    <row r="527" spans="1:7" s="83" customFormat="1" ht="15" customHeight="1" x14ac:dyDescent="0.25">
      <c r="A527" s="810"/>
      <c r="B527" s="40"/>
      <c r="C527" s="40"/>
      <c r="D527" s="41"/>
      <c r="G527" s="40"/>
    </row>
    <row r="528" spans="1:7" s="83" customFormat="1" ht="15" customHeight="1" x14ac:dyDescent="0.25">
      <c r="A528" s="810"/>
      <c r="B528" s="40"/>
      <c r="C528" s="40"/>
      <c r="D528" s="41"/>
      <c r="G528" s="40"/>
    </row>
    <row r="529" spans="1:7" s="83" customFormat="1" ht="15" customHeight="1" x14ac:dyDescent="0.25">
      <c r="A529" s="810"/>
      <c r="B529" s="40"/>
      <c r="C529" s="40"/>
      <c r="D529" s="41"/>
      <c r="G529" s="40"/>
    </row>
    <row r="530" spans="1:7" s="83" customFormat="1" ht="15" customHeight="1" x14ac:dyDescent="0.25">
      <c r="A530" s="810"/>
      <c r="B530" s="40"/>
      <c r="C530" s="40"/>
      <c r="D530" s="41"/>
      <c r="G530" s="40"/>
    </row>
    <row r="531" spans="1:7" s="83" customFormat="1" ht="15" customHeight="1" x14ac:dyDescent="0.25">
      <c r="A531" s="810"/>
      <c r="B531" s="40"/>
      <c r="C531" s="40"/>
      <c r="D531" s="41"/>
      <c r="G531" s="40"/>
    </row>
    <row r="532" spans="1:7" s="83" customFormat="1" ht="15" customHeight="1" x14ac:dyDescent="0.25">
      <c r="A532" s="810"/>
      <c r="B532" s="40"/>
      <c r="C532" s="40"/>
      <c r="D532" s="41"/>
      <c r="G532" s="40"/>
    </row>
    <row r="533" spans="1:7" s="83" customFormat="1" ht="15" customHeight="1" x14ac:dyDescent="0.25">
      <c r="A533" s="810"/>
      <c r="B533" s="40"/>
      <c r="C533" s="40"/>
      <c r="D533" s="41"/>
      <c r="G533" s="40"/>
    </row>
    <row r="534" spans="1:7" s="83" customFormat="1" ht="15" customHeight="1" x14ac:dyDescent="0.25">
      <c r="A534" s="810"/>
      <c r="B534" s="40"/>
      <c r="C534" s="40"/>
      <c r="D534" s="41"/>
      <c r="G534" s="40"/>
    </row>
    <row r="535" spans="1:7" s="83" customFormat="1" ht="15" customHeight="1" x14ac:dyDescent="0.25">
      <c r="A535" s="810"/>
      <c r="B535" s="40"/>
      <c r="C535" s="40"/>
      <c r="D535" s="41"/>
      <c r="G535" s="40"/>
    </row>
    <row r="536" spans="1:7" s="83" customFormat="1" ht="15" customHeight="1" x14ac:dyDescent="0.25">
      <c r="A536" s="810"/>
      <c r="B536" s="40"/>
      <c r="C536" s="40"/>
      <c r="D536" s="41"/>
      <c r="G536" s="40"/>
    </row>
    <row r="537" spans="1:7" s="83" customFormat="1" ht="15" customHeight="1" x14ac:dyDescent="0.25">
      <c r="A537" s="810"/>
      <c r="B537" s="40"/>
      <c r="C537" s="40"/>
      <c r="D537" s="41"/>
      <c r="G537" s="40"/>
    </row>
    <row r="538" spans="1:7" s="83" customFormat="1" ht="15" customHeight="1" x14ac:dyDescent="0.25">
      <c r="A538" s="810"/>
      <c r="B538" s="40"/>
      <c r="C538" s="40"/>
      <c r="D538" s="41"/>
      <c r="G538" s="40"/>
    </row>
    <row r="539" spans="1:7" s="83" customFormat="1" ht="15" customHeight="1" x14ac:dyDescent="0.25">
      <c r="A539" s="810"/>
      <c r="B539" s="40"/>
      <c r="C539" s="40"/>
      <c r="D539" s="41"/>
      <c r="G539" s="40"/>
    </row>
    <row r="540" spans="1:7" s="83" customFormat="1" ht="15" customHeight="1" x14ac:dyDescent="0.25">
      <c r="A540" s="810"/>
      <c r="B540" s="40"/>
      <c r="C540" s="40"/>
      <c r="D540" s="41"/>
      <c r="G540" s="40"/>
    </row>
    <row r="541" spans="1:7" s="83" customFormat="1" ht="15" customHeight="1" x14ac:dyDescent="0.25">
      <c r="A541" s="810"/>
      <c r="B541" s="40"/>
      <c r="C541" s="40"/>
      <c r="D541" s="41"/>
      <c r="G541" s="40"/>
    </row>
    <row r="542" spans="1:7" s="83" customFormat="1" ht="15" customHeight="1" x14ac:dyDescent="0.25">
      <c r="A542" s="810"/>
      <c r="B542" s="40"/>
      <c r="C542" s="40"/>
      <c r="D542" s="41"/>
      <c r="G542" s="40"/>
    </row>
    <row r="543" spans="1:7" s="83" customFormat="1" ht="15" customHeight="1" x14ac:dyDescent="0.25">
      <c r="A543" s="810"/>
      <c r="B543" s="40"/>
      <c r="C543" s="40"/>
      <c r="D543" s="41"/>
      <c r="G543" s="40"/>
    </row>
    <row r="544" spans="1:7" s="83" customFormat="1" ht="15" customHeight="1" x14ac:dyDescent="0.25">
      <c r="A544" s="810"/>
      <c r="B544" s="40"/>
      <c r="C544" s="40"/>
      <c r="D544" s="41"/>
      <c r="G544" s="40"/>
    </row>
    <row r="545" spans="1:7" s="83" customFormat="1" ht="15" customHeight="1" x14ac:dyDescent="0.25">
      <c r="A545" s="810"/>
      <c r="B545" s="40"/>
      <c r="C545" s="40"/>
      <c r="D545" s="41"/>
      <c r="G545" s="40"/>
    </row>
    <row r="546" spans="1:7" s="83" customFormat="1" ht="15" customHeight="1" x14ac:dyDescent="0.25">
      <c r="A546" s="810"/>
      <c r="B546" s="40"/>
      <c r="C546" s="40"/>
      <c r="D546" s="41"/>
      <c r="G546" s="40"/>
    </row>
    <row r="547" spans="1:7" s="83" customFormat="1" ht="15" customHeight="1" x14ac:dyDescent="0.25">
      <c r="A547" s="810"/>
      <c r="B547" s="40"/>
      <c r="C547" s="40"/>
      <c r="D547" s="41"/>
      <c r="G547" s="40"/>
    </row>
    <row r="548" spans="1:7" s="83" customFormat="1" ht="15" customHeight="1" x14ac:dyDescent="0.25">
      <c r="A548" s="810"/>
      <c r="B548" s="40"/>
      <c r="C548" s="40"/>
      <c r="D548" s="41"/>
      <c r="G548" s="40"/>
    </row>
    <row r="549" spans="1:7" s="83" customFormat="1" ht="15" customHeight="1" x14ac:dyDescent="0.25">
      <c r="A549" s="810"/>
      <c r="B549" s="40"/>
      <c r="C549" s="40"/>
      <c r="D549" s="41"/>
      <c r="G549" s="40"/>
    </row>
    <row r="550" spans="1:7" s="83" customFormat="1" ht="15" customHeight="1" x14ac:dyDescent="0.25">
      <c r="A550" s="810"/>
      <c r="B550" s="40"/>
      <c r="C550" s="40"/>
      <c r="D550" s="41"/>
      <c r="G550" s="40"/>
    </row>
    <row r="551" spans="1:7" s="83" customFormat="1" ht="15" customHeight="1" x14ac:dyDescent="0.25">
      <c r="A551" s="810"/>
      <c r="B551" s="40"/>
      <c r="C551" s="40"/>
      <c r="D551" s="41"/>
      <c r="G551" s="40"/>
    </row>
    <row r="552" spans="1:7" s="83" customFormat="1" ht="15" customHeight="1" x14ac:dyDescent="0.25">
      <c r="A552" s="810"/>
      <c r="B552" s="40"/>
      <c r="C552" s="40"/>
      <c r="D552" s="41"/>
      <c r="G552" s="40"/>
    </row>
    <row r="553" spans="1:7" s="83" customFormat="1" ht="15" customHeight="1" x14ac:dyDescent="0.25">
      <c r="A553" s="810"/>
      <c r="B553" s="40"/>
      <c r="C553" s="40"/>
      <c r="D553" s="41"/>
      <c r="G553" s="40"/>
    </row>
    <row r="554" spans="1:7" s="83" customFormat="1" ht="15" customHeight="1" x14ac:dyDescent="0.25">
      <c r="A554" s="810"/>
      <c r="B554" s="40"/>
      <c r="C554" s="40"/>
      <c r="D554" s="41"/>
      <c r="G554" s="40"/>
    </row>
    <row r="555" spans="1:7" s="83" customFormat="1" ht="15" customHeight="1" x14ac:dyDescent="0.25">
      <c r="A555" s="810"/>
      <c r="B555" s="40"/>
      <c r="C555" s="40"/>
      <c r="D555" s="41"/>
      <c r="G555" s="40"/>
    </row>
    <row r="556" spans="1:7" s="83" customFormat="1" ht="15" customHeight="1" x14ac:dyDescent="0.25">
      <c r="A556" s="810"/>
      <c r="B556" s="40"/>
      <c r="C556" s="40"/>
      <c r="D556" s="41"/>
      <c r="G556" s="40"/>
    </row>
    <row r="557" spans="1:7" s="83" customFormat="1" ht="15" customHeight="1" x14ac:dyDescent="0.25">
      <c r="A557" s="810"/>
      <c r="B557" s="40"/>
      <c r="C557" s="40"/>
      <c r="D557" s="41"/>
      <c r="G557" s="40"/>
    </row>
    <row r="558" spans="1:7" s="83" customFormat="1" ht="15" customHeight="1" x14ac:dyDescent="0.25">
      <c r="A558" s="810"/>
      <c r="B558" s="40"/>
      <c r="C558" s="40"/>
      <c r="D558" s="41"/>
      <c r="G558" s="40"/>
    </row>
    <row r="559" spans="1:7" s="83" customFormat="1" ht="15" customHeight="1" x14ac:dyDescent="0.25">
      <c r="A559" s="810"/>
      <c r="B559" s="40"/>
      <c r="C559" s="40"/>
      <c r="D559" s="41"/>
      <c r="G559" s="40"/>
    </row>
    <row r="560" spans="1:7" s="83" customFormat="1" ht="15" customHeight="1" x14ac:dyDescent="0.25">
      <c r="A560" s="810"/>
      <c r="B560" s="40"/>
      <c r="C560" s="40"/>
      <c r="D560" s="41"/>
      <c r="G560" s="40"/>
    </row>
    <row r="561" spans="1:7" s="83" customFormat="1" ht="15" customHeight="1" x14ac:dyDescent="0.25">
      <c r="A561" s="810"/>
      <c r="B561" s="40"/>
      <c r="C561" s="40"/>
      <c r="D561" s="41"/>
      <c r="G561" s="40"/>
    </row>
    <row r="562" spans="1:7" s="83" customFormat="1" ht="15" customHeight="1" x14ac:dyDescent="0.25">
      <c r="A562" s="810"/>
      <c r="B562" s="40"/>
      <c r="C562" s="40"/>
      <c r="D562" s="41"/>
      <c r="G562" s="40"/>
    </row>
    <row r="563" spans="1:7" s="83" customFormat="1" ht="15" customHeight="1" x14ac:dyDescent="0.25">
      <c r="A563" s="810"/>
      <c r="B563" s="40"/>
      <c r="C563" s="40"/>
      <c r="D563" s="41"/>
      <c r="G563" s="40"/>
    </row>
    <row r="564" spans="1:7" s="83" customFormat="1" ht="15" customHeight="1" x14ac:dyDescent="0.25">
      <c r="A564" s="810"/>
      <c r="B564" s="40"/>
      <c r="C564" s="40"/>
      <c r="D564" s="41"/>
      <c r="G564" s="40"/>
    </row>
    <row r="565" spans="1:7" s="83" customFormat="1" ht="15" customHeight="1" x14ac:dyDescent="0.25">
      <c r="A565" s="810"/>
      <c r="B565" s="40"/>
      <c r="C565" s="40"/>
      <c r="D565" s="41"/>
      <c r="G565" s="40"/>
    </row>
    <row r="566" spans="1:7" s="83" customFormat="1" ht="15" customHeight="1" x14ac:dyDescent="0.25">
      <c r="A566" s="810"/>
      <c r="B566" s="40"/>
      <c r="C566" s="40"/>
      <c r="D566" s="41"/>
      <c r="G566" s="40"/>
    </row>
    <row r="567" spans="1:7" s="83" customFormat="1" ht="15" customHeight="1" x14ac:dyDescent="0.25">
      <c r="A567" s="810"/>
      <c r="B567" s="40"/>
      <c r="C567" s="40"/>
      <c r="D567" s="41"/>
      <c r="G567" s="40"/>
    </row>
    <row r="568" spans="1:7" s="83" customFormat="1" ht="15" customHeight="1" x14ac:dyDescent="0.25">
      <c r="A568" s="810"/>
      <c r="B568" s="40"/>
      <c r="C568" s="40"/>
      <c r="D568" s="41"/>
      <c r="G568" s="40"/>
    </row>
    <row r="569" spans="1:7" s="83" customFormat="1" ht="15" customHeight="1" x14ac:dyDescent="0.25">
      <c r="A569" s="810"/>
      <c r="B569" s="40"/>
      <c r="C569" s="40"/>
      <c r="D569" s="41"/>
      <c r="G569" s="40"/>
    </row>
    <row r="570" spans="1:7" s="83" customFormat="1" ht="15" customHeight="1" x14ac:dyDescent="0.25">
      <c r="A570" s="810"/>
      <c r="B570" s="40"/>
      <c r="C570" s="40"/>
      <c r="D570" s="41"/>
      <c r="G570" s="40"/>
    </row>
    <row r="571" spans="1:7" s="83" customFormat="1" ht="15" customHeight="1" x14ac:dyDescent="0.25">
      <c r="A571" s="810"/>
      <c r="B571" s="40"/>
      <c r="C571" s="40"/>
      <c r="D571" s="41"/>
      <c r="G571" s="40"/>
    </row>
    <row r="572" spans="1:7" s="83" customFormat="1" ht="15" customHeight="1" x14ac:dyDescent="0.25">
      <c r="A572" s="810"/>
      <c r="B572" s="40"/>
      <c r="C572" s="40"/>
      <c r="D572" s="41"/>
      <c r="G572" s="40"/>
    </row>
    <row r="573" spans="1:7" s="83" customFormat="1" ht="15" customHeight="1" x14ac:dyDescent="0.25">
      <c r="A573" s="810"/>
      <c r="B573" s="40"/>
      <c r="C573" s="40"/>
      <c r="D573" s="41"/>
      <c r="G573" s="40"/>
    </row>
    <row r="574" spans="1:7" s="83" customFormat="1" ht="15" customHeight="1" x14ac:dyDescent="0.25">
      <c r="A574" s="810"/>
      <c r="B574" s="40"/>
      <c r="C574" s="40"/>
      <c r="D574" s="41"/>
      <c r="G574" s="40"/>
    </row>
    <row r="575" spans="1:7" s="83" customFormat="1" ht="15" customHeight="1" x14ac:dyDescent="0.25">
      <c r="A575" s="810"/>
      <c r="B575" s="40"/>
      <c r="C575" s="40"/>
      <c r="D575" s="41"/>
      <c r="G575" s="40"/>
    </row>
    <row r="576" spans="1:7" s="83" customFormat="1" ht="15" customHeight="1" x14ac:dyDescent="0.25">
      <c r="A576" s="810"/>
      <c r="B576" s="40"/>
      <c r="C576" s="40"/>
      <c r="D576" s="41"/>
      <c r="G576" s="40"/>
    </row>
    <row r="577" spans="1:7" s="83" customFormat="1" ht="15" customHeight="1" x14ac:dyDescent="0.25">
      <c r="A577" s="810"/>
      <c r="B577" s="40"/>
      <c r="C577" s="40"/>
      <c r="D577" s="41"/>
      <c r="G577" s="40"/>
    </row>
    <row r="578" spans="1:7" s="83" customFormat="1" ht="15" customHeight="1" x14ac:dyDescent="0.25">
      <c r="A578" s="810"/>
      <c r="B578" s="40"/>
      <c r="C578" s="40"/>
      <c r="D578" s="41"/>
      <c r="G578" s="40"/>
    </row>
    <row r="579" spans="1:7" s="83" customFormat="1" ht="15" customHeight="1" x14ac:dyDescent="0.25">
      <c r="A579" s="810"/>
      <c r="B579" s="40"/>
      <c r="C579" s="40"/>
      <c r="D579" s="41"/>
      <c r="G579" s="40"/>
    </row>
    <row r="580" spans="1:7" s="83" customFormat="1" ht="15" customHeight="1" x14ac:dyDescent="0.25">
      <c r="A580" s="810"/>
      <c r="B580" s="40"/>
      <c r="C580" s="40"/>
      <c r="D580" s="41"/>
      <c r="G580" s="40"/>
    </row>
    <row r="581" spans="1:7" s="83" customFormat="1" ht="15" customHeight="1" x14ac:dyDescent="0.25">
      <c r="A581" s="810"/>
      <c r="B581" s="40"/>
      <c r="C581" s="40"/>
      <c r="D581" s="41"/>
      <c r="G581" s="40"/>
    </row>
    <row r="582" spans="1:7" s="83" customFormat="1" ht="15" customHeight="1" x14ac:dyDescent="0.25">
      <c r="A582" s="810"/>
      <c r="B582" s="40"/>
      <c r="C582" s="40"/>
      <c r="D582" s="41"/>
      <c r="G582" s="40"/>
    </row>
    <row r="583" spans="1:7" s="83" customFormat="1" ht="15" customHeight="1" x14ac:dyDescent="0.25">
      <c r="A583" s="810"/>
      <c r="B583" s="40"/>
      <c r="C583" s="40"/>
      <c r="D583" s="41"/>
      <c r="G583" s="40"/>
    </row>
    <row r="584" spans="1:7" s="83" customFormat="1" ht="15" customHeight="1" x14ac:dyDescent="0.25">
      <c r="A584" s="810"/>
      <c r="B584" s="40"/>
      <c r="C584" s="40"/>
      <c r="D584" s="41"/>
      <c r="G584" s="40"/>
    </row>
    <row r="585" spans="1:7" s="83" customFormat="1" ht="15" customHeight="1" x14ac:dyDescent="0.25">
      <c r="A585" s="810"/>
      <c r="B585" s="40"/>
      <c r="C585" s="40"/>
      <c r="D585" s="41"/>
      <c r="G585" s="40"/>
    </row>
    <row r="586" spans="1:7" s="83" customFormat="1" ht="15" customHeight="1" x14ac:dyDescent="0.25">
      <c r="A586" s="810"/>
      <c r="B586" s="40"/>
      <c r="C586" s="40"/>
      <c r="D586" s="41"/>
      <c r="G586" s="40"/>
    </row>
    <row r="587" spans="1:7" s="83" customFormat="1" ht="15" customHeight="1" x14ac:dyDescent="0.25">
      <c r="A587" s="810"/>
      <c r="B587" s="40"/>
      <c r="C587" s="40"/>
      <c r="D587" s="41"/>
      <c r="G587" s="40"/>
    </row>
    <row r="588" spans="1:7" s="83" customFormat="1" ht="15" customHeight="1" x14ac:dyDescent="0.25">
      <c r="A588" s="810"/>
      <c r="B588" s="40"/>
      <c r="C588" s="40"/>
      <c r="D588" s="41"/>
      <c r="G588" s="40"/>
    </row>
    <row r="589" spans="1:7" s="83" customFormat="1" ht="15" customHeight="1" x14ac:dyDescent="0.25">
      <c r="A589" s="810"/>
      <c r="B589" s="40"/>
      <c r="C589" s="40"/>
      <c r="D589" s="41"/>
      <c r="G589" s="40"/>
    </row>
    <row r="590" spans="1:7" s="83" customFormat="1" ht="15" customHeight="1" x14ac:dyDescent="0.25">
      <c r="A590" s="810"/>
      <c r="B590" s="40"/>
      <c r="C590" s="40"/>
      <c r="D590" s="41"/>
      <c r="G590" s="40"/>
    </row>
    <row r="591" spans="1:7" s="83" customFormat="1" ht="15" customHeight="1" x14ac:dyDescent="0.25">
      <c r="A591" s="810"/>
      <c r="B591" s="40"/>
      <c r="C591" s="40"/>
      <c r="D591" s="41"/>
      <c r="G591" s="40"/>
    </row>
    <row r="592" spans="1:7" s="83" customFormat="1" ht="15" customHeight="1" x14ac:dyDescent="0.25">
      <c r="A592" s="810"/>
      <c r="B592" s="40"/>
      <c r="C592" s="40"/>
      <c r="D592" s="41"/>
      <c r="G592" s="40"/>
    </row>
    <row r="593" spans="1:7" s="83" customFormat="1" ht="15" customHeight="1" x14ac:dyDescent="0.25">
      <c r="A593" s="810"/>
      <c r="B593" s="40"/>
      <c r="C593" s="40"/>
      <c r="D593" s="41"/>
      <c r="G593" s="40"/>
    </row>
    <row r="594" spans="1:7" s="83" customFormat="1" ht="15" customHeight="1" x14ac:dyDescent="0.25">
      <c r="A594" s="810"/>
      <c r="B594" s="40"/>
      <c r="C594" s="40"/>
      <c r="D594" s="41"/>
      <c r="G594" s="40"/>
    </row>
    <row r="595" spans="1:7" s="83" customFormat="1" ht="15" customHeight="1" x14ac:dyDescent="0.25">
      <c r="A595" s="810"/>
      <c r="B595" s="40"/>
      <c r="C595" s="40"/>
      <c r="D595" s="41"/>
      <c r="G595" s="40"/>
    </row>
    <row r="596" spans="1:7" s="83" customFormat="1" ht="15" customHeight="1" x14ac:dyDescent="0.25">
      <c r="A596" s="810"/>
      <c r="B596" s="40"/>
      <c r="C596" s="40"/>
      <c r="D596" s="41"/>
      <c r="G596" s="40"/>
    </row>
    <row r="597" spans="1:7" s="83" customFormat="1" ht="15" customHeight="1" x14ac:dyDescent="0.25">
      <c r="A597" s="810"/>
      <c r="B597" s="40"/>
      <c r="C597" s="40"/>
      <c r="D597" s="41"/>
      <c r="G597" s="40"/>
    </row>
    <row r="598" spans="1:7" s="83" customFormat="1" ht="15" customHeight="1" x14ac:dyDescent="0.25">
      <c r="A598" s="810"/>
      <c r="B598" s="40"/>
      <c r="C598" s="40"/>
      <c r="D598" s="41"/>
      <c r="G598" s="40"/>
    </row>
    <row r="599" spans="1:7" s="83" customFormat="1" ht="15" customHeight="1" x14ac:dyDescent="0.25">
      <c r="A599" s="810"/>
      <c r="B599" s="40"/>
      <c r="C599" s="40"/>
      <c r="D599" s="41"/>
      <c r="G599" s="40"/>
    </row>
    <row r="600" spans="1:7" s="83" customFormat="1" ht="15" customHeight="1" x14ac:dyDescent="0.25">
      <c r="A600" s="810"/>
      <c r="B600" s="40"/>
      <c r="C600" s="40"/>
      <c r="D600" s="41"/>
      <c r="G600" s="40"/>
    </row>
    <row r="601" spans="1:7" s="83" customFormat="1" ht="15" customHeight="1" x14ac:dyDescent="0.25">
      <c r="A601" s="810"/>
      <c r="B601" s="40"/>
      <c r="C601" s="40"/>
      <c r="D601" s="41"/>
      <c r="G601" s="40"/>
    </row>
    <row r="602" spans="1:7" s="83" customFormat="1" ht="15" customHeight="1" x14ac:dyDescent="0.25">
      <c r="A602" s="810"/>
      <c r="B602" s="40"/>
      <c r="C602" s="40"/>
      <c r="D602" s="41"/>
      <c r="G602" s="40"/>
    </row>
    <row r="603" spans="1:7" s="83" customFormat="1" ht="15" customHeight="1" x14ac:dyDescent="0.25">
      <c r="A603" s="810"/>
      <c r="B603" s="40"/>
      <c r="C603" s="40"/>
      <c r="D603" s="41"/>
      <c r="G603" s="40"/>
    </row>
    <row r="604" spans="1:7" s="83" customFormat="1" ht="15" customHeight="1" x14ac:dyDescent="0.25">
      <c r="A604" s="810"/>
      <c r="B604" s="40"/>
      <c r="C604" s="40"/>
      <c r="D604" s="41"/>
      <c r="G604" s="40"/>
    </row>
    <row r="605" spans="1:7" s="83" customFormat="1" ht="15" customHeight="1" x14ac:dyDescent="0.25">
      <c r="A605" s="810"/>
      <c r="B605" s="40"/>
      <c r="C605" s="40"/>
      <c r="D605" s="41"/>
      <c r="G605" s="40"/>
    </row>
    <row r="606" spans="1:7" s="83" customFormat="1" ht="15" customHeight="1" x14ac:dyDescent="0.25">
      <c r="A606" s="810"/>
      <c r="B606" s="40"/>
      <c r="C606" s="40"/>
      <c r="D606" s="41"/>
      <c r="G606" s="40"/>
    </row>
    <row r="607" spans="1:7" s="83" customFormat="1" ht="15" customHeight="1" x14ac:dyDescent="0.25">
      <c r="A607" s="810"/>
      <c r="B607" s="40"/>
      <c r="C607" s="40"/>
      <c r="D607" s="41"/>
      <c r="G607" s="40"/>
    </row>
    <row r="608" spans="1:7" s="83" customFormat="1" ht="15" customHeight="1" x14ac:dyDescent="0.25">
      <c r="A608" s="810"/>
      <c r="B608" s="40"/>
      <c r="C608" s="40"/>
      <c r="D608" s="41"/>
      <c r="G608" s="40"/>
    </row>
    <row r="609" spans="1:7" s="83" customFormat="1" ht="15" customHeight="1" x14ac:dyDescent="0.25">
      <c r="A609" s="810"/>
      <c r="B609" s="40"/>
      <c r="C609" s="40"/>
      <c r="D609" s="41"/>
      <c r="G609" s="40"/>
    </row>
    <row r="610" spans="1:7" s="83" customFormat="1" ht="15" customHeight="1" x14ac:dyDescent="0.25">
      <c r="A610" s="810"/>
      <c r="B610" s="40"/>
      <c r="C610" s="40"/>
      <c r="D610" s="41"/>
      <c r="G610" s="40"/>
    </row>
    <row r="611" spans="1:7" s="83" customFormat="1" ht="15" customHeight="1" x14ac:dyDescent="0.25">
      <c r="A611" s="810"/>
      <c r="B611" s="40"/>
      <c r="C611" s="40"/>
      <c r="D611" s="41"/>
      <c r="G611" s="40"/>
    </row>
    <row r="612" spans="1:7" s="83" customFormat="1" ht="15" customHeight="1" x14ac:dyDescent="0.25">
      <c r="A612" s="810"/>
      <c r="B612" s="40"/>
      <c r="C612" s="40"/>
      <c r="D612" s="41"/>
      <c r="G612" s="40"/>
    </row>
    <row r="613" spans="1:7" s="83" customFormat="1" ht="15" customHeight="1" x14ac:dyDescent="0.25">
      <c r="A613" s="810"/>
      <c r="B613" s="40"/>
      <c r="C613" s="40"/>
      <c r="D613" s="41"/>
      <c r="G613" s="40"/>
    </row>
    <row r="614" spans="1:7" s="83" customFormat="1" ht="15" customHeight="1" x14ac:dyDescent="0.25">
      <c r="A614" s="810"/>
      <c r="B614" s="40"/>
      <c r="C614" s="40"/>
      <c r="D614" s="41"/>
      <c r="G614" s="40"/>
    </row>
    <row r="615" spans="1:7" s="83" customFormat="1" ht="15" customHeight="1" x14ac:dyDescent="0.25">
      <c r="A615" s="810"/>
      <c r="B615" s="40"/>
      <c r="C615" s="40"/>
      <c r="D615" s="41"/>
      <c r="G615" s="40"/>
    </row>
    <row r="616" spans="1:7" s="83" customFormat="1" ht="15" customHeight="1" x14ac:dyDescent="0.25">
      <c r="A616" s="810"/>
      <c r="B616" s="40"/>
      <c r="C616" s="40"/>
      <c r="D616" s="41"/>
      <c r="G616" s="40"/>
    </row>
    <row r="617" spans="1:7" s="83" customFormat="1" ht="15" customHeight="1" x14ac:dyDescent="0.25">
      <c r="A617" s="810"/>
      <c r="B617" s="40"/>
      <c r="C617" s="40"/>
      <c r="D617" s="41"/>
      <c r="G617" s="40"/>
    </row>
    <row r="618" spans="1:7" s="83" customFormat="1" ht="15" customHeight="1" x14ac:dyDescent="0.25">
      <c r="A618" s="810"/>
      <c r="B618" s="40"/>
      <c r="C618" s="40"/>
      <c r="D618" s="41"/>
      <c r="G618" s="40"/>
    </row>
    <row r="619" spans="1:7" s="83" customFormat="1" ht="15" customHeight="1" x14ac:dyDescent="0.25">
      <c r="A619" s="810"/>
      <c r="B619" s="40"/>
      <c r="C619" s="40"/>
      <c r="D619" s="41"/>
      <c r="G619" s="40"/>
    </row>
    <row r="620" spans="1:7" s="83" customFormat="1" ht="15" customHeight="1" x14ac:dyDescent="0.25">
      <c r="A620" s="810"/>
      <c r="B620" s="40"/>
      <c r="C620" s="40"/>
      <c r="D620" s="41"/>
      <c r="G620" s="40"/>
    </row>
    <row r="621" spans="1:7" s="83" customFormat="1" ht="15" customHeight="1" x14ac:dyDescent="0.25">
      <c r="A621" s="810"/>
      <c r="B621" s="40"/>
      <c r="C621" s="40"/>
      <c r="D621" s="41"/>
      <c r="G621" s="40"/>
    </row>
    <row r="622" spans="1:7" s="83" customFormat="1" ht="15" customHeight="1" x14ac:dyDescent="0.25">
      <c r="A622" s="810"/>
      <c r="B622" s="40"/>
      <c r="C622" s="40"/>
      <c r="D622" s="41"/>
      <c r="G622" s="40"/>
    </row>
    <row r="623" spans="1:7" s="83" customFormat="1" ht="15" customHeight="1" x14ac:dyDescent="0.25">
      <c r="A623" s="810"/>
      <c r="B623" s="40"/>
      <c r="C623" s="40"/>
      <c r="D623" s="41"/>
      <c r="G623" s="40"/>
    </row>
    <row r="624" spans="1:7" s="83" customFormat="1" ht="15" customHeight="1" x14ac:dyDescent="0.25">
      <c r="A624" s="810"/>
      <c r="B624" s="40"/>
      <c r="C624" s="40"/>
      <c r="D624" s="41"/>
      <c r="G624" s="40"/>
    </row>
    <row r="625" spans="1:7" s="83" customFormat="1" ht="15" customHeight="1" x14ac:dyDescent="0.25">
      <c r="A625" s="810"/>
      <c r="B625" s="40"/>
      <c r="C625" s="40"/>
      <c r="D625" s="41"/>
      <c r="G625" s="40"/>
    </row>
    <row r="626" spans="1:7" s="83" customFormat="1" ht="15" customHeight="1" x14ac:dyDescent="0.25">
      <c r="A626" s="810"/>
      <c r="B626" s="40"/>
      <c r="C626" s="40"/>
      <c r="D626" s="41"/>
      <c r="G626" s="40"/>
    </row>
    <row r="627" spans="1:7" s="83" customFormat="1" ht="15" customHeight="1" x14ac:dyDescent="0.25">
      <c r="A627" s="810"/>
      <c r="B627" s="40"/>
      <c r="C627" s="40"/>
      <c r="D627" s="41"/>
      <c r="G627" s="40"/>
    </row>
    <row r="628" spans="1:7" s="83" customFormat="1" ht="15" customHeight="1" x14ac:dyDescent="0.25">
      <c r="A628" s="810"/>
      <c r="B628" s="40"/>
      <c r="C628" s="40"/>
      <c r="D628" s="41"/>
      <c r="G628" s="40"/>
    </row>
    <row r="629" spans="1:7" s="83" customFormat="1" ht="15" customHeight="1" x14ac:dyDescent="0.25">
      <c r="A629" s="810"/>
      <c r="B629" s="40"/>
      <c r="C629" s="40"/>
      <c r="D629" s="41"/>
      <c r="G629" s="40"/>
    </row>
    <row r="630" spans="1:7" s="83" customFormat="1" ht="15" customHeight="1" x14ac:dyDescent="0.25">
      <c r="A630" s="810"/>
      <c r="B630" s="40"/>
      <c r="C630" s="40"/>
      <c r="D630" s="41"/>
      <c r="G630" s="40"/>
    </row>
    <row r="631" spans="1:7" s="83" customFormat="1" ht="15" customHeight="1" x14ac:dyDescent="0.25">
      <c r="A631" s="810"/>
      <c r="B631" s="40"/>
      <c r="C631" s="40"/>
      <c r="D631" s="41"/>
      <c r="G631" s="40"/>
    </row>
    <row r="632" spans="1:7" s="83" customFormat="1" ht="15" customHeight="1" x14ac:dyDescent="0.25">
      <c r="A632" s="810"/>
      <c r="B632" s="40"/>
      <c r="C632" s="40"/>
      <c r="D632" s="41"/>
      <c r="G632" s="40"/>
    </row>
    <row r="633" spans="1:7" s="83" customFormat="1" ht="15" customHeight="1" x14ac:dyDescent="0.25">
      <c r="A633" s="810"/>
      <c r="B633" s="40"/>
      <c r="C633" s="40"/>
      <c r="D633" s="41"/>
      <c r="G633" s="40"/>
    </row>
    <row r="634" spans="1:7" s="83" customFormat="1" ht="15" customHeight="1" x14ac:dyDescent="0.25">
      <c r="A634" s="810"/>
      <c r="B634" s="40"/>
      <c r="C634" s="40"/>
      <c r="D634" s="41"/>
      <c r="G634" s="40"/>
    </row>
    <row r="635" spans="1:7" s="83" customFormat="1" ht="15" customHeight="1" x14ac:dyDescent="0.25">
      <c r="A635" s="810"/>
      <c r="B635" s="40"/>
      <c r="C635" s="40"/>
      <c r="D635" s="41"/>
      <c r="G635" s="40"/>
    </row>
    <row r="636" spans="1:7" s="83" customFormat="1" ht="15" customHeight="1" x14ac:dyDescent="0.25">
      <c r="A636" s="810"/>
      <c r="B636" s="40"/>
      <c r="C636" s="40"/>
      <c r="D636" s="41"/>
      <c r="G636" s="40"/>
    </row>
    <row r="637" spans="1:7" s="83" customFormat="1" ht="15" customHeight="1" x14ac:dyDescent="0.25">
      <c r="A637" s="810"/>
      <c r="B637" s="40"/>
      <c r="C637" s="40"/>
      <c r="D637" s="41"/>
      <c r="G637" s="40"/>
    </row>
    <row r="638" spans="1:7" s="83" customFormat="1" ht="15" customHeight="1" x14ac:dyDescent="0.25">
      <c r="A638" s="810"/>
      <c r="B638" s="40"/>
      <c r="C638" s="40"/>
      <c r="D638" s="41"/>
      <c r="G638" s="40"/>
    </row>
    <row r="639" spans="1:7" s="83" customFormat="1" ht="15" customHeight="1" x14ac:dyDescent="0.25">
      <c r="A639" s="810"/>
      <c r="B639" s="40"/>
      <c r="C639" s="40"/>
      <c r="D639" s="41"/>
      <c r="G639" s="40"/>
    </row>
    <row r="640" spans="1:7" s="83" customFormat="1" ht="15" customHeight="1" x14ac:dyDescent="0.25">
      <c r="A640" s="810"/>
      <c r="B640" s="40"/>
      <c r="C640" s="40"/>
      <c r="D640" s="41"/>
      <c r="G640" s="40"/>
    </row>
    <row r="641" spans="1:7" s="83" customFormat="1" ht="15" customHeight="1" x14ac:dyDescent="0.25">
      <c r="A641" s="810"/>
      <c r="B641" s="40"/>
      <c r="C641" s="40"/>
      <c r="D641" s="41"/>
      <c r="G641" s="40"/>
    </row>
    <row r="642" spans="1:7" s="83" customFormat="1" ht="15" customHeight="1" x14ac:dyDescent="0.25">
      <c r="A642" s="810"/>
      <c r="B642" s="40"/>
      <c r="C642" s="40"/>
      <c r="D642" s="41"/>
      <c r="G642" s="40"/>
    </row>
    <row r="643" spans="1:7" s="83" customFormat="1" ht="15" customHeight="1" x14ac:dyDescent="0.25">
      <c r="A643" s="810"/>
      <c r="B643" s="40"/>
      <c r="C643" s="40"/>
      <c r="D643" s="41"/>
      <c r="G643" s="40"/>
    </row>
    <row r="644" spans="1:7" s="83" customFormat="1" ht="15" customHeight="1" x14ac:dyDescent="0.25">
      <c r="A644" s="810"/>
      <c r="B644" s="40"/>
      <c r="C644" s="40"/>
      <c r="D644" s="41"/>
      <c r="G644" s="40"/>
    </row>
    <row r="645" spans="1:7" s="83" customFormat="1" ht="15" customHeight="1" x14ac:dyDescent="0.25">
      <c r="A645" s="810"/>
      <c r="B645" s="40"/>
      <c r="C645" s="40"/>
      <c r="D645" s="41"/>
      <c r="G645" s="40"/>
    </row>
    <row r="646" spans="1:7" s="83" customFormat="1" ht="15" customHeight="1" x14ac:dyDescent="0.25">
      <c r="A646" s="810"/>
      <c r="B646" s="40"/>
      <c r="C646" s="40"/>
      <c r="D646" s="41"/>
      <c r="G646" s="40"/>
    </row>
    <row r="647" spans="1:7" s="83" customFormat="1" ht="15" customHeight="1" x14ac:dyDescent="0.25">
      <c r="A647" s="810"/>
      <c r="B647" s="40"/>
      <c r="C647" s="40"/>
      <c r="D647" s="41"/>
      <c r="G647" s="40"/>
    </row>
    <row r="648" spans="1:7" s="83" customFormat="1" ht="15" customHeight="1" x14ac:dyDescent="0.25">
      <c r="A648" s="810"/>
      <c r="B648" s="40"/>
      <c r="C648" s="40"/>
      <c r="D648" s="41"/>
      <c r="G648" s="40"/>
    </row>
    <row r="649" spans="1:7" s="83" customFormat="1" ht="15" customHeight="1" x14ac:dyDescent="0.25">
      <c r="A649" s="810"/>
      <c r="B649" s="40"/>
      <c r="C649" s="40"/>
      <c r="D649" s="41"/>
      <c r="G649" s="40"/>
    </row>
    <row r="650" spans="1:7" s="83" customFormat="1" ht="15" customHeight="1" x14ac:dyDescent="0.25">
      <c r="A650" s="810"/>
      <c r="B650" s="40"/>
      <c r="C650" s="40"/>
      <c r="D650" s="41"/>
      <c r="G650" s="40"/>
    </row>
    <row r="651" spans="1:7" s="83" customFormat="1" ht="15" customHeight="1" x14ac:dyDescent="0.25">
      <c r="A651" s="810"/>
      <c r="B651" s="40"/>
      <c r="C651" s="40"/>
      <c r="D651" s="41"/>
      <c r="G651" s="40"/>
    </row>
    <row r="652" spans="1:7" s="83" customFormat="1" ht="15" customHeight="1" x14ac:dyDescent="0.25">
      <c r="A652" s="810"/>
      <c r="B652" s="40"/>
      <c r="C652" s="40"/>
      <c r="D652" s="41"/>
      <c r="G652" s="40"/>
    </row>
    <row r="653" spans="1:7" s="83" customFormat="1" ht="15" customHeight="1" x14ac:dyDescent="0.25">
      <c r="A653" s="810"/>
      <c r="B653" s="40"/>
      <c r="C653" s="40"/>
      <c r="D653" s="41"/>
      <c r="G653" s="40"/>
    </row>
    <row r="654" spans="1:7" s="83" customFormat="1" ht="15" customHeight="1" x14ac:dyDescent="0.25">
      <c r="A654" s="810"/>
      <c r="B654" s="40"/>
      <c r="C654" s="40"/>
      <c r="D654" s="41"/>
      <c r="G654" s="40"/>
    </row>
    <row r="655" spans="1:7" s="83" customFormat="1" ht="15" customHeight="1" x14ac:dyDescent="0.25">
      <c r="A655" s="810"/>
      <c r="B655" s="40"/>
      <c r="C655" s="40"/>
      <c r="D655" s="41"/>
      <c r="G655" s="40"/>
    </row>
    <row r="656" spans="1:7" s="83" customFormat="1" ht="15" customHeight="1" x14ac:dyDescent="0.25">
      <c r="A656" s="810"/>
      <c r="B656" s="40"/>
      <c r="C656" s="40"/>
      <c r="D656" s="41"/>
      <c r="G656" s="40"/>
    </row>
    <row r="657" spans="1:7" s="83" customFormat="1" ht="15" customHeight="1" x14ac:dyDescent="0.25">
      <c r="A657" s="810"/>
      <c r="B657" s="40"/>
      <c r="C657" s="40"/>
      <c r="D657" s="41"/>
      <c r="G657" s="40"/>
    </row>
    <row r="658" spans="1:7" s="83" customFormat="1" ht="15" customHeight="1" x14ac:dyDescent="0.25">
      <c r="A658" s="810"/>
      <c r="B658" s="40"/>
      <c r="C658" s="40"/>
      <c r="D658" s="41"/>
      <c r="G658" s="40"/>
    </row>
    <row r="659" spans="1:7" s="83" customFormat="1" ht="15" customHeight="1" x14ac:dyDescent="0.25">
      <c r="A659" s="810"/>
      <c r="B659" s="40"/>
      <c r="C659" s="40"/>
      <c r="D659" s="41"/>
      <c r="G659" s="40"/>
    </row>
    <row r="660" spans="1:7" s="83" customFormat="1" ht="15" customHeight="1" x14ac:dyDescent="0.25">
      <c r="A660" s="810"/>
      <c r="B660" s="40"/>
      <c r="C660" s="40"/>
      <c r="D660" s="41"/>
      <c r="G660" s="40"/>
    </row>
    <row r="661" spans="1:7" s="83" customFormat="1" ht="15" customHeight="1" x14ac:dyDescent="0.25">
      <c r="A661" s="810"/>
      <c r="B661" s="40"/>
      <c r="C661" s="40"/>
      <c r="D661" s="41"/>
      <c r="G661" s="40"/>
    </row>
    <row r="662" spans="1:7" s="83" customFormat="1" ht="15" customHeight="1" x14ac:dyDescent="0.25">
      <c r="A662" s="810"/>
      <c r="B662" s="40"/>
      <c r="C662" s="40"/>
      <c r="D662" s="41"/>
      <c r="G662" s="40"/>
    </row>
    <row r="663" spans="1:7" s="83" customFormat="1" ht="15" customHeight="1" x14ac:dyDescent="0.25">
      <c r="A663" s="810"/>
      <c r="B663" s="40"/>
      <c r="C663" s="40"/>
      <c r="D663" s="41"/>
      <c r="G663" s="40"/>
    </row>
    <row r="664" spans="1:7" s="83" customFormat="1" ht="15" customHeight="1" x14ac:dyDescent="0.25">
      <c r="A664" s="810"/>
      <c r="B664" s="40"/>
      <c r="C664" s="40"/>
      <c r="D664" s="41"/>
      <c r="G664" s="40"/>
    </row>
    <row r="665" spans="1:7" s="83" customFormat="1" ht="15" customHeight="1" x14ac:dyDescent="0.25">
      <c r="A665" s="810"/>
      <c r="B665" s="40"/>
      <c r="C665" s="40"/>
      <c r="D665" s="41"/>
      <c r="G665" s="40"/>
    </row>
    <row r="666" spans="1:7" s="83" customFormat="1" ht="15" customHeight="1" x14ac:dyDescent="0.25">
      <c r="A666" s="810"/>
      <c r="B666" s="40"/>
      <c r="C666" s="40"/>
      <c r="D666" s="41"/>
      <c r="G666" s="40"/>
    </row>
    <row r="667" spans="1:7" s="83" customFormat="1" ht="15" customHeight="1" x14ac:dyDescent="0.25">
      <c r="A667" s="810"/>
      <c r="B667" s="40"/>
      <c r="C667" s="40"/>
      <c r="D667" s="41"/>
      <c r="G667" s="40"/>
    </row>
    <row r="668" spans="1:7" s="83" customFormat="1" ht="15" customHeight="1" x14ac:dyDescent="0.25">
      <c r="A668" s="810"/>
      <c r="B668" s="40"/>
      <c r="C668" s="40"/>
      <c r="D668" s="41"/>
      <c r="G668" s="40"/>
    </row>
    <row r="669" spans="1:7" s="83" customFormat="1" ht="15" customHeight="1" x14ac:dyDescent="0.25">
      <c r="A669" s="810"/>
      <c r="B669" s="40"/>
      <c r="C669" s="40"/>
      <c r="D669" s="41"/>
      <c r="G669" s="40"/>
    </row>
    <row r="670" spans="1:7" s="83" customFormat="1" ht="15" customHeight="1" x14ac:dyDescent="0.25">
      <c r="A670" s="810"/>
      <c r="B670" s="40"/>
      <c r="C670" s="40"/>
      <c r="D670" s="41"/>
      <c r="G670" s="40"/>
    </row>
    <row r="671" spans="1:7" s="83" customFormat="1" ht="15" customHeight="1" x14ac:dyDescent="0.25">
      <c r="A671" s="810"/>
      <c r="B671" s="40"/>
      <c r="C671" s="40"/>
      <c r="D671" s="41"/>
      <c r="G671" s="40"/>
    </row>
    <row r="672" spans="1:7" s="83" customFormat="1" ht="15" customHeight="1" x14ac:dyDescent="0.25">
      <c r="A672" s="810"/>
      <c r="B672" s="40"/>
      <c r="C672" s="40"/>
      <c r="D672" s="41"/>
      <c r="G672" s="40"/>
    </row>
    <row r="673" spans="1:7" s="83" customFormat="1" ht="15" customHeight="1" x14ac:dyDescent="0.25">
      <c r="A673" s="810"/>
      <c r="B673" s="40"/>
      <c r="C673" s="40"/>
      <c r="D673" s="41"/>
      <c r="G673" s="40"/>
    </row>
    <row r="674" spans="1:7" s="83" customFormat="1" ht="15" customHeight="1" x14ac:dyDescent="0.25">
      <c r="A674" s="810"/>
      <c r="B674" s="40"/>
      <c r="C674" s="40"/>
      <c r="D674" s="41"/>
      <c r="G674" s="40"/>
    </row>
    <row r="675" spans="1:7" s="83" customFormat="1" ht="15" customHeight="1" x14ac:dyDescent="0.25">
      <c r="A675" s="810"/>
      <c r="B675" s="40"/>
      <c r="C675" s="40"/>
      <c r="D675" s="41"/>
      <c r="G675" s="40"/>
    </row>
    <row r="676" spans="1:7" s="83" customFormat="1" ht="15" customHeight="1" x14ac:dyDescent="0.25">
      <c r="A676" s="810"/>
      <c r="B676" s="40"/>
      <c r="C676" s="40"/>
      <c r="D676" s="41"/>
      <c r="G676" s="40"/>
    </row>
    <row r="677" spans="1:7" s="83" customFormat="1" ht="15" customHeight="1" x14ac:dyDescent="0.25">
      <c r="A677" s="810"/>
      <c r="B677" s="40"/>
      <c r="C677" s="40"/>
      <c r="D677" s="41"/>
      <c r="G677" s="40"/>
    </row>
    <row r="678" spans="1:7" s="83" customFormat="1" ht="15" customHeight="1" x14ac:dyDescent="0.25">
      <c r="A678" s="810"/>
      <c r="B678" s="40"/>
      <c r="C678" s="40"/>
      <c r="D678" s="41"/>
      <c r="G678" s="40"/>
    </row>
    <row r="679" spans="1:7" s="83" customFormat="1" ht="15" customHeight="1" x14ac:dyDescent="0.25">
      <c r="A679" s="810"/>
      <c r="B679" s="40"/>
      <c r="C679" s="40"/>
      <c r="D679" s="41"/>
      <c r="G679" s="40"/>
    </row>
    <row r="680" spans="1:7" s="83" customFormat="1" ht="15" customHeight="1" x14ac:dyDescent="0.25">
      <c r="A680" s="810"/>
      <c r="B680" s="40"/>
      <c r="C680" s="40"/>
      <c r="D680" s="41"/>
      <c r="G680" s="40"/>
    </row>
    <row r="681" spans="1:7" s="83" customFormat="1" ht="15" customHeight="1" x14ac:dyDescent="0.25">
      <c r="A681" s="810"/>
      <c r="B681" s="40"/>
      <c r="C681" s="40"/>
      <c r="D681" s="41"/>
      <c r="G681" s="40"/>
    </row>
    <row r="682" spans="1:7" s="83" customFormat="1" ht="15" customHeight="1" x14ac:dyDescent="0.25">
      <c r="A682" s="810"/>
      <c r="B682" s="40"/>
      <c r="C682" s="40"/>
      <c r="D682" s="41"/>
      <c r="G682" s="40"/>
    </row>
    <row r="683" spans="1:7" s="83" customFormat="1" ht="15" customHeight="1" x14ac:dyDescent="0.25">
      <c r="A683" s="810"/>
      <c r="B683" s="40"/>
      <c r="C683" s="40"/>
      <c r="D683" s="41"/>
      <c r="G683" s="40"/>
    </row>
    <row r="684" spans="1:7" s="83" customFormat="1" ht="15" customHeight="1" x14ac:dyDescent="0.25">
      <c r="A684" s="810"/>
      <c r="B684" s="40"/>
      <c r="C684" s="40"/>
      <c r="D684" s="41"/>
      <c r="G684" s="40"/>
    </row>
    <row r="685" spans="1:7" s="83" customFormat="1" ht="15" customHeight="1" x14ac:dyDescent="0.25">
      <c r="A685" s="810"/>
      <c r="B685" s="40"/>
      <c r="C685" s="40"/>
      <c r="D685" s="41"/>
      <c r="G685" s="40"/>
    </row>
    <row r="686" spans="1:7" s="83" customFormat="1" ht="15" customHeight="1" x14ac:dyDescent="0.25">
      <c r="A686" s="810"/>
      <c r="B686" s="40"/>
      <c r="C686" s="40"/>
      <c r="D686" s="41"/>
      <c r="G686" s="40"/>
    </row>
    <row r="687" spans="1:7" s="83" customFormat="1" ht="15" customHeight="1" x14ac:dyDescent="0.25">
      <c r="A687" s="810"/>
      <c r="B687" s="40"/>
      <c r="C687" s="40"/>
      <c r="D687" s="41"/>
      <c r="G687" s="40"/>
    </row>
    <row r="688" spans="1:7" s="83" customFormat="1" ht="15" customHeight="1" x14ac:dyDescent="0.25">
      <c r="A688" s="810"/>
      <c r="B688" s="40"/>
      <c r="C688" s="40"/>
      <c r="D688" s="41"/>
      <c r="G688" s="40"/>
    </row>
    <row r="689" spans="1:7" s="83" customFormat="1" ht="15" customHeight="1" x14ac:dyDescent="0.25">
      <c r="A689" s="810"/>
      <c r="B689" s="40"/>
      <c r="C689" s="40"/>
      <c r="D689" s="41"/>
      <c r="G689" s="40"/>
    </row>
    <row r="690" spans="1:7" s="83" customFormat="1" ht="15" customHeight="1" x14ac:dyDescent="0.25">
      <c r="A690" s="810"/>
      <c r="B690" s="40"/>
      <c r="C690" s="40"/>
      <c r="D690" s="41"/>
      <c r="G690" s="40"/>
    </row>
    <row r="691" spans="1:7" s="83" customFormat="1" ht="15" customHeight="1" x14ac:dyDescent="0.25">
      <c r="A691" s="810"/>
      <c r="B691" s="40"/>
      <c r="C691" s="40"/>
      <c r="D691" s="41"/>
      <c r="G691" s="40"/>
    </row>
    <row r="692" spans="1:7" s="83" customFormat="1" ht="15" customHeight="1" x14ac:dyDescent="0.25">
      <c r="A692" s="810"/>
      <c r="B692" s="40"/>
      <c r="C692" s="40"/>
      <c r="D692" s="41"/>
      <c r="G692" s="40"/>
    </row>
    <row r="693" spans="1:7" s="83" customFormat="1" ht="15" customHeight="1" x14ac:dyDescent="0.25">
      <c r="A693" s="810"/>
      <c r="B693" s="40"/>
      <c r="C693" s="40"/>
      <c r="D693" s="41"/>
      <c r="G693" s="40"/>
    </row>
    <row r="694" spans="1:7" s="83" customFormat="1" ht="15" customHeight="1" x14ac:dyDescent="0.25">
      <c r="A694" s="810"/>
      <c r="B694" s="40"/>
      <c r="C694" s="40"/>
      <c r="D694" s="41"/>
      <c r="G694" s="40"/>
    </row>
    <row r="695" spans="1:7" s="83" customFormat="1" ht="15" customHeight="1" x14ac:dyDescent="0.25">
      <c r="A695" s="810"/>
      <c r="B695" s="40"/>
      <c r="C695" s="40"/>
      <c r="D695" s="41"/>
      <c r="G695" s="40"/>
    </row>
    <row r="696" spans="1:7" s="83" customFormat="1" ht="15" customHeight="1" x14ac:dyDescent="0.25">
      <c r="A696" s="810"/>
      <c r="B696" s="40"/>
      <c r="C696" s="40"/>
      <c r="D696" s="41"/>
      <c r="G696" s="40"/>
    </row>
    <row r="697" spans="1:7" s="83" customFormat="1" ht="15" customHeight="1" x14ac:dyDescent="0.25">
      <c r="A697" s="810"/>
      <c r="B697" s="40"/>
      <c r="C697" s="40"/>
      <c r="D697" s="41"/>
      <c r="G697" s="40"/>
    </row>
    <row r="698" spans="1:7" s="83" customFormat="1" ht="15" customHeight="1" x14ac:dyDescent="0.25">
      <c r="A698" s="810"/>
      <c r="B698" s="40"/>
      <c r="C698" s="40"/>
      <c r="D698" s="41"/>
      <c r="G698" s="40"/>
    </row>
    <row r="699" spans="1:7" s="83" customFormat="1" ht="15" customHeight="1" x14ac:dyDescent="0.25">
      <c r="A699" s="810"/>
      <c r="B699" s="40"/>
      <c r="C699" s="40"/>
      <c r="D699" s="41"/>
      <c r="G699" s="40"/>
    </row>
    <row r="700" spans="1:7" s="83" customFormat="1" ht="15" customHeight="1" x14ac:dyDescent="0.25">
      <c r="A700" s="810"/>
      <c r="B700" s="40"/>
      <c r="C700" s="40"/>
      <c r="D700" s="41"/>
      <c r="G700" s="40"/>
    </row>
    <row r="701" spans="1:7" s="83" customFormat="1" ht="15" customHeight="1" x14ac:dyDescent="0.25">
      <c r="A701" s="810"/>
      <c r="B701" s="40"/>
      <c r="C701" s="40"/>
      <c r="D701" s="41"/>
      <c r="G701" s="40"/>
    </row>
    <row r="702" spans="1:7" s="83" customFormat="1" ht="15" customHeight="1" x14ac:dyDescent="0.25">
      <c r="A702" s="810"/>
      <c r="B702" s="40"/>
      <c r="C702" s="40"/>
      <c r="D702" s="41"/>
      <c r="G702" s="40"/>
    </row>
    <row r="703" spans="1:7" s="83" customFormat="1" ht="15" customHeight="1" x14ac:dyDescent="0.25">
      <c r="A703" s="810"/>
      <c r="B703" s="40"/>
      <c r="C703" s="40"/>
      <c r="D703" s="41"/>
      <c r="G703" s="40"/>
    </row>
    <row r="704" spans="1:7" s="83" customFormat="1" ht="15" customHeight="1" x14ac:dyDescent="0.25">
      <c r="A704" s="810"/>
      <c r="B704" s="40"/>
      <c r="C704" s="40"/>
      <c r="D704" s="41"/>
      <c r="G704" s="40"/>
    </row>
    <row r="705" spans="1:7" s="83" customFormat="1" ht="15" customHeight="1" x14ac:dyDescent="0.25">
      <c r="A705" s="810"/>
      <c r="B705" s="40"/>
      <c r="C705" s="40"/>
      <c r="D705" s="41"/>
      <c r="G705" s="40"/>
    </row>
    <row r="706" spans="1:7" s="83" customFormat="1" ht="15" customHeight="1" x14ac:dyDescent="0.25">
      <c r="A706" s="810"/>
      <c r="B706" s="40"/>
      <c r="C706" s="40"/>
      <c r="D706" s="41"/>
      <c r="G706" s="40"/>
    </row>
    <row r="707" spans="1:7" s="83" customFormat="1" ht="15" customHeight="1" x14ac:dyDescent="0.25">
      <c r="A707" s="810"/>
      <c r="B707" s="40"/>
      <c r="C707" s="40"/>
      <c r="D707" s="41"/>
      <c r="G707" s="40"/>
    </row>
    <row r="708" spans="1:7" s="83" customFormat="1" ht="15" customHeight="1" x14ac:dyDescent="0.25">
      <c r="A708" s="810"/>
      <c r="B708" s="40"/>
      <c r="C708" s="40"/>
      <c r="D708" s="41"/>
      <c r="G708" s="40"/>
    </row>
    <row r="709" spans="1:7" s="83" customFormat="1" ht="15" customHeight="1" x14ac:dyDescent="0.25">
      <c r="A709" s="810"/>
      <c r="B709" s="40"/>
      <c r="C709" s="40"/>
      <c r="D709" s="41"/>
      <c r="G709" s="40"/>
    </row>
    <row r="710" spans="1:7" s="83" customFormat="1" ht="15" customHeight="1" x14ac:dyDescent="0.25">
      <c r="A710" s="810"/>
      <c r="B710" s="40"/>
      <c r="C710" s="40"/>
      <c r="D710" s="41"/>
      <c r="G710" s="40"/>
    </row>
    <row r="711" spans="1:7" s="83" customFormat="1" ht="15" customHeight="1" x14ac:dyDescent="0.25">
      <c r="A711" s="810"/>
      <c r="B711" s="40"/>
      <c r="C711" s="40"/>
      <c r="D711" s="41"/>
      <c r="G711" s="40"/>
    </row>
    <row r="712" spans="1:7" s="83" customFormat="1" ht="15" customHeight="1" x14ac:dyDescent="0.25">
      <c r="A712" s="810"/>
      <c r="B712" s="40"/>
      <c r="C712" s="40"/>
      <c r="D712" s="41"/>
      <c r="G712" s="40"/>
    </row>
    <row r="713" spans="1:7" s="83" customFormat="1" ht="15" customHeight="1" x14ac:dyDescent="0.25">
      <c r="A713" s="810"/>
      <c r="B713" s="40"/>
      <c r="C713" s="40"/>
      <c r="D713" s="41"/>
      <c r="G713" s="40"/>
    </row>
    <row r="714" spans="1:7" s="83" customFormat="1" ht="15" customHeight="1" x14ac:dyDescent="0.25">
      <c r="A714" s="810"/>
      <c r="B714" s="40"/>
      <c r="C714" s="40"/>
      <c r="D714" s="41"/>
      <c r="G714" s="40"/>
    </row>
    <row r="715" spans="1:7" s="83" customFormat="1" ht="15" customHeight="1" x14ac:dyDescent="0.25">
      <c r="A715" s="810"/>
      <c r="B715" s="40"/>
      <c r="C715" s="40"/>
      <c r="D715" s="41"/>
      <c r="G715" s="40"/>
    </row>
    <row r="716" spans="1:7" s="83" customFormat="1" ht="15" customHeight="1" x14ac:dyDescent="0.25">
      <c r="A716" s="810"/>
      <c r="B716" s="40"/>
      <c r="C716" s="40"/>
      <c r="D716" s="41"/>
      <c r="G716" s="40"/>
    </row>
    <row r="717" spans="1:7" s="83" customFormat="1" ht="15" customHeight="1" x14ac:dyDescent="0.25">
      <c r="A717" s="810"/>
      <c r="B717" s="40"/>
      <c r="C717" s="40"/>
      <c r="D717" s="41"/>
      <c r="G717" s="40"/>
    </row>
    <row r="718" spans="1:7" s="83" customFormat="1" ht="15" customHeight="1" x14ac:dyDescent="0.25">
      <c r="A718" s="810"/>
      <c r="B718" s="40"/>
      <c r="C718" s="40"/>
      <c r="D718" s="41"/>
      <c r="G718" s="40"/>
    </row>
    <row r="719" spans="1:7" s="83" customFormat="1" ht="15" customHeight="1" x14ac:dyDescent="0.25">
      <c r="A719" s="810"/>
      <c r="B719" s="40"/>
      <c r="C719" s="40"/>
      <c r="D719" s="41"/>
      <c r="G719" s="40"/>
    </row>
    <row r="720" spans="1:7" s="83" customFormat="1" ht="15" customHeight="1" x14ac:dyDescent="0.25">
      <c r="A720" s="810"/>
      <c r="B720" s="40"/>
      <c r="C720" s="40"/>
      <c r="D720" s="41"/>
      <c r="G720" s="40"/>
    </row>
    <row r="721" spans="1:7" s="83" customFormat="1" ht="15" customHeight="1" x14ac:dyDescent="0.25">
      <c r="A721" s="810"/>
      <c r="B721" s="40"/>
      <c r="C721" s="40"/>
      <c r="D721" s="41"/>
      <c r="G721" s="40"/>
    </row>
    <row r="722" spans="1:7" s="83" customFormat="1" ht="15" customHeight="1" x14ac:dyDescent="0.25">
      <c r="A722" s="810"/>
      <c r="B722" s="40"/>
      <c r="C722" s="40"/>
      <c r="D722" s="41"/>
      <c r="G722" s="40"/>
    </row>
    <row r="723" spans="1:7" s="83" customFormat="1" ht="15" customHeight="1" x14ac:dyDescent="0.25">
      <c r="A723" s="810"/>
      <c r="B723" s="40"/>
      <c r="C723" s="40"/>
      <c r="D723" s="41"/>
      <c r="G723" s="40"/>
    </row>
    <row r="724" spans="1:7" s="83" customFormat="1" ht="15" customHeight="1" x14ac:dyDescent="0.25">
      <c r="A724" s="810"/>
      <c r="B724" s="40"/>
      <c r="C724" s="40"/>
      <c r="D724" s="41"/>
      <c r="G724" s="40"/>
    </row>
    <row r="725" spans="1:7" s="83" customFormat="1" ht="15" customHeight="1" x14ac:dyDescent="0.25">
      <c r="A725" s="810"/>
      <c r="B725" s="40"/>
      <c r="C725" s="40"/>
      <c r="D725" s="41"/>
      <c r="G725" s="40"/>
    </row>
    <row r="726" spans="1:7" s="83" customFormat="1" ht="15" customHeight="1" x14ac:dyDescent="0.25">
      <c r="A726" s="810"/>
      <c r="B726" s="40"/>
      <c r="C726" s="40"/>
      <c r="D726" s="41"/>
      <c r="G726" s="40"/>
    </row>
    <row r="727" spans="1:7" s="83" customFormat="1" ht="15" customHeight="1" x14ac:dyDescent="0.25">
      <c r="A727" s="810"/>
      <c r="B727" s="40"/>
      <c r="C727" s="40"/>
      <c r="D727" s="41"/>
      <c r="G727" s="40"/>
    </row>
    <row r="728" spans="1:7" s="83" customFormat="1" ht="15" customHeight="1" x14ac:dyDescent="0.25">
      <c r="A728" s="810"/>
      <c r="B728" s="40"/>
      <c r="C728" s="40"/>
      <c r="D728" s="41"/>
      <c r="G728" s="40"/>
    </row>
    <row r="729" spans="1:7" s="83" customFormat="1" ht="15" customHeight="1" x14ac:dyDescent="0.25">
      <c r="A729" s="810"/>
      <c r="B729" s="40"/>
      <c r="C729" s="40"/>
      <c r="D729" s="41"/>
      <c r="G729" s="40"/>
    </row>
    <row r="730" spans="1:7" s="83" customFormat="1" ht="15" customHeight="1" x14ac:dyDescent="0.25">
      <c r="A730" s="810"/>
      <c r="B730" s="40"/>
      <c r="C730" s="40"/>
      <c r="D730" s="41"/>
      <c r="G730" s="40"/>
    </row>
    <row r="731" spans="1:7" s="83" customFormat="1" ht="15" customHeight="1" x14ac:dyDescent="0.25">
      <c r="A731" s="810"/>
      <c r="B731" s="40"/>
      <c r="C731" s="40"/>
      <c r="D731" s="41"/>
      <c r="G731" s="40"/>
    </row>
    <row r="732" spans="1:7" s="83" customFormat="1" ht="15" customHeight="1" x14ac:dyDescent="0.25">
      <c r="A732" s="810"/>
      <c r="B732" s="40"/>
      <c r="C732" s="40"/>
      <c r="D732" s="41"/>
      <c r="G732" s="40"/>
    </row>
    <row r="733" spans="1:7" s="83" customFormat="1" ht="15" customHeight="1" x14ac:dyDescent="0.25">
      <c r="A733" s="810"/>
      <c r="B733" s="40"/>
      <c r="C733" s="40"/>
      <c r="D733" s="41"/>
      <c r="G733" s="40"/>
    </row>
    <row r="734" spans="1:7" s="83" customFormat="1" ht="15" customHeight="1" x14ac:dyDescent="0.25">
      <c r="A734" s="810"/>
      <c r="B734" s="40"/>
      <c r="C734" s="40"/>
      <c r="D734" s="41"/>
      <c r="G734" s="40"/>
    </row>
    <row r="735" spans="1:7" s="83" customFormat="1" ht="15" customHeight="1" x14ac:dyDescent="0.25">
      <c r="A735" s="810"/>
      <c r="B735" s="40"/>
      <c r="C735" s="40"/>
      <c r="D735" s="41"/>
      <c r="G735" s="40"/>
    </row>
    <row r="736" spans="1:7" s="83" customFormat="1" ht="15" customHeight="1" x14ac:dyDescent="0.25">
      <c r="A736" s="810"/>
      <c r="B736" s="40"/>
      <c r="C736" s="40"/>
      <c r="D736" s="41"/>
      <c r="G736" s="40"/>
    </row>
    <row r="737" spans="1:7" s="83" customFormat="1" ht="15" customHeight="1" x14ac:dyDescent="0.25">
      <c r="A737" s="810"/>
      <c r="B737" s="40"/>
      <c r="C737" s="40"/>
      <c r="D737" s="41"/>
      <c r="G737" s="40"/>
    </row>
    <row r="738" spans="1:7" s="83" customFormat="1" ht="15" customHeight="1" x14ac:dyDescent="0.25">
      <c r="A738" s="810"/>
      <c r="B738" s="40"/>
      <c r="C738" s="40"/>
      <c r="D738" s="41"/>
      <c r="G738" s="40"/>
    </row>
    <row r="739" spans="1:7" s="83" customFormat="1" ht="15" customHeight="1" x14ac:dyDescent="0.25">
      <c r="A739" s="810"/>
      <c r="B739" s="40"/>
      <c r="C739" s="40"/>
      <c r="D739" s="41"/>
      <c r="G739" s="40"/>
    </row>
    <row r="740" spans="1:7" s="83" customFormat="1" ht="15" customHeight="1" x14ac:dyDescent="0.25">
      <c r="A740" s="810"/>
      <c r="B740" s="40"/>
      <c r="C740" s="40"/>
      <c r="D740" s="41"/>
      <c r="G740" s="40"/>
    </row>
    <row r="741" spans="1:7" s="83" customFormat="1" ht="15" customHeight="1" x14ac:dyDescent="0.25">
      <c r="A741" s="810"/>
      <c r="B741" s="40"/>
      <c r="C741" s="40"/>
      <c r="D741" s="41"/>
      <c r="G741" s="40"/>
    </row>
    <row r="742" spans="1:7" s="83" customFormat="1" ht="15" customHeight="1" x14ac:dyDescent="0.25">
      <c r="A742" s="810"/>
      <c r="B742" s="40"/>
      <c r="C742" s="40"/>
      <c r="D742" s="41"/>
      <c r="G742" s="40"/>
    </row>
    <row r="743" spans="1:7" s="83" customFormat="1" ht="15" customHeight="1" x14ac:dyDescent="0.25">
      <c r="A743" s="810"/>
      <c r="B743" s="40"/>
      <c r="C743" s="40"/>
      <c r="D743" s="41"/>
      <c r="G743" s="40"/>
    </row>
    <row r="744" spans="1:7" s="83" customFormat="1" ht="15" customHeight="1" x14ac:dyDescent="0.25">
      <c r="A744" s="810"/>
      <c r="B744" s="40"/>
      <c r="C744" s="40"/>
      <c r="D744" s="41"/>
      <c r="G744" s="40"/>
    </row>
    <row r="745" spans="1:7" s="83" customFormat="1" ht="15" customHeight="1" x14ac:dyDescent="0.25">
      <c r="A745" s="810"/>
      <c r="B745" s="40"/>
      <c r="C745" s="40"/>
      <c r="D745" s="41"/>
      <c r="G745" s="40"/>
    </row>
    <row r="746" spans="1:7" s="83" customFormat="1" ht="15" customHeight="1" x14ac:dyDescent="0.25">
      <c r="A746" s="810"/>
      <c r="B746" s="40"/>
      <c r="C746" s="40"/>
      <c r="D746" s="41"/>
      <c r="G746" s="40"/>
    </row>
    <row r="747" spans="1:7" s="83" customFormat="1" ht="15" customHeight="1" x14ac:dyDescent="0.25">
      <c r="A747" s="810"/>
      <c r="B747" s="40"/>
      <c r="C747" s="40"/>
      <c r="D747" s="41"/>
      <c r="G747" s="40"/>
    </row>
    <row r="748" spans="1:7" s="83" customFormat="1" ht="15" customHeight="1" x14ac:dyDescent="0.25">
      <c r="A748" s="810"/>
      <c r="B748" s="40"/>
      <c r="C748" s="40"/>
      <c r="D748" s="41"/>
      <c r="G748" s="40"/>
    </row>
    <row r="749" spans="1:7" s="83" customFormat="1" ht="15" customHeight="1" x14ac:dyDescent="0.25">
      <c r="A749" s="810"/>
      <c r="B749" s="40"/>
      <c r="C749" s="40"/>
      <c r="D749" s="41"/>
      <c r="G749" s="40"/>
    </row>
    <row r="750" spans="1:7" s="83" customFormat="1" ht="15" customHeight="1" x14ac:dyDescent="0.25">
      <c r="A750" s="810"/>
      <c r="B750" s="40"/>
      <c r="C750" s="40"/>
      <c r="D750" s="41"/>
      <c r="G750" s="40"/>
    </row>
    <row r="751" spans="1:7" s="83" customFormat="1" ht="15" customHeight="1" x14ac:dyDescent="0.25">
      <c r="A751" s="810"/>
      <c r="B751" s="40"/>
      <c r="C751" s="40"/>
      <c r="D751" s="41"/>
      <c r="G751" s="40"/>
    </row>
    <row r="752" spans="1:7" s="83" customFormat="1" ht="15" customHeight="1" x14ac:dyDescent="0.25">
      <c r="A752" s="810"/>
      <c r="B752" s="40"/>
      <c r="C752" s="40"/>
      <c r="D752" s="41"/>
      <c r="G752" s="40"/>
    </row>
    <row r="753" spans="1:7" s="83" customFormat="1" ht="15" customHeight="1" x14ac:dyDescent="0.25">
      <c r="A753" s="810"/>
      <c r="B753" s="40"/>
      <c r="C753" s="40"/>
      <c r="D753" s="41"/>
      <c r="G753" s="40"/>
    </row>
    <row r="754" spans="1:7" s="83" customFormat="1" ht="15" customHeight="1" x14ac:dyDescent="0.25">
      <c r="A754" s="810"/>
      <c r="B754" s="40"/>
      <c r="C754" s="40"/>
      <c r="D754" s="41"/>
      <c r="G754" s="40"/>
    </row>
    <row r="755" spans="1:7" s="83" customFormat="1" ht="15" customHeight="1" x14ac:dyDescent="0.25">
      <c r="A755" s="810"/>
      <c r="B755" s="40"/>
      <c r="C755" s="40"/>
      <c r="D755" s="41"/>
      <c r="G755" s="40"/>
    </row>
    <row r="756" spans="1:7" s="83" customFormat="1" ht="15" customHeight="1" x14ac:dyDescent="0.25">
      <c r="A756" s="810"/>
      <c r="B756" s="40"/>
      <c r="C756" s="40"/>
      <c r="D756" s="41"/>
      <c r="G756" s="40"/>
    </row>
    <row r="757" spans="1:7" s="83" customFormat="1" ht="15" customHeight="1" x14ac:dyDescent="0.25">
      <c r="A757" s="810"/>
      <c r="B757" s="40"/>
      <c r="C757" s="40"/>
      <c r="D757" s="41"/>
      <c r="G757" s="40"/>
    </row>
    <row r="758" spans="1:7" s="83" customFormat="1" ht="15" customHeight="1" x14ac:dyDescent="0.25">
      <c r="A758" s="810"/>
      <c r="B758" s="40"/>
      <c r="C758" s="40"/>
      <c r="D758" s="41"/>
      <c r="G758" s="40"/>
    </row>
    <row r="759" spans="1:7" s="83" customFormat="1" ht="15" customHeight="1" x14ac:dyDescent="0.25">
      <c r="A759" s="810"/>
      <c r="B759" s="40"/>
      <c r="C759" s="40"/>
      <c r="D759" s="41"/>
      <c r="G759" s="40"/>
    </row>
    <row r="760" spans="1:7" s="83" customFormat="1" ht="15" customHeight="1" x14ac:dyDescent="0.25">
      <c r="A760" s="810"/>
      <c r="B760" s="40"/>
      <c r="C760" s="40"/>
      <c r="D760" s="41"/>
      <c r="G760" s="40"/>
    </row>
    <row r="761" spans="1:7" s="83" customFormat="1" ht="15" customHeight="1" x14ac:dyDescent="0.25">
      <c r="A761" s="810"/>
      <c r="B761" s="40"/>
      <c r="C761" s="40"/>
      <c r="D761" s="41"/>
      <c r="G761" s="40"/>
    </row>
    <row r="762" spans="1:7" s="83" customFormat="1" ht="15" customHeight="1" x14ac:dyDescent="0.25">
      <c r="A762" s="810"/>
      <c r="B762" s="40"/>
      <c r="C762" s="40"/>
      <c r="D762" s="41"/>
      <c r="G762" s="40"/>
    </row>
    <row r="763" spans="1:7" s="83" customFormat="1" ht="15" customHeight="1" x14ac:dyDescent="0.25">
      <c r="A763" s="810"/>
      <c r="B763" s="40"/>
      <c r="C763" s="40"/>
      <c r="D763" s="41"/>
      <c r="G763" s="40"/>
    </row>
    <row r="764" spans="1:7" s="83" customFormat="1" ht="15" customHeight="1" x14ac:dyDescent="0.25">
      <c r="A764" s="810"/>
      <c r="B764" s="40"/>
      <c r="C764" s="40"/>
      <c r="D764" s="41"/>
      <c r="G764" s="40"/>
    </row>
    <row r="765" spans="1:7" s="83" customFormat="1" ht="15" customHeight="1" x14ac:dyDescent="0.25">
      <c r="A765" s="810"/>
      <c r="B765" s="40"/>
      <c r="C765" s="40"/>
      <c r="D765" s="41"/>
      <c r="G765" s="40"/>
    </row>
    <row r="766" spans="1:7" s="83" customFormat="1" ht="15" customHeight="1" x14ac:dyDescent="0.25">
      <c r="A766" s="810"/>
      <c r="B766" s="40"/>
      <c r="C766" s="40"/>
      <c r="D766" s="41"/>
      <c r="G766" s="40"/>
    </row>
    <row r="767" spans="1:7" s="83" customFormat="1" ht="15" customHeight="1" x14ac:dyDescent="0.25">
      <c r="A767" s="810"/>
      <c r="B767" s="40"/>
      <c r="C767" s="40"/>
      <c r="D767" s="41"/>
      <c r="G767" s="40"/>
    </row>
    <row r="768" spans="1:7" s="83" customFormat="1" ht="15" customHeight="1" x14ac:dyDescent="0.25">
      <c r="A768" s="810"/>
      <c r="B768" s="40"/>
      <c r="C768" s="40"/>
      <c r="D768" s="41"/>
      <c r="G768" s="40"/>
    </row>
    <row r="769" spans="1:7" s="83" customFormat="1" ht="15" customHeight="1" x14ac:dyDescent="0.25">
      <c r="A769" s="810"/>
      <c r="B769" s="40"/>
      <c r="C769" s="40"/>
      <c r="D769" s="41"/>
      <c r="G769" s="40"/>
    </row>
    <row r="770" spans="1:7" s="83" customFormat="1" ht="15" customHeight="1" x14ac:dyDescent="0.25">
      <c r="A770" s="810"/>
      <c r="B770" s="40"/>
      <c r="C770" s="40"/>
      <c r="D770" s="41"/>
      <c r="G770" s="40"/>
    </row>
    <row r="771" spans="1:7" s="83" customFormat="1" ht="15" customHeight="1" x14ac:dyDescent="0.25">
      <c r="A771" s="810"/>
      <c r="B771" s="40"/>
      <c r="C771" s="40"/>
      <c r="D771" s="41"/>
      <c r="G771" s="40"/>
    </row>
    <row r="772" spans="1:7" s="83" customFormat="1" ht="15" customHeight="1" x14ac:dyDescent="0.25">
      <c r="A772" s="810"/>
      <c r="B772" s="40"/>
      <c r="C772" s="40"/>
      <c r="D772" s="41"/>
      <c r="G772" s="40"/>
    </row>
    <row r="773" spans="1:7" s="83" customFormat="1" ht="15" customHeight="1" x14ac:dyDescent="0.25">
      <c r="A773" s="810"/>
      <c r="B773" s="40"/>
      <c r="C773" s="40"/>
      <c r="D773" s="41"/>
      <c r="G773" s="40"/>
    </row>
    <row r="774" spans="1:7" s="83" customFormat="1" ht="15" customHeight="1" x14ac:dyDescent="0.25">
      <c r="A774" s="810"/>
      <c r="B774" s="40"/>
      <c r="C774" s="40"/>
      <c r="D774" s="41"/>
      <c r="G774" s="40"/>
    </row>
    <row r="775" spans="1:7" s="83" customFormat="1" ht="15" customHeight="1" x14ac:dyDescent="0.25">
      <c r="A775" s="810"/>
      <c r="B775" s="40"/>
      <c r="C775" s="40"/>
      <c r="D775" s="41"/>
      <c r="G775" s="40"/>
    </row>
    <row r="776" spans="1:7" s="83" customFormat="1" ht="15" customHeight="1" x14ac:dyDescent="0.25">
      <c r="A776" s="810"/>
      <c r="B776" s="40"/>
      <c r="C776" s="40"/>
      <c r="D776" s="41"/>
      <c r="G776" s="40"/>
    </row>
    <row r="777" spans="1:7" s="83" customFormat="1" ht="15" customHeight="1" x14ac:dyDescent="0.25">
      <c r="A777" s="810"/>
      <c r="B777" s="40"/>
      <c r="C777" s="40"/>
      <c r="D777" s="41"/>
      <c r="G777" s="40"/>
    </row>
    <row r="778" spans="1:7" s="83" customFormat="1" ht="15" customHeight="1" x14ac:dyDescent="0.25">
      <c r="A778" s="810"/>
      <c r="B778" s="40"/>
      <c r="C778" s="40"/>
      <c r="D778" s="41"/>
      <c r="G778" s="40"/>
    </row>
    <row r="779" spans="1:7" s="83" customFormat="1" ht="15" customHeight="1" x14ac:dyDescent="0.25">
      <c r="A779" s="810"/>
      <c r="B779" s="40"/>
      <c r="C779" s="40"/>
      <c r="D779" s="41"/>
      <c r="G779" s="40"/>
    </row>
    <row r="780" spans="1:7" s="83" customFormat="1" ht="15" customHeight="1" x14ac:dyDescent="0.25">
      <c r="A780" s="810"/>
      <c r="B780" s="40"/>
      <c r="C780" s="40"/>
      <c r="D780" s="41"/>
      <c r="G780" s="40"/>
    </row>
    <row r="781" spans="1:7" s="83" customFormat="1" ht="15" customHeight="1" x14ac:dyDescent="0.25">
      <c r="A781" s="810"/>
      <c r="B781" s="40"/>
      <c r="C781" s="40"/>
      <c r="D781" s="41"/>
      <c r="G781" s="40"/>
    </row>
    <row r="782" spans="1:7" s="83" customFormat="1" ht="15" customHeight="1" x14ac:dyDescent="0.25">
      <c r="A782" s="810"/>
      <c r="B782" s="40"/>
      <c r="C782" s="40"/>
      <c r="D782" s="41"/>
      <c r="G782" s="40"/>
    </row>
    <row r="783" spans="1:7" s="83" customFormat="1" ht="15" customHeight="1" x14ac:dyDescent="0.25">
      <c r="A783" s="810"/>
      <c r="B783" s="40"/>
      <c r="C783" s="40"/>
      <c r="D783" s="41"/>
      <c r="G783" s="40"/>
    </row>
    <row r="784" spans="1:7" s="83" customFormat="1" ht="15" customHeight="1" x14ac:dyDescent="0.25">
      <c r="A784" s="810"/>
      <c r="B784" s="40"/>
      <c r="C784" s="40"/>
      <c r="D784" s="41"/>
      <c r="G784" s="40"/>
    </row>
    <row r="785" spans="1:7" s="83" customFormat="1" ht="15" customHeight="1" x14ac:dyDescent="0.25">
      <c r="A785" s="810"/>
      <c r="B785" s="40"/>
      <c r="C785" s="40"/>
      <c r="D785" s="41"/>
      <c r="G785" s="40"/>
    </row>
    <row r="786" spans="1:7" s="83" customFormat="1" ht="15" customHeight="1" x14ac:dyDescent="0.25">
      <c r="A786" s="810"/>
      <c r="B786" s="40"/>
      <c r="C786" s="40"/>
      <c r="D786" s="41"/>
      <c r="G786" s="40"/>
    </row>
    <row r="787" spans="1:7" s="83" customFormat="1" ht="15" customHeight="1" x14ac:dyDescent="0.25">
      <c r="A787" s="810"/>
      <c r="B787" s="40"/>
      <c r="C787" s="40"/>
      <c r="D787" s="41"/>
      <c r="G787" s="40"/>
    </row>
    <row r="788" spans="1:7" s="83" customFormat="1" ht="15" customHeight="1" x14ac:dyDescent="0.25">
      <c r="A788" s="810"/>
      <c r="B788" s="40"/>
      <c r="C788" s="40"/>
      <c r="D788" s="41"/>
      <c r="G788" s="40"/>
    </row>
    <row r="789" spans="1:7" s="83" customFormat="1" ht="15" customHeight="1" x14ac:dyDescent="0.25">
      <c r="A789" s="810"/>
      <c r="B789" s="40"/>
      <c r="C789" s="40"/>
      <c r="D789" s="41"/>
      <c r="G789" s="40"/>
    </row>
    <row r="790" spans="1:7" s="83" customFormat="1" ht="15" customHeight="1" x14ac:dyDescent="0.25">
      <c r="A790" s="810"/>
      <c r="B790" s="40"/>
      <c r="C790" s="40"/>
      <c r="D790" s="41"/>
      <c r="G790" s="40"/>
    </row>
    <row r="791" spans="1:7" s="83" customFormat="1" ht="15" customHeight="1" x14ac:dyDescent="0.25">
      <c r="A791" s="810"/>
      <c r="B791" s="40"/>
      <c r="C791" s="40"/>
      <c r="D791" s="41"/>
      <c r="G791" s="40"/>
    </row>
    <row r="792" spans="1:7" s="83" customFormat="1" ht="15" customHeight="1" x14ac:dyDescent="0.25">
      <c r="A792" s="810"/>
      <c r="B792" s="40"/>
      <c r="C792" s="40"/>
      <c r="D792" s="41"/>
      <c r="G792" s="40"/>
    </row>
    <row r="793" spans="1:7" s="83" customFormat="1" ht="15" customHeight="1" x14ac:dyDescent="0.25">
      <c r="A793" s="810"/>
      <c r="B793" s="40"/>
      <c r="C793" s="40"/>
      <c r="D793" s="41"/>
      <c r="G793" s="40"/>
    </row>
    <row r="794" spans="1:7" s="83" customFormat="1" ht="15" customHeight="1" x14ac:dyDescent="0.25">
      <c r="A794" s="810"/>
      <c r="B794" s="40"/>
      <c r="C794" s="40"/>
      <c r="D794" s="41"/>
      <c r="G794" s="40"/>
    </row>
    <row r="795" spans="1:7" s="83" customFormat="1" ht="15" customHeight="1" x14ac:dyDescent="0.25">
      <c r="A795" s="810"/>
      <c r="B795" s="40"/>
      <c r="C795" s="40"/>
      <c r="D795" s="41"/>
      <c r="G795" s="40"/>
    </row>
    <row r="796" spans="1:7" s="83" customFormat="1" ht="15" customHeight="1" x14ac:dyDescent="0.25">
      <c r="A796" s="810"/>
      <c r="B796" s="40"/>
      <c r="C796" s="40"/>
      <c r="D796" s="41"/>
      <c r="G796" s="40"/>
    </row>
    <row r="797" spans="1:7" s="83" customFormat="1" ht="15" customHeight="1" x14ac:dyDescent="0.25">
      <c r="A797" s="810"/>
      <c r="B797" s="40"/>
      <c r="C797" s="40"/>
      <c r="D797" s="41"/>
      <c r="G797" s="40"/>
    </row>
    <row r="798" spans="1:7" s="83" customFormat="1" ht="15" customHeight="1" x14ac:dyDescent="0.25">
      <c r="A798" s="810"/>
      <c r="B798" s="40"/>
      <c r="C798" s="40"/>
      <c r="D798" s="41"/>
      <c r="G798" s="40"/>
    </row>
    <row r="799" spans="1:7" s="83" customFormat="1" ht="15" customHeight="1" x14ac:dyDescent="0.25">
      <c r="A799" s="810"/>
      <c r="B799" s="40"/>
      <c r="C799" s="40"/>
      <c r="D799" s="41"/>
      <c r="G799" s="40"/>
    </row>
    <row r="800" spans="1:7" s="83" customFormat="1" ht="15" customHeight="1" x14ac:dyDescent="0.25">
      <c r="A800" s="810"/>
      <c r="B800" s="40"/>
      <c r="C800" s="40"/>
      <c r="D800" s="41"/>
      <c r="G800" s="40"/>
    </row>
    <row r="801" spans="1:7" s="83" customFormat="1" ht="15" customHeight="1" x14ac:dyDescent="0.25">
      <c r="A801" s="810"/>
      <c r="B801" s="40"/>
      <c r="C801" s="40"/>
      <c r="D801" s="41"/>
      <c r="G801" s="40"/>
    </row>
    <row r="802" spans="1:7" s="83" customFormat="1" ht="15" customHeight="1" x14ac:dyDescent="0.25">
      <c r="A802" s="810"/>
      <c r="B802" s="40"/>
      <c r="C802" s="40"/>
      <c r="D802" s="41"/>
      <c r="G802" s="40"/>
    </row>
    <row r="803" spans="1:7" s="83" customFormat="1" ht="15" customHeight="1" x14ac:dyDescent="0.25">
      <c r="A803" s="810"/>
      <c r="B803" s="40"/>
      <c r="C803" s="40"/>
      <c r="D803" s="41"/>
      <c r="G803" s="40"/>
    </row>
    <row r="804" spans="1:7" s="83" customFormat="1" ht="15" customHeight="1" x14ac:dyDescent="0.25">
      <c r="A804" s="810"/>
      <c r="B804" s="40"/>
      <c r="C804" s="40"/>
      <c r="D804" s="41"/>
      <c r="G804" s="40"/>
    </row>
    <row r="805" spans="1:7" s="83" customFormat="1" ht="15" customHeight="1" x14ac:dyDescent="0.25">
      <c r="A805" s="810"/>
      <c r="B805" s="40"/>
      <c r="C805" s="40"/>
      <c r="D805" s="41"/>
      <c r="G805" s="40"/>
    </row>
    <row r="806" spans="1:7" s="83" customFormat="1" ht="15" customHeight="1" x14ac:dyDescent="0.25">
      <c r="A806" s="810"/>
      <c r="B806" s="40"/>
      <c r="C806" s="40"/>
      <c r="D806" s="41"/>
      <c r="G806" s="40"/>
    </row>
    <row r="807" spans="1:7" s="83" customFormat="1" ht="15" customHeight="1" x14ac:dyDescent="0.25">
      <c r="A807" s="810"/>
      <c r="B807" s="40"/>
      <c r="C807" s="40"/>
      <c r="D807" s="41"/>
      <c r="G807" s="40"/>
    </row>
    <row r="808" spans="1:7" s="83" customFormat="1" ht="15" customHeight="1" x14ac:dyDescent="0.25">
      <c r="A808" s="810"/>
      <c r="B808" s="40"/>
      <c r="C808" s="40"/>
      <c r="D808" s="41"/>
      <c r="G808" s="40"/>
    </row>
    <row r="809" spans="1:7" s="83" customFormat="1" ht="15" customHeight="1" x14ac:dyDescent="0.25">
      <c r="A809" s="810"/>
      <c r="B809" s="40"/>
      <c r="C809" s="40"/>
      <c r="D809" s="41"/>
      <c r="G809" s="40"/>
    </row>
    <row r="810" spans="1:7" s="83" customFormat="1" ht="15" customHeight="1" x14ac:dyDescent="0.25">
      <c r="A810" s="810"/>
      <c r="B810" s="40"/>
      <c r="C810" s="40"/>
      <c r="D810" s="41"/>
      <c r="G810" s="40"/>
    </row>
    <row r="811" spans="1:7" s="83" customFormat="1" ht="15" customHeight="1" x14ac:dyDescent="0.25">
      <c r="A811" s="810"/>
      <c r="B811" s="40"/>
      <c r="C811" s="40"/>
      <c r="D811" s="41"/>
      <c r="G811" s="40"/>
    </row>
    <row r="812" spans="1:7" s="83" customFormat="1" ht="15" customHeight="1" x14ac:dyDescent="0.25">
      <c r="A812" s="810"/>
      <c r="B812" s="40"/>
      <c r="C812" s="40"/>
      <c r="D812" s="41"/>
      <c r="G812" s="40"/>
    </row>
    <row r="813" spans="1:7" s="83" customFormat="1" ht="15" customHeight="1" x14ac:dyDescent="0.25">
      <c r="A813" s="810"/>
      <c r="B813" s="40"/>
      <c r="C813" s="40"/>
      <c r="D813" s="41"/>
      <c r="G813" s="40"/>
    </row>
    <row r="814" spans="1:7" s="83" customFormat="1" ht="15" customHeight="1" x14ac:dyDescent="0.25">
      <c r="A814" s="810"/>
      <c r="B814" s="40"/>
      <c r="C814" s="40"/>
      <c r="D814" s="41"/>
      <c r="G814" s="40"/>
    </row>
    <row r="815" spans="1:7" s="83" customFormat="1" ht="15" customHeight="1" x14ac:dyDescent="0.25">
      <c r="A815" s="810"/>
      <c r="B815" s="40"/>
      <c r="C815" s="40"/>
      <c r="D815" s="41"/>
      <c r="G815" s="40"/>
    </row>
    <row r="816" spans="1:7" s="83" customFormat="1" ht="15" customHeight="1" x14ac:dyDescent="0.25">
      <c r="A816" s="810"/>
      <c r="B816" s="40"/>
      <c r="C816" s="40"/>
      <c r="D816" s="41"/>
      <c r="G816" s="40"/>
    </row>
    <row r="817" spans="1:7" s="83" customFormat="1" ht="15" customHeight="1" x14ac:dyDescent="0.25">
      <c r="A817" s="810"/>
      <c r="B817" s="40"/>
      <c r="C817" s="40"/>
      <c r="D817" s="41"/>
      <c r="G817" s="40"/>
    </row>
    <row r="818" spans="1:7" s="83" customFormat="1" ht="15" customHeight="1" x14ac:dyDescent="0.25">
      <c r="A818" s="810"/>
      <c r="B818" s="40"/>
      <c r="C818" s="40"/>
      <c r="D818" s="41"/>
      <c r="G818" s="40"/>
    </row>
    <row r="819" spans="1:7" s="83" customFormat="1" ht="15" customHeight="1" x14ac:dyDescent="0.25">
      <c r="A819" s="810"/>
      <c r="B819" s="40"/>
      <c r="C819" s="40"/>
      <c r="D819" s="41"/>
      <c r="G819" s="40"/>
    </row>
    <row r="820" spans="1:7" s="83" customFormat="1" ht="15" customHeight="1" x14ac:dyDescent="0.25">
      <c r="A820" s="810"/>
      <c r="B820" s="40"/>
      <c r="C820" s="40"/>
      <c r="D820" s="41"/>
      <c r="G820" s="40"/>
    </row>
    <row r="821" spans="1:7" s="83" customFormat="1" ht="15" customHeight="1" x14ac:dyDescent="0.25">
      <c r="A821" s="810"/>
      <c r="B821" s="40"/>
      <c r="C821" s="40"/>
      <c r="D821" s="41"/>
      <c r="G821" s="40"/>
    </row>
    <row r="822" spans="1:7" s="83" customFormat="1" ht="15" customHeight="1" x14ac:dyDescent="0.25">
      <c r="A822" s="810"/>
      <c r="B822" s="40"/>
      <c r="C822" s="40"/>
      <c r="D822" s="41"/>
      <c r="G822" s="40"/>
    </row>
    <row r="823" spans="1:7" s="83" customFormat="1" ht="15" customHeight="1" x14ac:dyDescent="0.25">
      <c r="A823" s="810"/>
      <c r="B823" s="40"/>
      <c r="C823" s="40"/>
      <c r="D823" s="41"/>
      <c r="G823" s="40"/>
    </row>
    <row r="824" spans="1:7" s="83" customFormat="1" ht="15" customHeight="1" x14ac:dyDescent="0.25">
      <c r="A824" s="810"/>
      <c r="B824" s="40"/>
      <c r="C824" s="40"/>
      <c r="D824" s="41"/>
      <c r="G824" s="40"/>
    </row>
    <row r="825" spans="1:7" s="83" customFormat="1" ht="15" customHeight="1" x14ac:dyDescent="0.25">
      <c r="A825" s="810"/>
      <c r="B825" s="40"/>
      <c r="C825" s="40"/>
      <c r="D825" s="41"/>
      <c r="G825" s="40"/>
    </row>
    <row r="826" spans="1:7" s="83" customFormat="1" ht="15" customHeight="1" x14ac:dyDescent="0.25">
      <c r="A826" s="810"/>
      <c r="B826" s="40"/>
      <c r="C826" s="40"/>
      <c r="D826" s="41"/>
      <c r="G826" s="40"/>
    </row>
    <row r="827" spans="1:7" s="83" customFormat="1" ht="15" customHeight="1" x14ac:dyDescent="0.25">
      <c r="A827" s="810"/>
      <c r="B827" s="40"/>
      <c r="C827" s="40"/>
      <c r="D827" s="41"/>
      <c r="G827" s="40"/>
    </row>
    <row r="828" spans="1:7" s="83" customFormat="1" ht="15" customHeight="1" x14ac:dyDescent="0.25">
      <c r="A828" s="810"/>
      <c r="B828" s="40"/>
      <c r="C828" s="40"/>
      <c r="D828" s="41"/>
      <c r="G828" s="40"/>
    </row>
    <row r="829" spans="1:7" s="83" customFormat="1" ht="15" customHeight="1" x14ac:dyDescent="0.25">
      <c r="A829" s="810"/>
      <c r="B829" s="40"/>
      <c r="C829" s="40"/>
      <c r="D829" s="41"/>
      <c r="G829" s="40"/>
    </row>
    <row r="830" spans="1:7" s="83" customFormat="1" ht="15" customHeight="1" x14ac:dyDescent="0.25">
      <c r="A830" s="810"/>
      <c r="B830" s="40"/>
      <c r="C830" s="40"/>
      <c r="D830" s="41"/>
      <c r="G830" s="40"/>
    </row>
    <row r="831" spans="1:7" s="83" customFormat="1" ht="15" customHeight="1" x14ac:dyDescent="0.25">
      <c r="A831" s="810"/>
      <c r="B831" s="40"/>
      <c r="C831" s="40"/>
      <c r="D831" s="41"/>
      <c r="G831" s="40"/>
    </row>
    <row r="832" spans="1:7" s="83" customFormat="1" ht="15" customHeight="1" x14ac:dyDescent="0.25">
      <c r="A832" s="810"/>
      <c r="B832" s="40"/>
      <c r="C832" s="40"/>
      <c r="D832" s="41"/>
      <c r="G832" s="40"/>
    </row>
    <row r="833" spans="1:7" s="83" customFormat="1" ht="15" customHeight="1" x14ac:dyDescent="0.25">
      <c r="A833" s="810"/>
      <c r="B833" s="40"/>
      <c r="C833" s="40"/>
      <c r="D833" s="41"/>
      <c r="G833" s="40"/>
    </row>
    <row r="834" spans="1:7" s="83" customFormat="1" ht="15" customHeight="1" x14ac:dyDescent="0.25">
      <c r="A834" s="810"/>
      <c r="B834" s="40"/>
      <c r="C834" s="40"/>
      <c r="D834" s="41"/>
      <c r="G834" s="40"/>
    </row>
    <row r="835" spans="1:7" s="83" customFormat="1" ht="15" customHeight="1" x14ac:dyDescent="0.25">
      <c r="A835" s="810"/>
      <c r="B835" s="40"/>
      <c r="C835" s="40"/>
      <c r="D835" s="41"/>
      <c r="G835" s="40"/>
    </row>
    <row r="836" spans="1:7" s="83" customFormat="1" ht="15" customHeight="1" x14ac:dyDescent="0.25">
      <c r="A836" s="810"/>
      <c r="B836" s="40"/>
      <c r="C836" s="40"/>
      <c r="D836" s="41"/>
      <c r="G836" s="40"/>
    </row>
    <row r="837" spans="1:7" s="83" customFormat="1" ht="15" customHeight="1" x14ac:dyDescent="0.25">
      <c r="A837" s="810"/>
      <c r="B837" s="40"/>
      <c r="C837" s="40"/>
      <c r="D837" s="41"/>
      <c r="G837" s="40"/>
    </row>
    <row r="838" spans="1:7" s="83" customFormat="1" ht="15" customHeight="1" x14ac:dyDescent="0.25">
      <c r="A838" s="810"/>
      <c r="B838" s="40"/>
      <c r="C838" s="40"/>
      <c r="D838" s="41"/>
      <c r="G838" s="40"/>
    </row>
    <row r="839" spans="1:7" s="83" customFormat="1" ht="15" customHeight="1" x14ac:dyDescent="0.25">
      <c r="A839" s="810"/>
      <c r="B839" s="40"/>
      <c r="C839" s="40"/>
      <c r="D839" s="41"/>
      <c r="G839" s="40"/>
    </row>
    <row r="840" spans="1:7" s="83" customFormat="1" ht="15" customHeight="1" x14ac:dyDescent="0.25">
      <c r="A840" s="810"/>
      <c r="B840" s="40"/>
      <c r="C840" s="40"/>
      <c r="D840" s="41"/>
      <c r="G840" s="40"/>
    </row>
    <row r="841" spans="1:7" s="83" customFormat="1" ht="15" customHeight="1" x14ac:dyDescent="0.25">
      <c r="A841" s="810"/>
      <c r="B841" s="40"/>
      <c r="C841" s="40"/>
      <c r="D841" s="41"/>
      <c r="G841" s="40"/>
    </row>
    <row r="842" spans="1:7" s="83" customFormat="1" ht="15" customHeight="1" x14ac:dyDescent="0.25">
      <c r="A842" s="810"/>
      <c r="B842" s="40"/>
      <c r="C842" s="40"/>
      <c r="D842" s="41"/>
      <c r="G842" s="40"/>
    </row>
    <row r="843" spans="1:7" s="83" customFormat="1" ht="15" customHeight="1" x14ac:dyDescent="0.25">
      <c r="A843" s="810"/>
      <c r="B843" s="40"/>
      <c r="C843" s="40"/>
      <c r="D843" s="41"/>
      <c r="G843" s="40"/>
    </row>
    <row r="844" spans="1:7" s="83" customFormat="1" ht="15" customHeight="1" x14ac:dyDescent="0.25">
      <c r="A844" s="810"/>
      <c r="B844" s="40"/>
      <c r="C844" s="40"/>
      <c r="D844" s="41"/>
      <c r="G844" s="40"/>
    </row>
    <row r="845" spans="1:7" s="83" customFormat="1" ht="15" customHeight="1" x14ac:dyDescent="0.25">
      <c r="A845" s="810"/>
      <c r="B845" s="40"/>
      <c r="C845" s="40"/>
      <c r="D845" s="41"/>
      <c r="G845" s="40"/>
    </row>
    <row r="846" spans="1:7" s="83" customFormat="1" ht="15" customHeight="1" x14ac:dyDescent="0.25">
      <c r="A846" s="810"/>
      <c r="B846" s="40"/>
      <c r="C846" s="40"/>
      <c r="D846" s="41"/>
      <c r="G846" s="40"/>
    </row>
    <row r="847" spans="1:7" s="83" customFormat="1" ht="15" customHeight="1" x14ac:dyDescent="0.25">
      <c r="A847" s="810"/>
      <c r="B847" s="40"/>
      <c r="C847" s="40"/>
      <c r="D847" s="41"/>
      <c r="G847" s="40"/>
    </row>
    <row r="848" spans="1:7" s="83" customFormat="1" ht="15" customHeight="1" x14ac:dyDescent="0.25">
      <c r="A848" s="810"/>
      <c r="B848" s="40"/>
      <c r="C848" s="40"/>
      <c r="D848" s="41"/>
      <c r="G848" s="40"/>
    </row>
    <row r="849" spans="1:7" s="83" customFormat="1" ht="15" customHeight="1" x14ac:dyDescent="0.25">
      <c r="A849" s="810"/>
      <c r="B849" s="40"/>
      <c r="C849" s="40"/>
      <c r="D849" s="41"/>
      <c r="G849" s="40"/>
    </row>
    <row r="850" spans="1:7" s="83" customFormat="1" ht="15" customHeight="1" x14ac:dyDescent="0.25">
      <c r="A850" s="810"/>
      <c r="B850" s="40"/>
      <c r="C850" s="40"/>
      <c r="D850" s="41"/>
      <c r="G850" s="40"/>
    </row>
    <row r="851" spans="1:7" s="83" customFormat="1" ht="15" customHeight="1" x14ac:dyDescent="0.25">
      <c r="A851" s="810"/>
      <c r="B851" s="40"/>
      <c r="C851" s="40"/>
      <c r="D851" s="41"/>
      <c r="G851" s="40"/>
    </row>
    <row r="852" spans="1:7" s="83" customFormat="1" ht="15" customHeight="1" x14ac:dyDescent="0.25">
      <c r="A852" s="810"/>
      <c r="B852" s="40"/>
      <c r="C852" s="40"/>
      <c r="D852" s="41"/>
      <c r="G852" s="40"/>
    </row>
    <row r="853" spans="1:7" s="83" customFormat="1" ht="15" customHeight="1" x14ac:dyDescent="0.25">
      <c r="A853" s="810"/>
      <c r="B853" s="40"/>
      <c r="C853" s="40"/>
      <c r="D853" s="41"/>
      <c r="G853" s="40"/>
    </row>
    <row r="854" spans="1:7" s="83" customFormat="1" ht="15" customHeight="1" x14ac:dyDescent="0.25">
      <c r="A854" s="810"/>
      <c r="B854" s="40"/>
      <c r="C854" s="40"/>
      <c r="D854" s="41"/>
      <c r="G854" s="40"/>
    </row>
    <row r="855" spans="1:7" s="83" customFormat="1" ht="15" customHeight="1" x14ac:dyDescent="0.25">
      <c r="A855" s="810"/>
      <c r="B855" s="40"/>
      <c r="C855" s="40"/>
      <c r="D855" s="41"/>
      <c r="G855" s="40"/>
    </row>
    <row r="856" spans="1:7" s="83" customFormat="1" ht="15" customHeight="1" x14ac:dyDescent="0.25">
      <c r="A856" s="810"/>
      <c r="B856" s="40"/>
      <c r="C856" s="40"/>
      <c r="D856" s="41"/>
      <c r="G856" s="40"/>
    </row>
    <row r="857" spans="1:7" s="83" customFormat="1" ht="15" customHeight="1" x14ac:dyDescent="0.25">
      <c r="A857" s="810"/>
      <c r="B857" s="40"/>
      <c r="C857" s="40"/>
      <c r="D857" s="41"/>
      <c r="G857" s="40"/>
    </row>
    <row r="858" spans="1:7" s="83" customFormat="1" ht="15" customHeight="1" x14ac:dyDescent="0.25">
      <c r="A858" s="810"/>
      <c r="B858" s="40"/>
      <c r="C858" s="40"/>
      <c r="D858" s="41"/>
      <c r="G858" s="40"/>
    </row>
    <row r="859" spans="1:7" s="83" customFormat="1" ht="15" customHeight="1" x14ac:dyDescent="0.25">
      <c r="A859" s="810"/>
      <c r="B859" s="40"/>
      <c r="C859" s="40"/>
      <c r="D859" s="41"/>
      <c r="G859" s="40"/>
    </row>
    <row r="860" spans="1:7" s="83" customFormat="1" ht="15" customHeight="1" x14ac:dyDescent="0.25">
      <c r="A860" s="810"/>
      <c r="B860" s="40"/>
      <c r="C860" s="40"/>
      <c r="D860" s="41"/>
      <c r="G860" s="40"/>
    </row>
    <row r="861" spans="1:7" s="83" customFormat="1" ht="15" customHeight="1" x14ac:dyDescent="0.25">
      <c r="A861" s="810"/>
      <c r="B861" s="40"/>
      <c r="C861" s="40"/>
      <c r="D861" s="41"/>
      <c r="G861" s="40"/>
    </row>
    <row r="862" spans="1:7" s="83" customFormat="1" ht="15" customHeight="1" x14ac:dyDescent="0.25">
      <c r="A862" s="810"/>
      <c r="B862" s="40"/>
      <c r="C862" s="40"/>
      <c r="D862" s="41"/>
      <c r="G862" s="40"/>
    </row>
    <row r="863" spans="1:7" s="83" customFormat="1" ht="15" customHeight="1" x14ac:dyDescent="0.25">
      <c r="A863" s="810"/>
      <c r="B863" s="40"/>
      <c r="C863" s="40"/>
      <c r="D863" s="41"/>
      <c r="G863" s="40"/>
    </row>
    <row r="864" spans="1:7" s="83" customFormat="1" ht="15" customHeight="1" x14ac:dyDescent="0.25">
      <c r="A864" s="810"/>
      <c r="B864" s="40"/>
      <c r="C864" s="40"/>
      <c r="D864" s="41"/>
      <c r="G864" s="40"/>
    </row>
    <row r="865" spans="1:7" s="83" customFormat="1" ht="15" customHeight="1" x14ac:dyDescent="0.25">
      <c r="A865" s="810"/>
      <c r="B865" s="40"/>
      <c r="C865" s="40"/>
      <c r="D865" s="41"/>
      <c r="G865" s="40"/>
    </row>
    <row r="866" spans="1:7" s="83" customFormat="1" ht="15" customHeight="1" x14ac:dyDescent="0.25">
      <c r="A866" s="810"/>
      <c r="B866" s="40"/>
      <c r="C866" s="40"/>
      <c r="D866" s="41"/>
      <c r="G866" s="40"/>
    </row>
    <row r="867" spans="1:7" s="83" customFormat="1" ht="15" customHeight="1" x14ac:dyDescent="0.25">
      <c r="A867" s="810"/>
      <c r="B867" s="40"/>
      <c r="C867" s="40"/>
      <c r="D867" s="41"/>
      <c r="G867" s="40"/>
    </row>
    <row r="868" spans="1:7" s="83" customFormat="1" ht="15" customHeight="1" x14ac:dyDescent="0.25">
      <c r="A868" s="810"/>
      <c r="B868" s="40"/>
      <c r="C868" s="40"/>
      <c r="D868" s="41"/>
      <c r="G868" s="40"/>
    </row>
    <row r="869" spans="1:7" s="83" customFormat="1" ht="15" customHeight="1" x14ac:dyDescent="0.25">
      <c r="A869" s="810"/>
      <c r="B869" s="40"/>
      <c r="C869" s="40"/>
      <c r="D869" s="41"/>
      <c r="G869" s="40"/>
    </row>
    <row r="870" spans="1:7" s="83" customFormat="1" ht="15" customHeight="1" x14ac:dyDescent="0.25">
      <c r="A870" s="810"/>
      <c r="B870" s="40"/>
      <c r="C870" s="40"/>
      <c r="D870" s="41"/>
      <c r="G870" s="40"/>
    </row>
    <row r="871" spans="1:7" s="83" customFormat="1" ht="15" customHeight="1" x14ac:dyDescent="0.25">
      <c r="A871" s="810"/>
      <c r="B871" s="40"/>
      <c r="C871" s="40"/>
      <c r="D871" s="41"/>
      <c r="G871" s="40"/>
    </row>
    <row r="872" spans="1:7" s="83" customFormat="1" ht="15" customHeight="1" x14ac:dyDescent="0.25">
      <c r="A872" s="810"/>
      <c r="B872" s="40"/>
      <c r="C872" s="40"/>
      <c r="D872" s="41"/>
      <c r="G872" s="40"/>
    </row>
    <row r="873" spans="1:7" s="83" customFormat="1" ht="15" customHeight="1" x14ac:dyDescent="0.25">
      <c r="A873" s="810"/>
      <c r="B873" s="40"/>
      <c r="C873" s="40"/>
      <c r="D873" s="41"/>
      <c r="G873" s="40"/>
    </row>
    <row r="874" spans="1:7" s="83" customFormat="1" ht="15" customHeight="1" x14ac:dyDescent="0.25">
      <c r="A874" s="810"/>
      <c r="B874" s="40"/>
      <c r="C874" s="40"/>
      <c r="D874" s="41"/>
      <c r="G874" s="40"/>
    </row>
    <row r="875" spans="1:7" s="83" customFormat="1" ht="15" customHeight="1" x14ac:dyDescent="0.25">
      <c r="A875" s="810"/>
      <c r="B875" s="40"/>
      <c r="C875" s="40"/>
      <c r="D875" s="41"/>
      <c r="G875" s="40"/>
    </row>
    <row r="876" spans="1:7" s="83" customFormat="1" ht="15" customHeight="1" x14ac:dyDescent="0.25">
      <c r="A876" s="810"/>
      <c r="B876" s="40"/>
      <c r="C876" s="40"/>
      <c r="D876" s="41"/>
      <c r="G876" s="40"/>
    </row>
    <row r="877" spans="1:7" s="83" customFormat="1" ht="15" customHeight="1" x14ac:dyDescent="0.25">
      <c r="A877" s="810"/>
      <c r="B877" s="40"/>
      <c r="C877" s="40"/>
      <c r="D877" s="41"/>
      <c r="G877" s="40"/>
    </row>
    <row r="878" spans="1:7" s="83" customFormat="1" ht="15" customHeight="1" x14ac:dyDescent="0.25">
      <c r="A878" s="810"/>
      <c r="B878" s="40"/>
      <c r="C878" s="40"/>
      <c r="D878" s="41"/>
      <c r="G878" s="40"/>
    </row>
    <row r="879" spans="1:7" s="83" customFormat="1" ht="15" customHeight="1" x14ac:dyDescent="0.25">
      <c r="A879" s="810"/>
      <c r="B879" s="40"/>
      <c r="C879" s="40"/>
      <c r="D879" s="41"/>
      <c r="G879" s="40"/>
    </row>
    <row r="880" spans="1:7" s="83" customFormat="1" ht="15" customHeight="1" x14ac:dyDescent="0.25">
      <c r="A880" s="810"/>
      <c r="B880" s="40"/>
      <c r="C880" s="40"/>
      <c r="D880" s="41"/>
      <c r="G880" s="40"/>
    </row>
    <row r="881" spans="1:7" s="83" customFormat="1" ht="15" customHeight="1" x14ac:dyDescent="0.25">
      <c r="A881" s="810"/>
      <c r="B881" s="40"/>
      <c r="C881" s="40"/>
      <c r="D881" s="41"/>
      <c r="G881" s="40"/>
    </row>
    <row r="882" spans="1:7" s="83" customFormat="1" ht="15" customHeight="1" x14ac:dyDescent="0.25">
      <c r="A882" s="810"/>
      <c r="B882" s="40"/>
      <c r="C882" s="40"/>
      <c r="D882" s="41"/>
      <c r="G882" s="40"/>
    </row>
    <row r="883" spans="1:7" s="83" customFormat="1" ht="15" customHeight="1" x14ac:dyDescent="0.25">
      <c r="A883" s="810"/>
      <c r="B883" s="40"/>
      <c r="C883" s="40"/>
      <c r="D883" s="41"/>
      <c r="G883" s="40"/>
    </row>
    <row r="884" spans="1:7" s="83" customFormat="1" ht="15" customHeight="1" x14ac:dyDescent="0.25">
      <c r="A884" s="810"/>
      <c r="B884" s="40"/>
      <c r="C884" s="40"/>
      <c r="D884" s="41"/>
      <c r="G884" s="40"/>
    </row>
    <row r="885" spans="1:7" s="83" customFormat="1" ht="15" customHeight="1" x14ac:dyDescent="0.25">
      <c r="A885" s="810"/>
      <c r="B885" s="40"/>
      <c r="C885" s="40"/>
      <c r="D885" s="41"/>
      <c r="G885" s="40"/>
    </row>
    <row r="886" spans="1:7" s="83" customFormat="1" ht="15" customHeight="1" x14ac:dyDescent="0.25">
      <c r="A886" s="810"/>
      <c r="B886" s="40"/>
      <c r="C886" s="40"/>
      <c r="D886" s="41"/>
      <c r="G886" s="40"/>
    </row>
    <row r="887" spans="1:7" s="83" customFormat="1" ht="15" customHeight="1" x14ac:dyDescent="0.25">
      <c r="A887" s="810"/>
      <c r="B887" s="40"/>
      <c r="C887" s="40"/>
      <c r="D887" s="41"/>
      <c r="G887" s="40"/>
    </row>
    <row r="888" spans="1:7" s="83" customFormat="1" ht="15" customHeight="1" x14ac:dyDescent="0.25">
      <c r="A888" s="810"/>
      <c r="B888" s="40"/>
      <c r="C888" s="40"/>
      <c r="D888" s="41"/>
      <c r="G888" s="40"/>
    </row>
    <row r="889" spans="1:7" s="83" customFormat="1" ht="15" customHeight="1" x14ac:dyDescent="0.25">
      <c r="A889" s="810"/>
      <c r="B889" s="40"/>
      <c r="C889" s="40"/>
      <c r="D889" s="41"/>
      <c r="G889" s="40"/>
    </row>
    <row r="890" spans="1:7" s="83" customFormat="1" ht="15" customHeight="1" x14ac:dyDescent="0.25">
      <c r="A890" s="810"/>
      <c r="B890" s="40"/>
      <c r="C890" s="40"/>
      <c r="D890" s="41"/>
      <c r="G890" s="40"/>
    </row>
    <row r="891" spans="1:7" s="83" customFormat="1" ht="15" customHeight="1" x14ac:dyDescent="0.25">
      <c r="A891" s="810"/>
      <c r="B891" s="40"/>
      <c r="C891" s="40"/>
      <c r="D891" s="41"/>
      <c r="G891" s="40"/>
    </row>
    <row r="892" spans="1:7" s="83" customFormat="1" ht="15" customHeight="1" x14ac:dyDescent="0.25">
      <c r="A892" s="810"/>
      <c r="B892" s="40"/>
      <c r="C892" s="40"/>
      <c r="D892" s="41"/>
      <c r="G892" s="40"/>
    </row>
    <row r="893" spans="1:7" s="83" customFormat="1" ht="15" customHeight="1" x14ac:dyDescent="0.25">
      <c r="A893" s="810"/>
      <c r="B893" s="40"/>
      <c r="C893" s="40"/>
      <c r="D893" s="41"/>
      <c r="G893" s="40"/>
    </row>
    <row r="894" spans="1:7" s="83" customFormat="1" ht="15" customHeight="1" x14ac:dyDescent="0.25">
      <c r="A894" s="810"/>
      <c r="B894" s="40"/>
      <c r="C894" s="40"/>
      <c r="D894" s="41"/>
      <c r="G894" s="40"/>
    </row>
    <row r="895" spans="1:7" s="83" customFormat="1" ht="15" customHeight="1" x14ac:dyDescent="0.25">
      <c r="A895" s="810"/>
      <c r="B895" s="40"/>
      <c r="C895" s="40"/>
      <c r="D895" s="41"/>
      <c r="G895" s="40"/>
    </row>
    <row r="896" spans="1:7" s="83" customFormat="1" ht="15" customHeight="1" x14ac:dyDescent="0.25">
      <c r="A896" s="810"/>
      <c r="B896" s="40"/>
      <c r="C896" s="40"/>
      <c r="D896" s="41"/>
      <c r="G896" s="40"/>
    </row>
    <row r="897" spans="1:7" s="83" customFormat="1" ht="15" customHeight="1" x14ac:dyDescent="0.25">
      <c r="A897" s="810"/>
      <c r="B897" s="40"/>
      <c r="C897" s="40"/>
      <c r="D897" s="41"/>
      <c r="G897" s="40"/>
    </row>
    <row r="898" spans="1:7" s="83" customFormat="1" ht="15" customHeight="1" x14ac:dyDescent="0.25">
      <c r="A898" s="810"/>
      <c r="B898" s="40"/>
      <c r="C898" s="40"/>
      <c r="D898" s="41"/>
      <c r="G898" s="40"/>
    </row>
    <row r="899" spans="1:7" s="83" customFormat="1" ht="15" customHeight="1" x14ac:dyDescent="0.25">
      <c r="A899" s="810"/>
      <c r="B899" s="40"/>
      <c r="C899" s="40"/>
      <c r="D899" s="41"/>
      <c r="G899" s="40"/>
    </row>
    <row r="900" spans="1:7" s="83" customFormat="1" ht="15" customHeight="1" x14ac:dyDescent="0.25">
      <c r="A900" s="810"/>
      <c r="B900" s="40"/>
      <c r="C900" s="40"/>
      <c r="D900" s="41"/>
      <c r="G900" s="40"/>
    </row>
    <row r="901" spans="1:7" s="83" customFormat="1" ht="15" customHeight="1" x14ac:dyDescent="0.25">
      <c r="A901" s="810"/>
      <c r="B901" s="40"/>
      <c r="C901" s="40"/>
      <c r="D901" s="41"/>
      <c r="G901" s="40"/>
    </row>
    <row r="902" spans="1:7" s="83" customFormat="1" ht="15" customHeight="1" x14ac:dyDescent="0.25">
      <c r="A902" s="810"/>
      <c r="B902" s="40"/>
      <c r="C902" s="40"/>
      <c r="D902" s="41"/>
      <c r="G902" s="40"/>
    </row>
    <row r="903" spans="1:7" s="83" customFormat="1" ht="15" customHeight="1" x14ac:dyDescent="0.25">
      <c r="A903" s="810"/>
      <c r="B903" s="40"/>
      <c r="C903" s="40"/>
      <c r="D903" s="41"/>
      <c r="G903" s="40"/>
    </row>
    <row r="904" spans="1:7" s="83" customFormat="1" ht="15" customHeight="1" x14ac:dyDescent="0.25">
      <c r="A904" s="810"/>
      <c r="B904" s="40"/>
      <c r="C904" s="40"/>
      <c r="D904" s="41"/>
      <c r="G904" s="40"/>
    </row>
    <row r="905" spans="1:7" s="83" customFormat="1" ht="15" customHeight="1" x14ac:dyDescent="0.25">
      <c r="A905" s="810"/>
      <c r="B905" s="40"/>
      <c r="C905" s="40"/>
      <c r="D905" s="41"/>
      <c r="G905" s="40"/>
    </row>
    <row r="906" spans="1:7" s="83" customFormat="1" ht="15" customHeight="1" x14ac:dyDescent="0.25">
      <c r="A906" s="810"/>
      <c r="B906" s="40"/>
      <c r="C906" s="40"/>
      <c r="D906" s="41"/>
      <c r="G906" s="40"/>
    </row>
    <row r="907" spans="1:7" s="83" customFormat="1" ht="15" customHeight="1" x14ac:dyDescent="0.25">
      <c r="A907" s="810"/>
      <c r="B907" s="40"/>
      <c r="C907" s="40"/>
      <c r="D907" s="41"/>
      <c r="G907" s="40"/>
    </row>
    <row r="908" spans="1:7" s="83" customFormat="1" ht="15" customHeight="1" x14ac:dyDescent="0.25">
      <c r="A908" s="810"/>
      <c r="B908" s="40"/>
      <c r="C908" s="40"/>
      <c r="D908" s="41"/>
      <c r="G908" s="40"/>
    </row>
    <row r="909" spans="1:7" s="83" customFormat="1" ht="15" customHeight="1" x14ac:dyDescent="0.25">
      <c r="A909" s="810"/>
      <c r="B909" s="40"/>
      <c r="C909" s="40"/>
      <c r="D909" s="41"/>
      <c r="G909" s="40"/>
    </row>
    <row r="910" spans="1:7" s="83" customFormat="1" ht="15" customHeight="1" x14ac:dyDescent="0.25">
      <c r="A910" s="810"/>
      <c r="B910" s="40"/>
      <c r="C910" s="40"/>
      <c r="D910" s="41"/>
      <c r="G910" s="40"/>
    </row>
    <row r="911" spans="1:7" s="83" customFormat="1" ht="15" customHeight="1" x14ac:dyDescent="0.25">
      <c r="A911" s="810"/>
      <c r="B911" s="40"/>
      <c r="C911" s="40"/>
      <c r="D911" s="41"/>
      <c r="G911" s="40"/>
    </row>
    <row r="912" spans="1:7" s="83" customFormat="1" ht="15" customHeight="1" x14ac:dyDescent="0.25">
      <c r="A912" s="810"/>
      <c r="B912" s="40"/>
      <c r="C912" s="40"/>
      <c r="D912" s="41"/>
      <c r="G912" s="40"/>
    </row>
    <row r="913" spans="1:7" s="83" customFormat="1" ht="15" customHeight="1" x14ac:dyDescent="0.25">
      <c r="A913" s="810"/>
      <c r="B913" s="40"/>
      <c r="C913" s="40"/>
      <c r="D913" s="41"/>
      <c r="G913" s="40"/>
    </row>
    <row r="914" spans="1:7" s="83" customFormat="1" ht="15" customHeight="1" x14ac:dyDescent="0.25">
      <c r="A914" s="810"/>
      <c r="B914" s="40"/>
      <c r="C914" s="40"/>
      <c r="D914" s="41"/>
      <c r="G914" s="40"/>
    </row>
    <row r="915" spans="1:7" s="83" customFormat="1" ht="15" customHeight="1" x14ac:dyDescent="0.25">
      <c r="A915" s="810"/>
      <c r="B915" s="40"/>
      <c r="C915" s="40"/>
      <c r="D915" s="41"/>
      <c r="G915" s="40"/>
    </row>
    <row r="916" spans="1:7" s="83" customFormat="1" ht="15" customHeight="1" x14ac:dyDescent="0.25">
      <c r="A916" s="810"/>
      <c r="B916" s="40"/>
      <c r="C916" s="40"/>
      <c r="D916" s="41"/>
      <c r="G916" s="40"/>
    </row>
    <row r="917" spans="1:7" s="83" customFormat="1" ht="15" customHeight="1" x14ac:dyDescent="0.25">
      <c r="A917" s="810"/>
      <c r="B917" s="40"/>
      <c r="C917" s="40"/>
      <c r="D917" s="41"/>
      <c r="G917" s="40"/>
    </row>
    <row r="918" spans="1:7" s="83" customFormat="1" ht="15" customHeight="1" x14ac:dyDescent="0.25">
      <c r="A918" s="810"/>
      <c r="B918" s="40"/>
      <c r="C918" s="40"/>
      <c r="D918" s="41"/>
      <c r="G918" s="40"/>
    </row>
    <row r="919" spans="1:7" s="83" customFormat="1" ht="15" customHeight="1" x14ac:dyDescent="0.25">
      <c r="A919" s="810"/>
      <c r="B919" s="40"/>
      <c r="C919" s="40"/>
      <c r="D919" s="41"/>
      <c r="G919" s="40"/>
    </row>
    <row r="920" spans="1:7" s="83" customFormat="1" ht="15" customHeight="1" x14ac:dyDescent="0.25">
      <c r="A920" s="810"/>
      <c r="B920" s="40"/>
      <c r="C920" s="40"/>
      <c r="D920" s="41"/>
      <c r="G920" s="40"/>
    </row>
    <row r="921" spans="1:7" s="83" customFormat="1" ht="15" customHeight="1" x14ac:dyDescent="0.25">
      <c r="A921" s="810"/>
      <c r="B921" s="40"/>
      <c r="C921" s="40"/>
      <c r="D921" s="41"/>
      <c r="G921" s="40"/>
    </row>
    <row r="922" spans="1:7" s="83" customFormat="1" ht="15" customHeight="1" x14ac:dyDescent="0.25">
      <c r="A922" s="810"/>
      <c r="B922" s="40"/>
      <c r="C922" s="40"/>
      <c r="D922" s="41"/>
      <c r="G922" s="40"/>
    </row>
    <row r="923" spans="1:7" s="83" customFormat="1" ht="15" customHeight="1" x14ac:dyDescent="0.25">
      <c r="A923" s="810"/>
      <c r="B923" s="40"/>
      <c r="C923" s="40"/>
      <c r="D923" s="41"/>
      <c r="G923" s="40"/>
    </row>
    <row r="924" spans="1:7" s="83" customFormat="1" ht="15" customHeight="1" x14ac:dyDescent="0.25">
      <c r="A924" s="810"/>
      <c r="B924" s="40"/>
      <c r="C924" s="40"/>
      <c r="D924" s="41"/>
      <c r="G924" s="40"/>
    </row>
    <row r="925" spans="1:7" s="83" customFormat="1" ht="15" customHeight="1" x14ac:dyDescent="0.25">
      <c r="A925" s="810"/>
      <c r="B925" s="40"/>
      <c r="C925" s="40"/>
      <c r="D925" s="41"/>
      <c r="G925" s="40"/>
    </row>
    <row r="926" spans="1:7" s="83" customFormat="1" ht="15" customHeight="1" x14ac:dyDescent="0.25">
      <c r="A926" s="810"/>
      <c r="B926" s="40"/>
      <c r="C926" s="40"/>
      <c r="D926" s="41"/>
      <c r="G926" s="40"/>
    </row>
    <row r="927" spans="1:7" s="83" customFormat="1" ht="15" customHeight="1" x14ac:dyDescent="0.25">
      <c r="A927" s="810"/>
      <c r="B927" s="40"/>
      <c r="C927" s="40"/>
      <c r="D927" s="41"/>
      <c r="G927" s="40"/>
    </row>
    <row r="928" spans="1:7" s="83" customFormat="1" ht="15" customHeight="1" x14ac:dyDescent="0.25">
      <c r="A928" s="810"/>
      <c r="B928" s="40"/>
      <c r="C928" s="40"/>
      <c r="D928" s="41"/>
      <c r="G928" s="40"/>
    </row>
    <row r="929" spans="1:7" s="83" customFormat="1" ht="15" customHeight="1" x14ac:dyDescent="0.25">
      <c r="A929" s="810"/>
      <c r="B929" s="40"/>
      <c r="C929" s="40"/>
      <c r="D929" s="41"/>
      <c r="G929" s="40"/>
    </row>
    <row r="930" spans="1:7" s="83" customFormat="1" ht="15" customHeight="1" x14ac:dyDescent="0.25">
      <c r="A930" s="810"/>
      <c r="B930" s="40"/>
      <c r="C930" s="40"/>
      <c r="D930" s="41"/>
      <c r="G930" s="40"/>
    </row>
    <row r="931" spans="1:7" s="83" customFormat="1" ht="15" customHeight="1" x14ac:dyDescent="0.25">
      <c r="A931" s="810"/>
      <c r="B931" s="40"/>
      <c r="C931" s="40"/>
      <c r="D931" s="41"/>
      <c r="G931" s="40"/>
    </row>
    <row r="932" spans="1:7" s="83" customFormat="1" ht="15" customHeight="1" x14ac:dyDescent="0.25">
      <c r="A932" s="810"/>
      <c r="B932" s="40"/>
      <c r="C932" s="40"/>
      <c r="D932" s="41"/>
      <c r="G932" s="40"/>
    </row>
    <row r="933" spans="1:7" s="83" customFormat="1" ht="15" customHeight="1" x14ac:dyDescent="0.25">
      <c r="A933" s="810"/>
      <c r="B933" s="40"/>
      <c r="C933" s="40"/>
      <c r="D933" s="41"/>
      <c r="G933" s="40"/>
    </row>
    <row r="934" spans="1:7" s="83" customFormat="1" ht="15" customHeight="1" x14ac:dyDescent="0.25">
      <c r="A934" s="810"/>
      <c r="B934" s="40"/>
      <c r="C934" s="40"/>
      <c r="D934" s="41"/>
      <c r="G934" s="40"/>
    </row>
    <row r="935" spans="1:7" s="83" customFormat="1" ht="15" customHeight="1" x14ac:dyDescent="0.25">
      <c r="A935" s="810"/>
      <c r="B935" s="40"/>
      <c r="C935" s="40"/>
      <c r="D935" s="41"/>
      <c r="G935" s="40"/>
    </row>
    <row r="936" spans="1:7" s="83" customFormat="1" ht="15" customHeight="1" x14ac:dyDescent="0.25">
      <c r="A936" s="810"/>
      <c r="B936" s="40"/>
      <c r="C936" s="40"/>
      <c r="D936" s="41"/>
      <c r="G936" s="40"/>
    </row>
    <row r="937" spans="1:7" s="83" customFormat="1" ht="15" customHeight="1" x14ac:dyDescent="0.25">
      <c r="A937" s="810"/>
      <c r="B937" s="40"/>
      <c r="C937" s="40"/>
      <c r="D937" s="41"/>
      <c r="G937" s="40"/>
    </row>
    <row r="938" spans="1:7" s="83" customFormat="1" ht="15" customHeight="1" x14ac:dyDescent="0.25">
      <c r="A938" s="810"/>
      <c r="B938" s="40"/>
      <c r="C938" s="40"/>
      <c r="D938" s="41"/>
      <c r="G938" s="40"/>
    </row>
    <row r="939" spans="1:7" s="83" customFormat="1" ht="15" customHeight="1" x14ac:dyDescent="0.25">
      <c r="A939" s="810"/>
      <c r="B939" s="40"/>
      <c r="C939" s="40"/>
      <c r="D939" s="41"/>
      <c r="G939" s="40"/>
    </row>
    <row r="940" spans="1:7" s="83" customFormat="1" ht="15" customHeight="1" x14ac:dyDescent="0.25">
      <c r="A940" s="810"/>
      <c r="B940" s="40"/>
      <c r="C940" s="40"/>
      <c r="D940" s="41"/>
      <c r="G940" s="40"/>
    </row>
    <row r="941" spans="1:7" s="83" customFormat="1" ht="15" customHeight="1" x14ac:dyDescent="0.25">
      <c r="A941" s="810"/>
      <c r="B941" s="40"/>
      <c r="C941" s="40"/>
      <c r="D941" s="41"/>
      <c r="G941" s="40"/>
    </row>
    <row r="942" spans="1:7" s="83" customFormat="1" ht="15" customHeight="1" x14ac:dyDescent="0.25">
      <c r="A942" s="810"/>
      <c r="B942" s="40"/>
      <c r="C942" s="40"/>
      <c r="D942" s="41"/>
      <c r="G942" s="40"/>
    </row>
    <row r="943" spans="1:7" s="83" customFormat="1" ht="15" customHeight="1" x14ac:dyDescent="0.25">
      <c r="A943" s="810"/>
      <c r="B943" s="40"/>
      <c r="C943" s="40"/>
      <c r="D943" s="41"/>
      <c r="G943" s="40"/>
    </row>
    <row r="944" spans="1:7" s="83" customFormat="1" ht="15" customHeight="1" x14ac:dyDescent="0.25">
      <c r="A944" s="810"/>
      <c r="B944" s="40"/>
      <c r="C944" s="40"/>
      <c r="D944" s="41"/>
      <c r="G944" s="40"/>
    </row>
    <row r="945" spans="1:7" s="83" customFormat="1" ht="15" customHeight="1" x14ac:dyDescent="0.25">
      <c r="A945" s="810"/>
      <c r="B945" s="40"/>
      <c r="C945" s="40"/>
      <c r="D945" s="41"/>
      <c r="G945" s="40"/>
    </row>
    <row r="946" spans="1:7" s="83" customFormat="1" ht="15" customHeight="1" x14ac:dyDescent="0.25">
      <c r="A946" s="810"/>
      <c r="B946" s="40"/>
      <c r="C946" s="40"/>
      <c r="D946" s="41"/>
      <c r="G946" s="40"/>
    </row>
    <row r="947" spans="1:7" s="83" customFormat="1" ht="15" customHeight="1" x14ac:dyDescent="0.25">
      <c r="A947" s="810"/>
      <c r="B947" s="40"/>
      <c r="C947" s="40"/>
      <c r="D947" s="41"/>
      <c r="G947" s="40"/>
    </row>
    <row r="948" spans="1:7" s="83" customFormat="1" ht="15" customHeight="1" x14ac:dyDescent="0.25">
      <c r="A948" s="810"/>
      <c r="B948" s="40"/>
      <c r="C948" s="40"/>
      <c r="D948" s="41"/>
      <c r="G948" s="40"/>
    </row>
    <row r="949" spans="1:7" s="83" customFormat="1" ht="15" customHeight="1" x14ac:dyDescent="0.25">
      <c r="A949" s="810"/>
      <c r="B949" s="40"/>
      <c r="C949" s="40"/>
      <c r="D949" s="41"/>
      <c r="G949" s="40"/>
    </row>
    <row r="950" spans="1:7" s="83" customFormat="1" ht="15" customHeight="1" x14ac:dyDescent="0.25">
      <c r="A950" s="810"/>
      <c r="B950" s="40"/>
      <c r="C950" s="40"/>
      <c r="D950" s="41"/>
      <c r="G950" s="40"/>
    </row>
    <row r="951" spans="1:7" s="83" customFormat="1" ht="15" customHeight="1" x14ac:dyDescent="0.25">
      <c r="A951" s="810"/>
      <c r="B951" s="40"/>
      <c r="C951" s="40"/>
      <c r="D951" s="41"/>
      <c r="G951" s="40"/>
    </row>
    <row r="952" spans="1:7" s="83" customFormat="1" ht="15" customHeight="1" x14ac:dyDescent="0.25">
      <c r="A952" s="810"/>
      <c r="B952" s="40"/>
      <c r="C952" s="40"/>
      <c r="D952" s="41"/>
      <c r="G952" s="40"/>
    </row>
    <row r="953" spans="1:7" s="83" customFormat="1" ht="15" customHeight="1" x14ac:dyDescent="0.25">
      <c r="A953" s="810"/>
      <c r="B953" s="40"/>
      <c r="C953" s="40"/>
      <c r="D953" s="41"/>
      <c r="G953" s="40"/>
    </row>
    <row r="954" spans="1:7" s="83" customFormat="1" ht="15" customHeight="1" x14ac:dyDescent="0.25">
      <c r="A954" s="810"/>
      <c r="B954" s="40"/>
      <c r="C954" s="40"/>
      <c r="D954" s="41"/>
      <c r="G954" s="40"/>
    </row>
    <row r="955" spans="1:7" s="83" customFormat="1" ht="15" customHeight="1" x14ac:dyDescent="0.25">
      <c r="A955" s="810"/>
      <c r="B955" s="40"/>
      <c r="C955" s="40"/>
      <c r="D955" s="41"/>
      <c r="G955" s="40"/>
    </row>
    <row r="956" spans="1:7" s="83" customFormat="1" ht="15" customHeight="1" x14ac:dyDescent="0.25">
      <c r="A956" s="810"/>
      <c r="B956" s="40"/>
      <c r="C956" s="40"/>
      <c r="D956" s="41"/>
      <c r="G956" s="40"/>
    </row>
    <row r="957" spans="1:7" s="83" customFormat="1" ht="15" customHeight="1" x14ac:dyDescent="0.25">
      <c r="A957" s="810"/>
      <c r="B957" s="40"/>
      <c r="C957" s="40"/>
      <c r="D957" s="41"/>
      <c r="G957" s="40"/>
    </row>
    <row r="958" spans="1:7" s="83" customFormat="1" ht="15" customHeight="1" x14ac:dyDescent="0.25">
      <c r="A958" s="810"/>
      <c r="B958" s="40"/>
      <c r="C958" s="40"/>
      <c r="D958" s="41"/>
      <c r="G958" s="40"/>
    </row>
    <row r="959" spans="1:7" s="83" customFormat="1" ht="15" customHeight="1" x14ac:dyDescent="0.25">
      <c r="A959" s="810"/>
      <c r="B959" s="40"/>
      <c r="C959" s="40"/>
      <c r="D959" s="41"/>
      <c r="G959" s="40"/>
    </row>
    <row r="960" spans="1:7" s="83" customFormat="1" ht="15" customHeight="1" x14ac:dyDescent="0.25">
      <c r="A960" s="810"/>
      <c r="B960" s="40"/>
      <c r="C960" s="40"/>
      <c r="D960" s="41"/>
      <c r="G960" s="40"/>
    </row>
    <row r="961" spans="1:7" s="83" customFormat="1" ht="15" customHeight="1" x14ac:dyDescent="0.25">
      <c r="A961" s="810"/>
      <c r="B961" s="40"/>
      <c r="C961" s="40"/>
      <c r="D961" s="41"/>
      <c r="G961" s="40"/>
    </row>
    <row r="962" spans="1:7" s="83" customFormat="1" ht="15" customHeight="1" x14ac:dyDescent="0.25">
      <c r="A962" s="810"/>
      <c r="B962" s="40"/>
      <c r="C962" s="40"/>
      <c r="D962" s="41"/>
      <c r="G962" s="40"/>
    </row>
    <row r="963" spans="1:7" s="83" customFormat="1" ht="15" customHeight="1" x14ac:dyDescent="0.25">
      <c r="A963" s="810"/>
      <c r="B963" s="40"/>
      <c r="C963" s="40"/>
      <c r="D963" s="41"/>
      <c r="G963" s="40"/>
    </row>
    <row r="964" spans="1:7" s="83" customFormat="1" ht="15" customHeight="1" x14ac:dyDescent="0.25">
      <c r="A964" s="810"/>
      <c r="B964" s="40"/>
      <c r="C964" s="40"/>
      <c r="D964" s="41"/>
      <c r="G964" s="40"/>
    </row>
    <row r="965" spans="1:7" s="83" customFormat="1" ht="15" customHeight="1" x14ac:dyDescent="0.25">
      <c r="A965" s="810"/>
      <c r="B965" s="40"/>
      <c r="C965" s="40"/>
      <c r="D965" s="41"/>
      <c r="G965" s="40"/>
    </row>
    <row r="966" spans="1:7" s="83" customFormat="1" ht="15" customHeight="1" x14ac:dyDescent="0.25">
      <c r="A966" s="810"/>
      <c r="B966" s="40"/>
      <c r="C966" s="40"/>
      <c r="D966" s="41"/>
      <c r="G966" s="40"/>
    </row>
    <row r="967" spans="1:7" s="83" customFormat="1" ht="15" customHeight="1" x14ac:dyDescent="0.25">
      <c r="A967" s="810"/>
      <c r="B967" s="40"/>
      <c r="C967" s="40"/>
      <c r="D967" s="41"/>
      <c r="G967" s="40"/>
    </row>
    <row r="968" spans="1:7" s="83" customFormat="1" ht="15" customHeight="1" x14ac:dyDescent="0.25">
      <c r="A968" s="810"/>
      <c r="B968" s="40"/>
      <c r="C968" s="40"/>
      <c r="D968" s="41"/>
      <c r="G968" s="40"/>
    </row>
    <row r="969" spans="1:7" s="83" customFormat="1" ht="15" customHeight="1" x14ac:dyDescent="0.25">
      <c r="A969" s="810"/>
      <c r="B969" s="40"/>
      <c r="C969" s="40"/>
      <c r="D969" s="41"/>
      <c r="G969" s="40"/>
    </row>
    <row r="970" spans="1:7" s="83" customFormat="1" ht="15" customHeight="1" x14ac:dyDescent="0.25">
      <c r="A970" s="810"/>
      <c r="B970" s="40"/>
      <c r="C970" s="40"/>
      <c r="D970" s="41"/>
      <c r="G970" s="40"/>
    </row>
    <row r="971" spans="1:7" s="83" customFormat="1" ht="15" customHeight="1" x14ac:dyDescent="0.25">
      <c r="A971" s="810"/>
      <c r="B971" s="40"/>
      <c r="C971" s="40"/>
      <c r="D971" s="41"/>
      <c r="G971" s="40"/>
    </row>
    <row r="972" spans="1:7" s="83" customFormat="1" ht="15" customHeight="1" x14ac:dyDescent="0.25">
      <c r="A972" s="810"/>
      <c r="B972" s="40"/>
      <c r="C972" s="40"/>
      <c r="D972" s="41"/>
      <c r="G972" s="40"/>
    </row>
    <row r="973" spans="1:7" s="83" customFormat="1" ht="15" customHeight="1" x14ac:dyDescent="0.25">
      <c r="A973" s="810"/>
      <c r="B973" s="40"/>
      <c r="C973" s="40"/>
      <c r="D973" s="41"/>
      <c r="G973" s="40"/>
    </row>
    <row r="974" spans="1:7" s="83" customFormat="1" ht="15" customHeight="1" x14ac:dyDescent="0.25">
      <c r="A974" s="810"/>
      <c r="B974" s="40"/>
      <c r="C974" s="40"/>
      <c r="D974" s="41"/>
      <c r="G974" s="40"/>
    </row>
    <row r="975" spans="1:7" s="83" customFormat="1" ht="15" customHeight="1" x14ac:dyDescent="0.25">
      <c r="A975" s="810"/>
      <c r="B975" s="40"/>
      <c r="C975" s="40"/>
      <c r="D975" s="41"/>
      <c r="G975" s="40"/>
    </row>
    <row r="976" spans="1:7" s="83" customFormat="1" ht="15" customHeight="1" x14ac:dyDescent="0.25">
      <c r="A976" s="810"/>
      <c r="B976" s="40"/>
      <c r="C976" s="40"/>
      <c r="D976" s="41"/>
      <c r="G976" s="40"/>
    </row>
    <row r="977" spans="1:7" s="83" customFormat="1" ht="15" customHeight="1" x14ac:dyDescent="0.25">
      <c r="A977" s="810"/>
      <c r="B977" s="40"/>
      <c r="C977" s="40"/>
      <c r="D977" s="41"/>
      <c r="G977" s="40"/>
    </row>
    <row r="978" spans="1:7" s="83" customFormat="1" ht="15" customHeight="1" x14ac:dyDescent="0.25">
      <c r="A978" s="810"/>
      <c r="B978" s="40"/>
      <c r="C978" s="40"/>
      <c r="D978" s="41"/>
      <c r="G978" s="40"/>
    </row>
    <row r="979" spans="1:7" s="83" customFormat="1" ht="15" customHeight="1" x14ac:dyDescent="0.25">
      <c r="A979" s="810"/>
      <c r="B979" s="40"/>
      <c r="C979" s="40"/>
      <c r="D979" s="41"/>
      <c r="G979" s="40"/>
    </row>
    <row r="980" spans="1:7" s="83" customFormat="1" ht="15" customHeight="1" x14ac:dyDescent="0.25">
      <c r="A980" s="810"/>
      <c r="B980" s="40"/>
      <c r="C980" s="40"/>
      <c r="D980" s="41"/>
      <c r="G980" s="40"/>
    </row>
    <row r="981" spans="1:7" s="83" customFormat="1" ht="15" customHeight="1" x14ac:dyDescent="0.25">
      <c r="A981" s="810"/>
      <c r="B981" s="40"/>
      <c r="C981" s="40"/>
      <c r="D981" s="41"/>
      <c r="G981" s="40"/>
    </row>
    <row r="982" spans="1:7" s="83" customFormat="1" ht="15" customHeight="1" x14ac:dyDescent="0.25">
      <c r="A982" s="810"/>
      <c r="B982" s="40"/>
      <c r="C982" s="40"/>
      <c r="D982" s="41"/>
      <c r="G982" s="40"/>
    </row>
    <row r="983" spans="1:7" s="83" customFormat="1" ht="15" customHeight="1" x14ac:dyDescent="0.25">
      <c r="A983" s="810"/>
      <c r="B983" s="40"/>
      <c r="C983" s="40"/>
      <c r="D983" s="41"/>
      <c r="G983" s="40"/>
    </row>
    <row r="984" spans="1:7" s="83" customFormat="1" ht="15" customHeight="1" x14ac:dyDescent="0.25">
      <c r="A984" s="810"/>
      <c r="B984" s="40"/>
      <c r="C984" s="40"/>
      <c r="D984" s="41"/>
      <c r="G984" s="40"/>
    </row>
    <row r="985" spans="1:7" s="83" customFormat="1" ht="15" customHeight="1" x14ac:dyDescent="0.25">
      <c r="A985" s="810"/>
      <c r="B985" s="40"/>
      <c r="C985" s="40"/>
      <c r="D985" s="41"/>
      <c r="G985" s="40"/>
    </row>
    <row r="986" spans="1:7" s="83" customFormat="1" ht="15" customHeight="1" x14ac:dyDescent="0.25">
      <c r="A986" s="810"/>
      <c r="B986" s="40"/>
      <c r="C986" s="40"/>
      <c r="D986" s="41"/>
      <c r="G986" s="40"/>
    </row>
    <row r="987" spans="1:7" s="83" customFormat="1" ht="15" customHeight="1" x14ac:dyDescent="0.25">
      <c r="A987" s="810"/>
      <c r="B987" s="40"/>
      <c r="C987" s="40"/>
      <c r="D987" s="41"/>
      <c r="G987" s="40"/>
    </row>
    <row r="988" spans="1:7" s="83" customFormat="1" ht="15" customHeight="1" x14ac:dyDescent="0.25">
      <c r="A988" s="810"/>
      <c r="B988" s="40"/>
      <c r="C988" s="40"/>
      <c r="D988" s="41"/>
      <c r="G988" s="40"/>
    </row>
    <row r="989" spans="1:7" s="83" customFormat="1" ht="15" customHeight="1" x14ac:dyDescent="0.25">
      <c r="A989" s="810"/>
      <c r="B989" s="40"/>
      <c r="C989" s="40"/>
      <c r="D989" s="41"/>
      <c r="G989" s="40"/>
    </row>
    <row r="990" spans="1:7" s="83" customFormat="1" ht="15" customHeight="1" x14ac:dyDescent="0.25">
      <c r="A990" s="810"/>
      <c r="B990" s="40"/>
      <c r="C990" s="40"/>
      <c r="D990" s="41"/>
      <c r="G990" s="40"/>
    </row>
    <row r="991" spans="1:7" s="83" customFormat="1" ht="15" customHeight="1" x14ac:dyDescent="0.25">
      <c r="A991" s="810"/>
      <c r="B991" s="40"/>
      <c r="C991" s="40"/>
      <c r="D991" s="41"/>
      <c r="G991" s="40"/>
    </row>
    <row r="992" spans="1:7" s="83" customFormat="1" ht="15" customHeight="1" x14ac:dyDescent="0.25">
      <c r="A992" s="810"/>
      <c r="B992" s="40"/>
      <c r="C992" s="40"/>
      <c r="D992" s="41"/>
      <c r="G992" s="40"/>
    </row>
    <row r="993" spans="1:7" s="83" customFormat="1" ht="15" customHeight="1" x14ac:dyDescent="0.25">
      <c r="A993" s="810"/>
      <c r="B993" s="40"/>
      <c r="C993" s="40"/>
      <c r="D993" s="41"/>
      <c r="G993" s="40"/>
    </row>
    <row r="994" spans="1:7" s="83" customFormat="1" ht="15" customHeight="1" x14ac:dyDescent="0.25">
      <c r="A994" s="810"/>
      <c r="B994" s="40"/>
      <c r="C994" s="40"/>
      <c r="D994" s="41"/>
      <c r="G994" s="40"/>
    </row>
    <row r="995" spans="1:7" s="83" customFormat="1" ht="15" customHeight="1" x14ac:dyDescent="0.25">
      <c r="A995" s="810"/>
      <c r="B995" s="40"/>
      <c r="C995" s="40"/>
      <c r="D995" s="41"/>
      <c r="G995" s="40"/>
    </row>
    <row r="996" spans="1:7" s="83" customFormat="1" ht="15" customHeight="1" x14ac:dyDescent="0.25">
      <c r="A996" s="810"/>
      <c r="B996" s="40"/>
      <c r="C996" s="40"/>
      <c r="D996" s="41"/>
      <c r="G996" s="40"/>
    </row>
    <row r="997" spans="1:7" s="83" customFormat="1" ht="15" customHeight="1" x14ac:dyDescent="0.25">
      <c r="A997" s="810"/>
      <c r="B997" s="40"/>
      <c r="C997" s="40"/>
      <c r="D997" s="41"/>
      <c r="G997" s="40"/>
    </row>
    <row r="998" spans="1:7" s="83" customFormat="1" ht="15" customHeight="1" x14ac:dyDescent="0.25">
      <c r="A998" s="810"/>
      <c r="B998" s="40"/>
      <c r="C998" s="40"/>
      <c r="D998" s="41"/>
      <c r="G998" s="40"/>
    </row>
    <row r="999" spans="1:7" s="83" customFormat="1" ht="15" customHeight="1" x14ac:dyDescent="0.25">
      <c r="A999" s="810"/>
      <c r="B999" s="40"/>
      <c r="C999" s="40"/>
      <c r="D999" s="41"/>
      <c r="G999" s="40"/>
    </row>
    <row r="1000" spans="1:7" s="83" customFormat="1" ht="15" customHeight="1" x14ac:dyDescent="0.25">
      <c r="A1000" s="810"/>
      <c r="B1000" s="40"/>
      <c r="C1000" s="40"/>
      <c r="D1000" s="41"/>
      <c r="G1000" s="40"/>
    </row>
    <row r="1001" spans="1:7" s="83" customFormat="1" ht="15" customHeight="1" x14ac:dyDescent="0.25">
      <c r="A1001" s="810"/>
      <c r="B1001" s="40"/>
      <c r="C1001" s="40"/>
      <c r="D1001" s="41"/>
      <c r="G1001" s="40"/>
    </row>
    <row r="1002" spans="1:7" s="83" customFormat="1" ht="15" customHeight="1" x14ac:dyDescent="0.25">
      <c r="A1002" s="810"/>
      <c r="B1002" s="40"/>
      <c r="C1002" s="40"/>
      <c r="D1002" s="41"/>
      <c r="G1002" s="40"/>
    </row>
    <row r="1003" spans="1:7" s="83" customFormat="1" ht="15" customHeight="1" x14ac:dyDescent="0.25">
      <c r="A1003" s="810"/>
      <c r="B1003" s="40"/>
      <c r="C1003" s="40"/>
      <c r="D1003" s="41"/>
      <c r="G1003" s="40"/>
    </row>
    <row r="1004" spans="1:7" s="83" customFormat="1" ht="15" customHeight="1" x14ac:dyDescent="0.25">
      <c r="A1004" s="810"/>
      <c r="B1004" s="40"/>
      <c r="C1004" s="40"/>
      <c r="D1004" s="41"/>
      <c r="G1004" s="40"/>
    </row>
    <row r="1005" spans="1:7" s="83" customFormat="1" ht="15" customHeight="1" x14ac:dyDescent="0.25">
      <c r="A1005" s="810"/>
      <c r="B1005" s="40"/>
      <c r="C1005" s="40"/>
      <c r="D1005" s="41"/>
      <c r="G1005" s="40"/>
    </row>
    <row r="1006" spans="1:7" s="83" customFormat="1" ht="15" customHeight="1" x14ac:dyDescent="0.25">
      <c r="A1006" s="810"/>
      <c r="B1006" s="40"/>
      <c r="C1006" s="40"/>
      <c r="D1006" s="41"/>
      <c r="G1006" s="40"/>
    </row>
    <row r="1007" spans="1:7" s="83" customFormat="1" ht="15" customHeight="1" x14ac:dyDescent="0.25">
      <c r="A1007" s="810"/>
      <c r="B1007" s="40"/>
      <c r="C1007" s="40"/>
      <c r="D1007" s="41"/>
      <c r="G1007" s="40"/>
    </row>
    <row r="1008" spans="1:7" s="83" customFormat="1" ht="15" customHeight="1" x14ac:dyDescent="0.25">
      <c r="A1008" s="810"/>
      <c r="B1008" s="40"/>
      <c r="C1008" s="40"/>
      <c r="D1008" s="41"/>
      <c r="G1008" s="40"/>
    </row>
    <row r="1009" spans="1:7" s="83" customFormat="1" ht="15" customHeight="1" x14ac:dyDescent="0.25">
      <c r="A1009" s="810"/>
      <c r="B1009" s="40"/>
      <c r="C1009" s="40"/>
      <c r="D1009" s="41"/>
      <c r="G1009" s="40"/>
    </row>
    <row r="1010" spans="1:7" s="83" customFormat="1" ht="15" customHeight="1" x14ac:dyDescent="0.25">
      <c r="A1010" s="810"/>
      <c r="B1010" s="40"/>
      <c r="C1010" s="40"/>
      <c r="D1010" s="41"/>
      <c r="G1010" s="40"/>
    </row>
    <row r="1011" spans="1:7" s="83" customFormat="1" ht="15" customHeight="1" x14ac:dyDescent="0.25">
      <c r="A1011" s="810"/>
      <c r="B1011" s="40"/>
      <c r="C1011" s="40"/>
      <c r="D1011" s="41"/>
      <c r="G1011" s="40"/>
    </row>
    <row r="1012" spans="1:7" s="83" customFormat="1" ht="15" customHeight="1" x14ac:dyDescent="0.25">
      <c r="A1012" s="810"/>
      <c r="B1012" s="40"/>
      <c r="C1012" s="40"/>
      <c r="D1012" s="41"/>
      <c r="G1012" s="40"/>
    </row>
    <row r="1013" spans="1:7" s="83" customFormat="1" ht="15" customHeight="1" x14ac:dyDescent="0.25">
      <c r="A1013" s="810"/>
      <c r="B1013" s="40"/>
      <c r="C1013" s="40"/>
      <c r="D1013" s="41"/>
      <c r="G1013" s="40"/>
    </row>
    <row r="1014" spans="1:7" s="83" customFormat="1" ht="15" customHeight="1" x14ac:dyDescent="0.25">
      <c r="A1014" s="810"/>
      <c r="B1014" s="40"/>
      <c r="C1014" s="40"/>
      <c r="D1014" s="41"/>
      <c r="G1014" s="40"/>
    </row>
    <row r="1015" spans="1:7" s="83" customFormat="1" ht="15" customHeight="1" x14ac:dyDescent="0.25">
      <c r="A1015" s="810"/>
      <c r="B1015" s="40"/>
      <c r="C1015" s="40"/>
      <c r="D1015" s="41"/>
      <c r="G1015" s="40"/>
    </row>
    <row r="1016" spans="1:7" s="83" customFormat="1" ht="15" customHeight="1" x14ac:dyDescent="0.25">
      <c r="A1016" s="810"/>
      <c r="B1016" s="40"/>
      <c r="C1016" s="40"/>
      <c r="D1016" s="41"/>
      <c r="G1016" s="40"/>
    </row>
    <row r="1017" spans="1:7" s="83" customFormat="1" ht="15" customHeight="1" x14ac:dyDescent="0.25">
      <c r="A1017" s="810"/>
      <c r="B1017" s="40"/>
      <c r="C1017" s="40"/>
      <c r="D1017" s="41"/>
      <c r="G1017" s="40"/>
    </row>
    <row r="1018" spans="1:7" s="83" customFormat="1" ht="15" customHeight="1" x14ac:dyDescent="0.25">
      <c r="A1018" s="810"/>
      <c r="B1018" s="40"/>
      <c r="C1018" s="40"/>
      <c r="D1018" s="41"/>
      <c r="G1018" s="40"/>
    </row>
    <row r="1019" spans="1:7" s="83" customFormat="1" ht="15" customHeight="1" x14ac:dyDescent="0.25">
      <c r="A1019" s="810"/>
      <c r="B1019" s="40"/>
      <c r="C1019" s="40"/>
      <c r="D1019" s="41"/>
      <c r="G1019" s="40"/>
    </row>
    <row r="1020" spans="1:7" s="83" customFormat="1" ht="15" customHeight="1" x14ac:dyDescent="0.25">
      <c r="A1020" s="810"/>
      <c r="B1020" s="40"/>
      <c r="C1020" s="40"/>
      <c r="D1020" s="41"/>
      <c r="G1020" s="40"/>
    </row>
    <row r="1021" spans="1:7" s="83" customFormat="1" ht="15" customHeight="1" x14ac:dyDescent="0.25">
      <c r="A1021" s="810"/>
      <c r="B1021" s="40"/>
      <c r="C1021" s="40"/>
      <c r="D1021" s="41"/>
      <c r="G1021" s="40"/>
    </row>
    <row r="1022" spans="1:7" s="83" customFormat="1" ht="15" customHeight="1" x14ac:dyDescent="0.25">
      <c r="A1022" s="810"/>
      <c r="B1022" s="40"/>
      <c r="C1022" s="40"/>
      <c r="D1022" s="41"/>
      <c r="G1022" s="40"/>
    </row>
    <row r="1023" spans="1:7" s="83" customFormat="1" ht="15" customHeight="1" x14ac:dyDescent="0.25">
      <c r="A1023" s="810"/>
      <c r="B1023" s="40"/>
      <c r="C1023" s="40"/>
      <c r="D1023" s="41"/>
      <c r="G1023" s="40"/>
    </row>
    <row r="1024" spans="1:7" s="83" customFormat="1" ht="15" customHeight="1" x14ac:dyDescent="0.25">
      <c r="A1024" s="810"/>
      <c r="B1024" s="40"/>
      <c r="C1024" s="40"/>
      <c r="D1024" s="41"/>
      <c r="G1024" s="40"/>
    </row>
    <row r="1025" spans="1:7" s="83" customFormat="1" ht="15" customHeight="1" x14ac:dyDescent="0.25">
      <c r="A1025" s="810"/>
      <c r="B1025" s="40"/>
      <c r="C1025" s="40"/>
      <c r="D1025" s="41"/>
      <c r="G1025" s="40"/>
    </row>
    <row r="1026" spans="1:7" s="83" customFormat="1" ht="15" customHeight="1" x14ac:dyDescent="0.25">
      <c r="A1026" s="810"/>
      <c r="B1026" s="40"/>
      <c r="C1026" s="40"/>
      <c r="D1026" s="41"/>
      <c r="G1026" s="40"/>
    </row>
    <row r="1027" spans="1:7" s="83" customFormat="1" ht="15" customHeight="1" x14ac:dyDescent="0.25">
      <c r="A1027" s="810"/>
      <c r="B1027" s="40"/>
      <c r="C1027" s="40"/>
      <c r="D1027" s="41"/>
      <c r="G1027" s="40"/>
    </row>
    <row r="1028" spans="1:7" s="83" customFormat="1" ht="15" customHeight="1" x14ac:dyDescent="0.25">
      <c r="A1028" s="810"/>
      <c r="B1028" s="40"/>
      <c r="C1028" s="40"/>
      <c r="D1028" s="41"/>
      <c r="G1028" s="40"/>
    </row>
    <row r="1029" spans="1:7" s="83" customFormat="1" ht="15" customHeight="1" x14ac:dyDescent="0.25">
      <c r="A1029" s="810"/>
      <c r="B1029" s="40"/>
      <c r="C1029" s="40"/>
      <c r="D1029" s="41"/>
      <c r="G1029" s="40"/>
    </row>
    <row r="1030" spans="1:7" s="83" customFormat="1" ht="15" customHeight="1" x14ac:dyDescent="0.25">
      <c r="A1030" s="810"/>
      <c r="B1030" s="40"/>
      <c r="C1030" s="40"/>
      <c r="D1030" s="41"/>
      <c r="G1030" s="40"/>
    </row>
    <row r="1031" spans="1:7" s="83" customFormat="1" ht="15" customHeight="1" x14ac:dyDescent="0.25">
      <c r="A1031" s="810"/>
      <c r="B1031" s="40"/>
      <c r="C1031" s="40"/>
      <c r="D1031" s="41"/>
      <c r="G1031" s="40"/>
    </row>
    <row r="1032" spans="1:7" s="83" customFormat="1" ht="15" customHeight="1" x14ac:dyDescent="0.25">
      <c r="A1032" s="810"/>
      <c r="B1032" s="40"/>
      <c r="C1032" s="40"/>
      <c r="D1032" s="41"/>
      <c r="G1032" s="40"/>
    </row>
    <row r="1033" spans="1:7" s="83" customFormat="1" ht="15" customHeight="1" x14ac:dyDescent="0.25">
      <c r="A1033" s="810"/>
      <c r="B1033" s="40"/>
      <c r="C1033" s="40"/>
      <c r="D1033" s="41"/>
      <c r="G1033" s="40"/>
    </row>
    <row r="1034" spans="1:7" s="83" customFormat="1" ht="15" customHeight="1" x14ac:dyDescent="0.25">
      <c r="A1034" s="810"/>
      <c r="B1034" s="40"/>
      <c r="C1034" s="40"/>
      <c r="D1034" s="41"/>
      <c r="G1034" s="40"/>
    </row>
    <row r="1035" spans="1:7" s="83" customFormat="1" ht="15" customHeight="1" x14ac:dyDescent="0.25">
      <c r="A1035" s="810"/>
      <c r="B1035" s="40"/>
      <c r="C1035" s="40"/>
      <c r="D1035" s="41"/>
      <c r="G1035" s="40"/>
    </row>
    <row r="1036" spans="1:7" s="83" customFormat="1" ht="15" customHeight="1" x14ac:dyDescent="0.25">
      <c r="A1036" s="810"/>
      <c r="B1036" s="40"/>
      <c r="C1036" s="40"/>
      <c r="D1036" s="41"/>
      <c r="G1036" s="40"/>
    </row>
    <row r="1037" spans="1:7" s="83" customFormat="1" ht="15" customHeight="1" x14ac:dyDescent="0.25">
      <c r="A1037" s="810"/>
      <c r="B1037" s="40"/>
      <c r="C1037" s="40"/>
      <c r="D1037" s="41"/>
      <c r="G1037" s="40"/>
    </row>
    <row r="1038" spans="1:7" s="83" customFormat="1" ht="15" customHeight="1" x14ac:dyDescent="0.25">
      <c r="A1038" s="810"/>
      <c r="B1038" s="40"/>
      <c r="C1038" s="40"/>
      <c r="D1038" s="41"/>
      <c r="G1038" s="40"/>
    </row>
    <row r="1039" spans="1:7" s="83" customFormat="1" ht="15" customHeight="1" x14ac:dyDescent="0.25">
      <c r="A1039" s="810"/>
      <c r="B1039" s="40"/>
      <c r="C1039" s="40"/>
      <c r="D1039" s="41"/>
      <c r="G1039" s="40"/>
    </row>
    <row r="1040" spans="1:7" s="83" customFormat="1" ht="15" customHeight="1" x14ac:dyDescent="0.25">
      <c r="A1040" s="810"/>
      <c r="B1040" s="40"/>
      <c r="C1040" s="40"/>
      <c r="D1040" s="41"/>
      <c r="G1040" s="40"/>
    </row>
    <row r="1041" spans="1:7" s="83" customFormat="1" ht="15" customHeight="1" x14ac:dyDescent="0.25">
      <c r="A1041" s="810"/>
      <c r="B1041" s="40"/>
      <c r="C1041" s="40"/>
      <c r="D1041" s="41"/>
      <c r="G1041" s="40"/>
    </row>
    <row r="1042" spans="1:7" s="83" customFormat="1" ht="15" customHeight="1" x14ac:dyDescent="0.25">
      <c r="A1042" s="810"/>
      <c r="B1042" s="40"/>
      <c r="C1042" s="40"/>
      <c r="D1042" s="41"/>
      <c r="G1042" s="40"/>
    </row>
    <row r="1043" spans="1:7" s="83" customFormat="1" ht="15" customHeight="1" x14ac:dyDescent="0.25">
      <c r="A1043" s="810"/>
      <c r="B1043" s="40"/>
      <c r="C1043" s="40"/>
      <c r="D1043" s="41"/>
      <c r="G1043" s="40"/>
    </row>
    <row r="1044" spans="1:7" s="83" customFormat="1" ht="15" customHeight="1" x14ac:dyDescent="0.25">
      <c r="A1044" s="810"/>
      <c r="B1044" s="40"/>
      <c r="C1044" s="40"/>
      <c r="D1044" s="41"/>
      <c r="G1044" s="40"/>
    </row>
    <row r="1045" spans="1:7" s="83" customFormat="1" ht="15" customHeight="1" x14ac:dyDescent="0.25">
      <c r="A1045" s="810"/>
      <c r="B1045" s="40"/>
      <c r="C1045" s="40"/>
      <c r="D1045" s="41"/>
      <c r="G1045" s="40"/>
    </row>
    <row r="1046" spans="1:7" s="83" customFormat="1" ht="15" customHeight="1" x14ac:dyDescent="0.25">
      <c r="A1046" s="810"/>
      <c r="B1046" s="40"/>
      <c r="C1046" s="40"/>
      <c r="D1046" s="41"/>
      <c r="G1046" s="40"/>
    </row>
    <row r="1047" spans="1:7" s="83" customFormat="1" ht="15" customHeight="1" x14ac:dyDescent="0.25">
      <c r="A1047" s="810"/>
      <c r="B1047" s="40"/>
      <c r="C1047" s="40"/>
      <c r="D1047" s="41"/>
      <c r="G1047" s="40"/>
    </row>
    <row r="1048" spans="1:7" s="83" customFormat="1" ht="15" customHeight="1" x14ac:dyDescent="0.25">
      <c r="A1048" s="810"/>
      <c r="B1048" s="40"/>
      <c r="C1048" s="40"/>
      <c r="D1048" s="41"/>
      <c r="G1048" s="40"/>
    </row>
    <row r="1049" spans="1:7" s="83" customFormat="1" ht="15" customHeight="1" x14ac:dyDescent="0.25">
      <c r="A1049" s="810"/>
      <c r="B1049" s="40"/>
      <c r="C1049" s="40"/>
      <c r="D1049" s="41"/>
      <c r="G1049" s="40"/>
    </row>
    <row r="1050" spans="1:7" s="83" customFormat="1" ht="15" customHeight="1" x14ac:dyDescent="0.25">
      <c r="A1050" s="810"/>
      <c r="B1050" s="40"/>
      <c r="C1050" s="40"/>
      <c r="D1050" s="41"/>
      <c r="G1050" s="40"/>
    </row>
    <row r="1051" spans="1:7" s="83" customFormat="1" ht="15" customHeight="1" x14ac:dyDescent="0.25">
      <c r="A1051" s="810"/>
      <c r="B1051" s="40"/>
      <c r="C1051" s="40"/>
      <c r="D1051" s="41"/>
      <c r="G1051" s="40"/>
    </row>
    <row r="1052" spans="1:7" s="83" customFormat="1" ht="15" customHeight="1" x14ac:dyDescent="0.25">
      <c r="A1052" s="810"/>
      <c r="B1052" s="40"/>
      <c r="C1052" s="40"/>
      <c r="D1052" s="41"/>
      <c r="G1052" s="40"/>
    </row>
    <row r="1053" spans="1:7" s="83" customFormat="1" ht="15" customHeight="1" x14ac:dyDescent="0.25">
      <c r="A1053" s="810"/>
      <c r="B1053" s="40"/>
      <c r="C1053" s="40"/>
      <c r="D1053" s="41"/>
      <c r="G1053" s="40"/>
    </row>
    <row r="1054" spans="1:7" s="83" customFormat="1" ht="15" customHeight="1" x14ac:dyDescent="0.25">
      <c r="A1054" s="810"/>
      <c r="B1054" s="40"/>
      <c r="C1054" s="40"/>
      <c r="D1054" s="41"/>
      <c r="G1054" s="40"/>
    </row>
    <row r="1055" spans="1:7" s="83" customFormat="1" ht="15" customHeight="1" x14ac:dyDescent="0.25">
      <c r="A1055" s="810"/>
      <c r="B1055" s="40"/>
      <c r="C1055" s="40"/>
      <c r="D1055" s="41"/>
      <c r="G1055" s="40"/>
    </row>
    <row r="1056" spans="1:7" s="83" customFormat="1" ht="15" customHeight="1" x14ac:dyDescent="0.25">
      <c r="A1056" s="810"/>
      <c r="B1056" s="40"/>
      <c r="C1056" s="40"/>
      <c r="D1056" s="41"/>
      <c r="G1056" s="40"/>
    </row>
    <row r="1057" spans="1:7" s="83" customFormat="1" ht="15" customHeight="1" x14ac:dyDescent="0.25">
      <c r="A1057" s="810"/>
      <c r="B1057" s="40"/>
      <c r="C1057" s="40"/>
      <c r="D1057" s="41"/>
      <c r="G1057" s="40"/>
    </row>
    <row r="1058" spans="1:7" s="83" customFormat="1" ht="15" customHeight="1" x14ac:dyDescent="0.25">
      <c r="A1058" s="810"/>
      <c r="B1058" s="40"/>
      <c r="C1058" s="40"/>
      <c r="D1058" s="41"/>
      <c r="G1058" s="40"/>
    </row>
    <row r="1059" spans="1:7" s="83" customFormat="1" ht="15" customHeight="1" x14ac:dyDescent="0.25">
      <c r="A1059" s="810"/>
      <c r="B1059" s="40"/>
      <c r="C1059" s="40"/>
      <c r="D1059" s="41"/>
      <c r="G1059" s="40"/>
    </row>
    <row r="1060" spans="1:7" s="83" customFormat="1" ht="15" customHeight="1" x14ac:dyDescent="0.25">
      <c r="A1060" s="810"/>
      <c r="B1060" s="40"/>
      <c r="C1060" s="40"/>
      <c r="D1060" s="41"/>
      <c r="G1060" s="40"/>
    </row>
    <row r="1061" spans="1:7" s="83" customFormat="1" ht="15" customHeight="1" x14ac:dyDescent="0.25">
      <c r="A1061" s="810"/>
      <c r="B1061" s="40"/>
      <c r="C1061" s="40"/>
      <c r="D1061" s="41"/>
      <c r="G1061" s="40"/>
    </row>
    <row r="1062" spans="1:7" s="83" customFormat="1" ht="15" customHeight="1" x14ac:dyDescent="0.25">
      <c r="A1062" s="810"/>
      <c r="B1062" s="40"/>
      <c r="C1062" s="40"/>
      <c r="D1062" s="41"/>
      <c r="G1062" s="40"/>
    </row>
    <row r="1063" spans="1:7" s="83" customFormat="1" ht="15" customHeight="1" x14ac:dyDescent="0.25">
      <c r="A1063" s="810"/>
      <c r="B1063" s="40"/>
      <c r="C1063" s="40"/>
      <c r="D1063" s="41"/>
      <c r="G1063" s="40"/>
    </row>
    <row r="1064" spans="1:7" s="83" customFormat="1" ht="15" customHeight="1" x14ac:dyDescent="0.25">
      <c r="A1064" s="810"/>
      <c r="B1064" s="40"/>
      <c r="C1064" s="40"/>
      <c r="D1064" s="41"/>
      <c r="G1064" s="40"/>
    </row>
    <row r="1065" spans="1:7" s="83" customFormat="1" ht="15" customHeight="1" x14ac:dyDescent="0.25">
      <c r="A1065" s="810"/>
      <c r="B1065" s="40"/>
      <c r="C1065" s="40"/>
      <c r="D1065" s="41"/>
      <c r="G1065" s="40"/>
    </row>
    <row r="1066" spans="1:7" s="83" customFormat="1" ht="15" customHeight="1" x14ac:dyDescent="0.25">
      <c r="A1066" s="810"/>
      <c r="B1066" s="40"/>
      <c r="C1066" s="40"/>
      <c r="D1066" s="41"/>
      <c r="G1066" s="40"/>
    </row>
    <row r="1067" spans="1:7" s="83" customFormat="1" ht="15" customHeight="1" x14ac:dyDescent="0.25">
      <c r="A1067" s="810"/>
      <c r="B1067" s="40"/>
      <c r="C1067" s="40"/>
      <c r="D1067" s="41"/>
      <c r="G1067" s="40"/>
    </row>
    <row r="1068" spans="1:7" s="83" customFormat="1" ht="15" customHeight="1" x14ac:dyDescent="0.25">
      <c r="A1068" s="810"/>
      <c r="B1068" s="40"/>
      <c r="C1068" s="40"/>
      <c r="D1068" s="41"/>
      <c r="G1068" s="40"/>
    </row>
    <row r="1069" spans="1:7" s="83" customFormat="1" ht="15" customHeight="1" x14ac:dyDescent="0.25">
      <c r="A1069" s="810"/>
      <c r="B1069" s="40"/>
      <c r="C1069" s="40"/>
      <c r="D1069" s="41"/>
      <c r="G1069" s="40"/>
    </row>
    <row r="1070" spans="1:7" s="83" customFormat="1" ht="15" customHeight="1" x14ac:dyDescent="0.25">
      <c r="A1070" s="810"/>
      <c r="B1070" s="40"/>
      <c r="C1070" s="40"/>
      <c r="D1070" s="41"/>
      <c r="G1070" s="40"/>
    </row>
    <row r="1071" spans="1:7" s="83" customFormat="1" ht="15" customHeight="1" x14ac:dyDescent="0.25">
      <c r="A1071" s="810"/>
      <c r="B1071" s="40"/>
      <c r="C1071" s="40"/>
      <c r="D1071" s="41"/>
      <c r="G1071" s="40"/>
    </row>
    <row r="1072" spans="1:7" s="83" customFormat="1" ht="15" customHeight="1" x14ac:dyDescent="0.25">
      <c r="A1072" s="810"/>
      <c r="B1072" s="40"/>
      <c r="C1072" s="40"/>
      <c r="D1072" s="41"/>
      <c r="G1072" s="40"/>
    </row>
    <row r="1073" spans="1:7" s="83" customFormat="1" ht="15" customHeight="1" x14ac:dyDescent="0.25">
      <c r="A1073" s="810"/>
      <c r="B1073" s="40"/>
      <c r="C1073" s="40"/>
      <c r="D1073" s="41"/>
      <c r="G1073" s="40"/>
    </row>
    <row r="1074" spans="1:7" s="83" customFormat="1" ht="15" customHeight="1" x14ac:dyDescent="0.25">
      <c r="A1074" s="810"/>
      <c r="B1074" s="40"/>
      <c r="C1074" s="40"/>
      <c r="D1074" s="41"/>
      <c r="G1074" s="40"/>
    </row>
    <row r="1075" spans="1:7" s="83" customFormat="1" ht="15" customHeight="1" x14ac:dyDescent="0.25">
      <c r="A1075" s="810"/>
      <c r="B1075" s="40"/>
      <c r="C1075" s="40"/>
      <c r="D1075" s="41"/>
      <c r="G1075" s="40"/>
    </row>
    <row r="1076" spans="1:7" s="83" customFormat="1" ht="15" customHeight="1" x14ac:dyDescent="0.25">
      <c r="A1076" s="810"/>
      <c r="B1076" s="40"/>
      <c r="C1076" s="40"/>
      <c r="D1076" s="41"/>
      <c r="G1076" s="40"/>
    </row>
    <row r="1077" spans="1:7" s="83" customFormat="1" ht="15" customHeight="1" x14ac:dyDescent="0.25">
      <c r="A1077" s="810"/>
      <c r="B1077" s="40"/>
      <c r="C1077" s="40"/>
      <c r="D1077" s="41"/>
      <c r="G1077" s="40"/>
    </row>
    <row r="1078" spans="1:7" s="83" customFormat="1" ht="15" customHeight="1" x14ac:dyDescent="0.25">
      <c r="A1078" s="810"/>
      <c r="B1078" s="40"/>
      <c r="C1078" s="40"/>
      <c r="D1078" s="41"/>
      <c r="G1078" s="40"/>
    </row>
    <row r="1079" spans="1:7" s="83" customFormat="1" ht="15" customHeight="1" x14ac:dyDescent="0.25">
      <c r="A1079" s="810"/>
      <c r="B1079" s="40"/>
      <c r="C1079" s="40"/>
      <c r="D1079" s="41"/>
      <c r="G1079" s="40"/>
    </row>
    <row r="1080" spans="1:7" s="83" customFormat="1" ht="15" customHeight="1" x14ac:dyDescent="0.25">
      <c r="A1080" s="810"/>
      <c r="B1080" s="40"/>
      <c r="C1080" s="40"/>
      <c r="D1080" s="41"/>
      <c r="G1080" s="40"/>
    </row>
    <row r="1081" spans="1:7" s="83" customFormat="1" ht="15" customHeight="1" x14ac:dyDescent="0.25">
      <c r="A1081" s="810"/>
      <c r="B1081" s="40"/>
      <c r="C1081" s="40"/>
      <c r="D1081" s="41"/>
      <c r="G1081" s="40"/>
    </row>
    <row r="1082" spans="1:7" s="83" customFormat="1" ht="15" customHeight="1" x14ac:dyDescent="0.25">
      <c r="A1082" s="810"/>
      <c r="B1082" s="40"/>
      <c r="C1082" s="40"/>
      <c r="D1082" s="41"/>
      <c r="G1082" s="40"/>
    </row>
    <row r="1083" spans="1:7" s="83" customFormat="1" ht="15" customHeight="1" x14ac:dyDescent="0.25">
      <c r="A1083" s="810"/>
      <c r="B1083" s="40"/>
      <c r="C1083" s="40"/>
      <c r="D1083" s="41"/>
      <c r="G1083" s="40"/>
    </row>
    <row r="1084" spans="1:7" s="83" customFormat="1" ht="15" customHeight="1" x14ac:dyDescent="0.25">
      <c r="A1084" s="810"/>
      <c r="B1084" s="40"/>
      <c r="C1084" s="40"/>
      <c r="D1084" s="41"/>
      <c r="G1084" s="40"/>
    </row>
    <row r="1085" spans="1:7" s="83" customFormat="1" ht="15" customHeight="1" x14ac:dyDescent="0.25">
      <c r="A1085" s="810"/>
      <c r="B1085" s="40"/>
      <c r="C1085" s="40"/>
      <c r="D1085" s="41"/>
      <c r="G1085" s="40"/>
    </row>
    <row r="1086" spans="1:7" s="83" customFormat="1" ht="15" customHeight="1" x14ac:dyDescent="0.25">
      <c r="A1086" s="810"/>
      <c r="B1086" s="40"/>
      <c r="C1086" s="40"/>
      <c r="D1086" s="41"/>
      <c r="G1086" s="40"/>
    </row>
    <row r="1087" spans="1:7" s="83" customFormat="1" ht="15" customHeight="1" x14ac:dyDescent="0.25">
      <c r="A1087" s="810"/>
      <c r="B1087" s="40"/>
      <c r="C1087" s="40"/>
      <c r="D1087" s="41"/>
      <c r="G1087" s="40"/>
    </row>
    <row r="1088" spans="1:7" s="83" customFormat="1" ht="15" customHeight="1" x14ac:dyDescent="0.25">
      <c r="A1088" s="810"/>
      <c r="B1088" s="40"/>
      <c r="C1088" s="40"/>
      <c r="D1088" s="41"/>
      <c r="G1088" s="40"/>
    </row>
    <row r="1089" spans="1:7" s="83" customFormat="1" ht="15" customHeight="1" x14ac:dyDescent="0.25">
      <c r="A1089" s="810"/>
      <c r="B1089" s="40"/>
      <c r="C1089" s="40"/>
      <c r="D1089" s="41"/>
      <c r="G1089" s="40"/>
    </row>
    <row r="1090" spans="1:7" s="83" customFormat="1" ht="15" customHeight="1" x14ac:dyDescent="0.25">
      <c r="A1090" s="810"/>
      <c r="B1090" s="40"/>
      <c r="C1090" s="40"/>
      <c r="D1090" s="41"/>
      <c r="G1090" s="40"/>
    </row>
  </sheetData>
  <mergeCells count="4">
    <mergeCell ref="B1:G1"/>
    <mergeCell ref="B2:G2"/>
    <mergeCell ref="B4:C4"/>
    <mergeCell ref="D4:E4"/>
  </mergeCells>
  <printOptions horizontalCentered="1" verticalCentered="1"/>
  <pageMargins left="0" right="0" top="0" bottom="0" header="0.11811023622047245" footer="0"/>
  <pageSetup paperSize="9" scale="50" orientation="portrait" r:id="rId1"/>
  <headerFooter alignWithMargins="0">
    <oddHeader xml:space="preserve">&amp;C
&amp;R&amp;"Cambria,Félkövér"&amp;14 &amp;"Arial,Félkövér"18. melléklet a ..../2019. (........) önkormányzati rendelethez
</oddHeader>
  </headerFooter>
  <rowBreaks count="3" manualBreakCount="3">
    <brk id="61" min="1" max="6" man="1"/>
    <brk id="108" min="1" max="6" man="1"/>
    <brk id="147" max="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T107"/>
  <sheetViews>
    <sheetView zoomScale="75" zoomScaleNormal="75" zoomScaleSheetLayoutView="50" workbookViewId="0">
      <selection activeCell="G23" sqref="G23"/>
    </sheetView>
  </sheetViews>
  <sheetFormatPr defaultColWidth="12" defaultRowHeight="15" x14ac:dyDescent="0.2"/>
  <cols>
    <col min="1" max="1" width="9.1640625" style="1134" customWidth="1"/>
    <col min="2" max="2" width="82.6640625" style="1134" customWidth="1"/>
    <col min="3" max="3" width="24" style="1134" customWidth="1"/>
    <col min="4" max="4" width="24" style="1135" customWidth="1"/>
    <col min="5" max="5" width="20.6640625" style="1135" bestFit="1" customWidth="1"/>
    <col min="6" max="6" width="18.5" style="1135" customWidth="1"/>
    <col min="7" max="7" width="15.1640625" style="1135" bestFit="1" customWidth="1"/>
    <col min="8" max="8" width="12.1640625" style="1135" bestFit="1" customWidth="1"/>
    <col min="9" max="9" width="16.6640625" style="1135" bestFit="1" customWidth="1"/>
    <col min="10" max="10" width="14" style="1135" bestFit="1" customWidth="1"/>
    <col min="11" max="11" width="19.5" style="1135" customWidth="1"/>
    <col min="12" max="12" width="12.1640625" style="1135" bestFit="1" customWidth="1"/>
    <col min="13" max="15" width="12" style="1135"/>
    <col min="16" max="16" width="22.83203125" style="1135" customWidth="1"/>
    <col min="17" max="17" width="16.1640625" style="1135" customWidth="1"/>
    <col min="18" max="20" width="12" style="1135"/>
    <col min="21" max="16384" width="12" style="1134"/>
  </cols>
  <sheetData>
    <row r="1" spans="2:12" ht="18.75" customHeight="1" x14ac:dyDescent="0.2"/>
    <row r="2" spans="2:12" ht="18.75" customHeight="1" x14ac:dyDescent="0.2"/>
    <row r="3" spans="2:12" ht="33.75" customHeight="1" x14ac:dyDescent="0.2"/>
    <row r="4" spans="2:12" ht="40.5" customHeight="1" x14ac:dyDescent="0.25">
      <c r="B4" s="2722" t="s">
        <v>775</v>
      </c>
      <c r="C4" s="2722"/>
    </row>
    <row r="5" spans="2:12" ht="43.5" customHeight="1" thickBot="1" x14ac:dyDescent="0.25">
      <c r="C5" s="1136" t="s">
        <v>34</v>
      </c>
    </row>
    <row r="6" spans="2:12" s="1135" customFormat="1" ht="39.950000000000003" customHeight="1" x14ac:dyDescent="0.2">
      <c r="B6" s="1137" t="s">
        <v>776</v>
      </c>
      <c r="C6" s="1138">
        <v>9059029</v>
      </c>
      <c r="E6" s="1139"/>
      <c r="G6" s="1140"/>
      <c r="H6" s="1140"/>
      <c r="I6" s="1140"/>
      <c r="J6" s="1140"/>
      <c r="K6" s="1140"/>
      <c r="L6" s="1140"/>
    </row>
    <row r="7" spans="2:12" s="1143" customFormat="1" ht="39.950000000000003" customHeight="1" x14ac:dyDescent="0.25">
      <c r="B7" s="1141" t="s">
        <v>777</v>
      </c>
      <c r="C7" s="1142">
        <f>+'1 kiemelt előirányzatok telj. '!E20</f>
        <v>32777867</v>
      </c>
      <c r="E7" s="1144"/>
      <c r="G7" s="1145"/>
      <c r="H7" s="1145"/>
      <c r="I7" s="1145"/>
      <c r="J7" s="1145"/>
      <c r="K7" s="1140"/>
      <c r="L7" s="1145"/>
    </row>
    <row r="8" spans="2:12" s="1135" customFormat="1" ht="39.950000000000003" customHeight="1" x14ac:dyDescent="0.2">
      <c r="B8" s="1146" t="s">
        <v>778</v>
      </c>
      <c r="C8" s="1147">
        <f>+(30110911+173820387-192075909-33815004+7447709-1918023-454480330+365495513)/1000</f>
        <v>-105414.746</v>
      </c>
      <c r="E8" s="1148"/>
      <c r="G8" s="1140"/>
      <c r="H8" s="1140"/>
      <c r="I8" s="1140"/>
      <c r="J8" s="1140"/>
      <c r="K8" s="1140"/>
      <c r="L8" s="1140"/>
    </row>
    <row r="9" spans="2:12" s="1135" customFormat="1" ht="39.950000000000003" customHeight="1" x14ac:dyDescent="0.2">
      <c r="B9" s="1149" t="s">
        <v>1290</v>
      </c>
      <c r="C9" s="1150">
        <v>-8785815</v>
      </c>
      <c r="E9" s="1148"/>
      <c r="G9" s="1140"/>
      <c r="H9" s="1140"/>
      <c r="I9" s="1140"/>
      <c r="J9" s="1140"/>
      <c r="K9" s="1140"/>
      <c r="L9" s="1140"/>
    </row>
    <row r="10" spans="2:12" s="1143" customFormat="1" ht="39.950000000000003" customHeight="1" x14ac:dyDescent="0.25">
      <c r="B10" s="1141" t="s">
        <v>779</v>
      </c>
      <c r="C10" s="1142">
        <f>-'1 kiemelt előirányzatok telj. '!J20</f>
        <v>-22427376</v>
      </c>
      <c r="E10" s="1144"/>
      <c r="G10" s="1145"/>
      <c r="H10" s="1145"/>
      <c r="I10" s="1145"/>
      <c r="J10" s="1145"/>
      <c r="K10" s="1140"/>
      <c r="L10" s="1145"/>
    </row>
    <row r="11" spans="2:12" s="1135" customFormat="1" ht="39.950000000000003" customHeight="1" thickBot="1" x14ac:dyDescent="0.25">
      <c r="B11" s="1151" t="s">
        <v>780</v>
      </c>
      <c r="C11" s="1152">
        <f>SUM(C6:C10)</f>
        <v>10518290.254000001</v>
      </c>
      <c r="D11" s="1140">
        <v>10518290</v>
      </c>
      <c r="E11" s="1153">
        <f>+D11-C11</f>
        <v>-0.25400000065565109</v>
      </c>
      <c r="F11" s="1140"/>
      <c r="G11" s="1140"/>
      <c r="H11" s="1140"/>
      <c r="I11" s="1140"/>
      <c r="J11" s="1140"/>
      <c r="K11" s="1140"/>
      <c r="L11" s="1140"/>
    </row>
    <row r="12" spans="2:12" ht="39.950000000000003" customHeight="1" x14ac:dyDescent="0.2">
      <c r="B12" s="1154" t="s">
        <v>781</v>
      </c>
      <c r="C12" s="1155"/>
      <c r="D12" s="1140"/>
      <c r="E12" s="373"/>
      <c r="G12" s="1140"/>
      <c r="H12" s="1140"/>
      <c r="I12" s="1140"/>
      <c r="J12" s="1140"/>
      <c r="K12" s="1140"/>
      <c r="L12" s="1140"/>
    </row>
    <row r="13" spans="2:12" ht="39.950000000000003" customHeight="1" x14ac:dyDescent="0.2">
      <c r="B13" s="1156" t="s">
        <v>782</v>
      </c>
      <c r="C13" s="1157">
        <v>162987</v>
      </c>
      <c r="E13" s="373"/>
      <c r="G13" s="1140"/>
      <c r="H13" s="1140"/>
      <c r="I13" s="1140"/>
    </row>
    <row r="14" spans="2:12" ht="39.950000000000003" customHeight="1" thickBot="1" x14ac:dyDescent="0.25">
      <c r="B14" s="1158" t="s">
        <v>783</v>
      </c>
      <c r="C14" s="1159">
        <v>10355303</v>
      </c>
      <c r="D14" s="1140">
        <f>SUM(C13:C14)</f>
        <v>10518290</v>
      </c>
      <c r="E14" s="373"/>
    </row>
    <row r="15" spans="2:12" ht="35.1" customHeight="1" x14ac:dyDescent="0.2">
      <c r="D15" s="1140">
        <f>+D14-C11</f>
        <v>-0.25400000065565109</v>
      </c>
    </row>
    <row r="16" spans="2:12" s="1135" customFormat="1" ht="35.1" customHeight="1" x14ac:dyDescent="0.2"/>
    <row r="17" spans="2:3" s="1135" customFormat="1" ht="35.1" customHeight="1" x14ac:dyDescent="0.2"/>
    <row r="18" spans="2:3" s="1135" customFormat="1" ht="35.1" customHeight="1" x14ac:dyDescent="0.2"/>
    <row r="19" spans="2:3" s="1135" customFormat="1" ht="35.1" customHeight="1" x14ac:dyDescent="0.2"/>
    <row r="20" spans="2:3" s="1135" customFormat="1" ht="35.1" customHeight="1" x14ac:dyDescent="0.2"/>
    <row r="21" spans="2:3" s="1135" customFormat="1" ht="35.1" customHeight="1" x14ac:dyDescent="0.2"/>
    <row r="22" spans="2:3" s="1135" customFormat="1" ht="35.1" customHeight="1" x14ac:dyDescent="0.2"/>
    <row r="23" spans="2:3" s="1135" customFormat="1" ht="35.1" customHeight="1" x14ac:dyDescent="0.2"/>
    <row r="24" spans="2:3" s="1135" customFormat="1" ht="35.1" customHeight="1" x14ac:dyDescent="0.2">
      <c r="B24" s="1160"/>
    </row>
    <row r="25" spans="2:3" s="1135" customFormat="1" ht="35.1" customHeight="1" x14ac:dyDescent="0.2">
      <c r="B25" s="1160"/>
      <c r="C25" s="1160"/>
    </row>
    <row r="26" spans="2:3" s="1135" customFormat="1" ht="35.1" customHeight="1" x14ac:dyDescent="0.2">
      <c r="B26" s="1160"/>
    </row>
    <row r="27" spans="2:3" s="1135" customFormat="1" ht="35.1" customHeight="1" x14ac:dyDescent="0.2"/>
    <row r="28" spans="2:3" s="1135" customFormat="1" ht="35.1" customHeight="1" x14ac:dyDescent="0.2"/>
    <row r="29" spans="2:3" s="1135" customFormat="1" ht="35.1" customHeight="1" x14ac:dyDescent="0.2"/>
    <row r="30" spans="2:3" s="1135" customFormat="1" ht="35.1" customHeight="1" x14ac:dyDescent="0.2"/>
    <row r="31" spans="2:3" ht="35.1" customHeight="1" x14ac:dyDescent="0.2"/>
    <row r="32" spans="2:3" ht="35.1" customHeight="1" x14ac:dyDescent="0.2"/>
    <row r="33" ht="35.1" customHeight="1" x14ac:dyDescent="0.2"/>
    <row r="34" ht="35.1" customHeight="1" x14ac:dyDescent="0.2"/>
    <row r="35" ht="35.1" customHeight="1" x14ac:dyDescent="0.2"/>
    <row r="36" ht="35.1" customHeight="1" x14ac:dyDescent="0.2"/>
    <row r="37" ht="35.1" customHeight="1" x14ac:dyDescent="0.2"/>
    <row r="38" ht="35.1" customHeight="1" x14ac:dyDescent="0.2"/>
    <row r="39" ht="35.1" customHeight="1" x14ac:dyDescent="0.2"/>
    <row r="40" ht="35.1" customHeight="1" x14ac:dyDescent="0.2"/>
    <row r="41" ht="35.1" customHeight="1" x14ac:dyDescent="0.2"/>
    <row r="42" ht="35.1" customHeight="1" x14ac:dyDescent="0.2"/>
    <row r="43" ht="35.1" customHeight="1" x14ac:dyDescent="0.2"/>
    <row r="44" ht="35.1" customHeight="1" x14ac:dyDescent="0.2"/>
    <row r="45" ht="35.1" customHeight="1" x14ac:dyDescent="0.2"/>
    <row r="46" ht="35.1" customHeight="1" x14ac:dyDescent="0.2"/>
    <row r="47" ht="35.1" customHeight="1" x14ac:dyDescent="0.2"/>
    <row r="48" ht="35.1" customHeight="1" x14ac:dyDescent="0.2"/>
    <row r="49" ht="63" customHeight="1" x14ac:dyDescent="0.2"/>
    <row r="50" ht="35.1" customHeight="1" x14ac:dyDescent="0.2"/>
    <row r="52" ht="35.1" customHeight="1" x14ac:dyDescent="0.2"/>
    <row r="53" ht="35.1" customHeight="1" x14ac:dyDescent="0.2"/>
    <row r="54" ht="35.1" customHeight="1" x14ac:dyDescent="0.2"/>
    <row r="55" ht="35.1" customHeight="1" x14ac:dyDescent="0.2"/>
    <row r="56" ht="35.1" customHeight="1" x14ac:dyDescent="0.2"/>
    <row r="57" ht="35.1" customHeight="1" x14ac:dyDescent="0.2"/>
    <row r="58" ht="35.1" customHeight="1" x14ac:dyDescent="0.2"/>
    <row r="59" ht="35.1" customHeight="1" x14ac:dyDescent="0.2"/>
    <row r="60" ht="35.1" customHeight="1" x14ac:dyDescent="0.2"/>
    <row r="61" ht="35.1" customHeight="1" x14ac:dyDescent="0.2"/>
    <row r="62" ht="35.1" customHeight="1" x14ac:dyDescent="0.2"/>
    <row r="63" ht="35.1" customHeight="1" x14ac:dyDescent="0.2"/>
    <row r="64" ht="35.1" customHeight="1" x14ac:dyDescent="0.2"/>
    <row r="65" ht="35.1" customHeight="1" x14ac:dyDescent="0.2"/>
    <row r="66" ht="35.1" customHeight="1" x14ac:dyDescent="0.2"/>
    <row r="67" ht="35.1" customHeight="1" x14ac:dyDescent="0.2"/>
    <row r="68" ht="35.1" customHeight="1" x14ac:dyDescent="0.2"/>
    <row r="69" ht="35.1" customHeight="1" x14ac:dyDescent="0.2"/>
    <row r="70" ht="35.1" customHeight="1" x14ac:dyDescent="0.2"/>
    <row r="71" ht="35.1" customHeight="1" x14ac:dyDescent="0.2"/>
    <row r="72" ht="35.1" customHeight="1" x14ac:dyDescent="0.2"/>
    <row r="73" ht="35.1" customHeight="1" x14ac:dyDescent="0.2"/>
    <row r="74" ht="35.1" customHeight="1" x14ac:dyDescent="0.2"/>
    <row r="75" ht="35.1" customHeight="1" x14ac:dyDescent="0.2"/>
    <row r="76" ht="35.1" customHeight="1" x14ac:dyDescent="0.2"/>
    <row r="77" ht="35.1" customHeight="1" x14ac:dyDescent="0.2"/>
    <row r="78" ht="35.1" customHeight="1" x14ac:dyDescent="0.2"/>
    <row r="79" ht="35.1" customHeight="1" x14ac:dyDescent="0.2"/>
    <row r="80" ht="35.1" customHeight="1" x14ac:dyDescent="0.2"/>
    <row r="81" ht="35.1" customHeight="1" x14ac:dyDescent="0.2"/>
    <row r="82" ht="35.1" customHeight="1" x14ac:dyDescent="0.2"/>
    <row r="83" ht="35.1" customHeight="1" x14ac:dyDescent="0.2"/>
    <row r="84" ht="70.5" customHeight="1" x14ac:dyDescent="0.2"/>
    <row r="85" ht="70.5" customHeight="1" x14ac:dyDescent="0.2"/>
    <row r="86" ht="35.1" customHeight="1" x14ac:dyDescent="0.2"/>
    <row r="87" ht="35.1" customHeight="1" x14ac:dyDescent="0.2"/>
    <row r="88" ht="35.1" customHeight="1" x14ac:dyDescent="0.2"/>
    <row r="89" ht="35.1" customHeight="1" x14ac:dyDescent="0.2"/>
    <row r="90" ht="35.1" customHeight="1" x14ac:dyDescent="0.2"/>
    <row r="91" ht="35.1" customHeight="1" x14ac:dyDescent="0.2"/>
    <row r="92" ht="35.1" customHeight="1" x14ac:dyDescent="0.2"/>
    <row r="93" ht="35.1" customHeight="1" x14ac:dyDescent="0.2"/>
    <row r="94" ht="35.1" customHeight="1" x14ac:dyDescent="0.2"/>
    <row r="95" ht="35.1" customHeight="1" x14ac:dyDescent="0.2"/>
    <row r="96" ht="35.1" customHeight="1" x14ac:dyDescent="0.2"/>
    <row r="97" ht="70.5" customHeight="1" x14ac:dyDescent="0.2"/>
    <row r="98" ht="70.5" customHeight="1" x14ac:dyDescent="0.2"/>
    <row r="99" ht="69" customHeight="1" x14ac:dyDescent="0.2"/>
    <row r="100" ht="35.1" customHeight="1" x14ac:dyDescent="0.2"/>
    <row r="101" ht="75" customHeight="1" x14ac:dyDescent="0.2"/>
    <row r="102" ht="35.1" customHeight="1" x14ac:dyDescent="0.2"/>
    <row r="103" ht="35.1" customHeight="1" x14ac:dyDescent="0.2"/>
    <row r="104" ht="35.1" customHeight="1" x14ac:dyDescent="0.2"/>
    <row r="105" ht="35.1" customHeight="1" x14ac:dyDescent="0.2"/>
    <row r="106" ht="35.1" customHeight="1" x14ac:dyDescent="0.2"/>
    <row r="107" ht="19.5" customHeight="1" x14ac:dyDescent="0.2"/>
  </sheetData>
  <mergeCells count="1">
    <mergeCell ref="B4:C4"/>
  </mergeCells>
  <printOptions horizontalCentered="1" verticalCentered="1"/>
  <pageMargins left="0.23622047244094491" right="0" top="0.15748031496062992" bottom="7.874015748031496E-2" header="0.31496062992125984" footer="0.15748031496062992"/>
  <pageSetup paperSize="9" scale="90" orientation="portrait" r:id="rId1"/>
  <headerFooter alignWithMargins="0">
    <oddHeader xml:space="preserve">&amp;R&amp;"Arial CE,Normál"&amp;11 &amp;10 &amp;"Arial CE,Félkövér"19. melléklet a …../2019. (…….) önkormányzati rendelethez </oddHeader>
  </headerFooter>
  <rowBreaks count="1" manualBreakCount="1">
    <brk id="28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15"/>
  <sheetViews>
    <sheetView topLeftCell="C1" zoomScale="75" zoomScaleNormal="75" workbookViewId="0">
      <selection activeCell="G23" sqref="G23"/>
    </sheetView>
  </sheetViews>
  <sheetFormatPr defaultColWidth="9.33203125" defaultRowHeight="15" customHeight="1" x14ac:dyDescent="0.25"/>
  <cols>
    <col min="1" max="1" width="3.1640625" style="245" customWidth="1"/>
    <col min="2" max="2" width="5" style="245" customWidth="1"/>
    <col min="3" max="3" width="84.1640625" style="245" customWidth="1"/>
    <col min="4" max="4" width="26.1640625" style="245" customWidth="1"/>
    <col min="5" max="5" width="26.6640625" style="245" customWidth="1"/>
    <col min="6" max="6" width="25.83203125" style="245" customWidth="1"/>
    <col min="7" max="7" width="27.33203125" style="245" bestFit="1" customWidth="1"/>
    <col min="8" max="8" width="8.5" style="245" customWidth="1"/>
    <col min="9" max="9" width="115.83203125" style="245" customWidth="1"/>
    <col min="10" max="10" width="26.5" style="245" customWidth="1"/>
    <col min="11" max="11" width="26" style="245" customWidth="1"/>
    <col min="12" max="12" width="24.5" style="245" customWidth="1"/>
    <col min="13" max="13" width="23.83203125" style="245" customWidth="1"/>
    <col min="14" max="14" width="21.33203125" style="245" bestFit="1" customWidth="1"/>
    <col min="15" max="15" width="17.5" style="245" customWidth="1"/>
    <col min="16" max="16" width="9.33203125" style="245"/>
    <col min="17" max="17" width="34.33203125" style="245" customWidth="1"/>
    <col min="18" max="16384" width="9.33203125" style="245"/>
  </cols>
  <sheetData>
    <row r="1" spans="1:13" ht="15" customHeight="1" x14ac:dyDescent="0.25">
      <c r="C1" s="246"/>
    </row>
    <row r="2" spans="1:13" ht="32.25" customHeight="1" x14ac:dyDescent="0.3">
      <c r="A2" s="2592" t="s">
        <v>310</v>
      </c>
      <c r="B2" s="2592"/>
      <c r="C2" s="2592"/>
      <c r="D2" s="2592"/>
      <c r="E2" s="2592"/>
      <c r="F2" s="2592"/>
      <c r="G2" s="2592"/>
      <c r="H2" s="2592"/>
      <c r="I2" s="2592"/>
      <c r="J2" s="2592"/>
      <c r="K2" s="2592"/>
      <c r="L2" s="2592"/>
    </row>
    <row r="3" spans="1:13" ht="15" customHeight="1" thickBot="1" x14ac:dyDescent="0.3">
      <c r="A3" s="247"/>
      <c r="B3" s="247"/>
      <c r="C3" s="247"/>
      <c r="D3" s="248"/>
      <c r="E3" s="248"/>
      <c r="F3" s="132"/>
      <c r="G3" s="132"/>
      <c r="H3" s="247"/>
      <c r="I3" s="247"/>
      <c r="J3" s="132"/>
      <c r="K3" s="132"/>
      <c r="M3" s="132" t="s">
        <v>34</v>
      </c>
    </row>
    <row r="4" spans="1:13" ht="28.5" customHeight="1" x14ac:dyDescent="0.3">
      <c r="A4" s="249"/>
      <c r="B4" s="1922" t="s">
        <v>339</v>
      </c>
      <c r="C4" s="1922"/>
      <c r="D4" s="2593" t="s">
        <v>622</v>
      </c>
      <c r="E4" s="2593"/>
      <c r="F4" s="1923" t="s">
        <v>602</v>
      </c>
      <c r="G4" s="1924" t="s">
        <v>166</v>
      </c>
      <c r="H4" s="1922" t="s">
        <v>340</v>
      </c>
      <c r="I4" s="1925"/>
      <c r="J4" s="2593" t="s">
        <v>622</v>
      </c>
      <c r="K4" s="2593"/>
      <c r="L4" s="1923" t="s">
        <v>602</v>
      </c>
      <c r="M4" s="1924" t="s">
        <v>166</v>
      </c>
    </row>
    <row r="5" spans="1:13" ht="21" thickBot="1" x14ac:dyDescent="0.35">
      <c r="A5" s="272"/>
      <c r="B5" s="1926"/>
      <c r="C5" s="1926"/>
      <c r="D5" s="1927" t="s">
        <v>325</v>
      </c>
      <c r="E5" s="1927" t="s">
        <v>164</v>
      </c>
      <c r="F5" s="1928" t="s">
        <v>165</v>
      </c>
      <c r="G5" s="1929" t="s">
        <v>167</v>
      </c>
      <c r="H5" s="1926"/>
      <c r="I5" s="1930"/>
      <c r="J5" s="1927" t="s">
        <v>325</v>
      </c>
      <c r="K5" s="1927" t="s">
        <v>164</v>
      </c>
      <c r="L5" s="1928" t="s">
        <v>165</v>
      </c>
      <c r="M5" s="1929" t="s">
        <v>167</v>
      </c>
    </row>
    <row r="6" spans="1:13" ht="30" customHeight="1" x14ac:dyDescent="0.3">
      <c r="A6" s="1885" t="s">
        <v>352</v>
      </c>
      <c r="B6" s="1886"/>
      <c r="C6" s="1859"/>
      <c r="D6" s="1860">
        <f>+'3 bev.részl'!G111</f>
        <v>1697265</v>
      </c>
      <c r="E6" s="1860">
        <f>+'3 bev.részl'!H111</f>
        <v>2703504</v>
      </c>
      <c r="F6" s="1860">
        <f>+'3 bev.részl'!I111</f>
        <v>2103441</v>
      </c>
      <c r="G6" s="1861">
        <f>+F6/E6*100</f>
        <v>77.804249596079757</v>
      </c>
      <c r="H6" s="1862" t="s">
        <v>22</v>
      </c>
      <c r="I6" s="1863"/>
      <c r="J6" s="1864">
        <f>+'8 okt.'!C35</f>
        <v>3376488</v>
      </c>
      <c r="K6" s="1864">
        <f>+'8 okt.'!D35</f>
        <v>3422846</v>
      </c>
      <c r="L6" s="1864">
        <f>+'8 okt.'!E35</f>
        <v>3168114</v>
      </c>
      <c r="M6" s="1865">
        <f>+L6/K6*100</f>
        <v>92.557888961408139</v>
      </c>
    </row>
    <row r="7" spans="1:13" ht="30" customHeight="1" x14ac:dyDescent="0.3">
      <c r="A7" s="1887" t="s">
        <v>257</v>
      </c>
      <c r="B7" s="1888"/>
      <c r="C7" s="1866"/>
      <c r="D7" s="1867">
        <f>+'3 bev.részl'!G58</f>
        <v>3548986</v>
      </c>
      <c r="E7" s="1867">
        <f>+'3 bev.részl'!H58</f>
        <v>4451277</v>
      </c>
      <c r="F7" s="1867">
        <f>+'3 bev.részl'!I58</f>
        <v>4357046</v>
      </c>
      <c r="G7" s="1868">
        <f>+F7/E7*100</f>
        <v>97.883056929505855</v>
      </c>
      <c r="H7" s="1869" t="s">
        <v>275</v>
      </c>
      <c r="I7" s="1870"/>
      <c r="J7" s="285">
        <f>+'9 kult.'!C97</f>
        <v>2374267</v>
      </c>
      <c r="K7" s="285">
        <f>+'9 kult.'!D97</f>
        <v>3134450</v>
      </c>
      <c r="L7" s="285">
        <f>+'9 kult.'!E97</f>
        <v>2878754</v>
      </c>
      <c r="M7" s="1871">
        <f>+L7/K7*100</f>
        <v>91.842396592703665</v>
      </c>
    </row>
    <row r="8" spans="1:13" ht="30" customHeight="1" x14ac:dyDescent="0.3">
      <c r="A8" s="1889" t="s">
        <v>276</v>
      </c>
      <c r="B8" s="1888"/>
      <c r="C8" s="1866"/>
      <c r="D8" s="1872">
        <f>+'3 bev.részl'!G121</f>
        <v>0</v>
      </c>
      <c r="E8" s="1872">
        <f>+'3 bev.részl'!H121</f>
        <v>61571</v>
      </c>
      <c r="F8" s="1872">
        <f>+'3 bev.részl'!I121</f>
        <v>41140</v>
      </c>
      <c r="G8" s="1868">
        <f>+F8/E8*100</f>
        <v>66.817170421139821</v>
      </c>
      <c r="H8" s="1869" t="s">
        <v>119</v>
      </c>
      <c r="I8" s="1873"/>
      <c r="J8" s="285">
        <f>+'10 szoc.'!C34</f>
        <v>1047946</v>
      </c>
      <c r="K8" s="285">
        <f>+'10 szoc.'!D34</f>
        <v>1286991</v>
      </c>
      <c r="L8" s="285">
        <f>+'10 szoc.'!E34</f>
        <v>1218387</v>
      </c>
      <c r="M8" s="1871">
        <f t="shared" ref="M8:M22" si="0">+L8/K8*100</f>
        <v>94.669426592726751</v>
      </c>
    </row>
    <row r="9" spans="1:13" ht="30" customHeight="1" x14ac:dyDescent="0.3">
      <c r="A9" s="1889" t="s">
        <v>150</v>
      </c>
      <c r="B9" s="1888"/>
      <c r="C9" s="1874"/>
      <c r="D9" s="1867">
        <f>+'3 bev.részl'!G75</f>
        <v>10053200</v>
      </c>
      <c r="E9" s="1867">
        <f>+'3 bev.részl'!H75</f>
        <v>10621514</v>
      </c>
      <c r="F9" s="1867">
        <f>+'3 bev.részl'!I75</f>
        <v>10621514</v>
      </c>
      <c r="G9" s="1868">
        <f>+F9/E9*100</f>
        <v>100</v>
      </c>
      <c r="H9" s="1869" t="s">
        <v>141</v>
      </c>
      <c r="I9" s="1873"/>
      <c r="J9" s="285">
        <f>+'11 eü.'!C25</f>
        <v>614195</v>
      </c>
      <c r="K9" s="285">
        <f>+'11 eü.'!D25</f>
        <v>675718</v>
      </c>
      <c r="L9" s="285">
        <f>+'11 eü.'!E25</f>
        <v>624668</v>
      </c>
      <c r="M9" s="1871">
        <f t="shared" si="0"/>
        <v>92.445073240612203</v>
      </c>
    </row>
    <row r="10" spans="1:13" ht="30" customHeight="1" x14ac:dyDescent="0.3">
      <c r="A10" s="1889" t="s">
        <v>54</v>
      </c>
      <c r="B10" s="1890"/>
      <c r="C10" s="1866"/>
      <c r="D10" s="1872">
        <f>+'3 bev.részl'!G136</f>
        <v>1583482</v>
      </c>
      <c r="E10" s="1872">
        <f>+'3 bev.részl'!H136</f>
        <v>1932864</v>
      </c>
      <c r="F10" s="1872">
        <f>+'3 bev.részl'!I136</f>
        <v>1930873</v>
      </c>
      <c r="G10" s="1868">
        <f>+F10/E10*100</f>
        <v>99.896992235356436</v>
      </c>
      <c r="H10" s="1869" t="s">
        <v>277</v>
      </c>
      <c r="I10" s="1873"/>
      <c r="J10" s="285">
        <f>+'12 Gyerm.'!C15</f>
        <v>734929</v>
      </c>
      <c r="K10" s="285">
        <f>+'12 Gyerm.'!D15</f>
        <v>780799</v>
      </c>
      <c r="L10" s="285">
        <f>+'12 Gyerm.'!E15</f>
        <v>761155</v>
      </c>
      <c r="M10" s="1871">
        <f t="shared" si="0"/>
        <v>97.484115630271035</v>
      </c>
    </row>
    <row r="11" spans="1:13" ht="30" customHeight="1" x14ac:dyDescent="0.3">
      <c r="A11" s="254"/>
      <c r="B11" s="465"/>
      <c r="C11" s="1862"/>
      <c r="D11" s="1860"/>
      <c r="E11" s="1860"/>
      <c r="F11" s="2393"/>
      <c r="G11" s="2394"/>
      <c r="H11" s="1869" t="s">
        <v>293</v>
      </c>
      <c r="I11" s="1870"/>
      <c r="J11" s="285">
        <f>+'13 egyéb'!C95</f>
        <v>5555191</v>
      </c>
      <c r="K11" s="285">
        <f>+'13 egyéb'!D95</f>
        <v>6442270</v>
      </c>
      <c r="L11" s="285">
        <f>+'13 egyéb'!E95</f>
        <v>6010008</v>
      </c>
      <c r="M11" s="1871">
        <f t="shared" si="0"/>
        <v>93.290222235330091</v>
      </c>
    </row>
    <row r="12" spans="1:13" ht="30" customHeight="1" x14ac:dyDescent="0.3">
      <c r="A12" s="254"/>
      <c r="B12" s="529"/>
      <c r="C12" s="1862"/>
      <c r="D12" s="1860"/>
      <c r="E12" s="1860"/>
      <c r="F12" s="2393"/>
      <c r="G12" s="2393"/>
      <c r="H12" s="1874" t="s">
        <v>324</v>
      </c>
      <c r="I12" s="1876"/>
      <c r="J12" s="285">
        <f>+'14 sport'!C36</f>
        <v>613600</v>
      </c>
      <c r="K12" s="285">
        <f>+'14 sport'!D36</f>
        <v>1028516</v>
      </c>
      <c r="L12" s="285">
        <f>+'14 sport'!E36</f>
        <v>996324</v>
      </c>
      <c r="M12" s="1871">
        <f t="shared" si="0"/>
        <v>96.870053552885906</v>
      </c>
    </row>
    <row r="13" spans="1:13" ht="30" customHeight="1" x14ac:dyDescent="0.3">
      <c r="A13" s="254"/>
      <c r="B13" s="986"/>
      <c r="C13" s="1877"/>
      <c r="D13" s="1860"/>
      <c r="E13" s="1860"/>
      <c r="F13" s="2393"/>
      <c r="G13" s="2395"/>
      <c r="H13" s="1869" t="s">
        <v>278</v>
      </c>
      <c r="I13" s="1878"/>
      <c r="J13" s="285">
        <f>+'15 város.ü.,körny'!G31</f>
        <v>1048302</v>
      </c>
      <c r="K13" s="285">
        <f>+'15 város.ü.,körny'!H31</f>
        <v>1283593</v>
      </c>
      <c r="L13" s="285">
        <f>+'15 város.ü.,körny'!I31</f>
        <v>1140648</v>
      </c>
      <c r="M13" s="1871">
        <f t="shared" si="0"/>
        <v>88.863681868006452</v>
      </c>
    </row>
    <row r="14" spans="1:13" ht="30" customHeight="1" x14ac:dyDescent="0.3">
      <c r="A14" s="254"/>
      <c r="B14" s="458"/>
      <c r="C14" s="1877"/>
      <c r="D14" s="1860"/>
      <c r="E14" s="1860"/>
      <c r="F14" s="1860"/>
      <c r="G14" s="1875"/>
      <c r="H14" s="1869" t="s">
        <v>311</v>
      </c>
      <c r="I14" s="1878"/>
      <c r="J14" s="285">
        <f>+'16 út-híd'!C30</f>
        <v>244200</v>
      </c>
      <c r="K14" s="285">
        <f>+'16 út-híd'!D30</f>
        <v>351219</v>
      </c>
      <c r="L14" s="285">
        <f>+'16 út-híd'!E30</f>
        <v>256322</v>
      </c>
      <c r="M14" s="1871">
        <f t="shared" si="0"/>
        <v>72.980675874596756</v>
      </c>
    </row>
    <row r="15" spans="1:13" ht="30" customHeight="1" x14ac:dyDescent="0.3">
      <c r="A15" s="254"/>
      <c r="B15" s="986"/>
      <c r="C15" s="1877"/>
      <c r="D15" s="1860"/>
      <c r="E15" s="1860"/>
      <c r="F15" s="1860"/>
      <c r="G15" s="1875"/>
      <c r="H15" s="1879" t="s">
        <v>94</v>
      </c>
      <c r="I15" s="1862"/>
      <c r="J15" s="1864"/>
      <c r="K15" s="1864"/>
      <c r="L15" s="1864"/>
      <c r="M15" s="1871"/>
    </row>
    <row r="16" spans="1:13" ht="30" customHeight="1" x14ac:dyDescent="0.3">
      <c r="A16" s="255"/>
      <c r="B16" s="1857"/>
      <c r="C16" s="1859"/>
      <c r="D16" s="1860"/>
      <c r="E16" s="1860"/>
      <c r="F16" s="1860"/>
      <c r="G16" s="1875"/>
      <c r="H16" s="1862"/>
      <c r="I16" s="1874" t="s">
        <v>353</v>
      </c>
      <c r="J16" s="1867">
        <v>140316</v>
      </c>
      <c r="K16" s="1867">
        <v>0</v>
      </c>
      <c r="L16" s="1867"/>
      <c r="M16" s="1871"/>
    </row>
    <row r="17" spans="1:13" ht="30" customHeight="1" x14ac:dyDescent="0.3">
      <c r="A17" s="255"/>
      <c r="B17" s="1857"/>
      <c r="C17" s="1859"/>
      <c r="D17" s="1860"/>
      <c r="E17" s="1860"/>
      <c r="F17" s="1860"/>
      <c r="G17" s="1875"/>
      <c r="H17" s="1862"/>
      <c r="I17" s="1880" t="s">
        <v>369</v>
      </c>
      <c r="J17" s="1867">
        <v>5494</v>
      </c>
      <c r="K17" s="1867">
        <v>0</v>
      </c>
      <c r="L17" s="1867"/>
      <c r="M17" s="1871"/>
    </row>
    <row r="18" spans="1:13" ht="30" customHeight="1" x14ac:dyDescent="0.3">
      <c r="A18" s="255"/>
      <c r="B18" s="1857"/>
      <c r="C18" s="1859"/>
      <c r="D18" s="1860"/>
      <c r="E18" s="1860"/>
      <c r="F18" s="1860"/>
      <c r="G18" s="1875"/>
      <c r="H18" s="1862"/>
      <c r="I18" s="1874" t="s">
        <v>641</v>
      </c>
      <c r="J18" s="1867">
        <v>30000</v>
      </c>
      <c r="K18" s="1867">
        <v>0</v>
      </c>
      <c r="L18" s="1867"/>
      <c r="M18" s="1871"/>
    </row>
    <row r="19" spans="1:13" ht="30" customHeight="1" x14ac:dyDescent="0.3">
      <c r="A19" s="257"/>
      <c r="B19" s="529"/>
      <c r="C19" s="1881"/>
      <c r="D19" s="1860"/>
      <c r="E19" s="1860"/>
      <c r="F19" s="1860"/>
      <c r="G19" s="1875"/>
      <c r="H19" s="1882"/>
      <c r="I19" s="1874" t="s">
        <v>713</v>
      </c>
      <c r="J19" s="1883"/>
      <c r="K19" s="1883">
        <v>25000</v>
      </c>
      <c r="L19" s="1883"/>
      <c r="M19" s="1871">
        <f t="shared" si="0"/>
        <v>0</v>
      </c>
    </row>
    <row r="20" spans="1:13" ht="30" customHeight="1" x14ac:dyDescent="0.3">
      <c r="A20" s="257"/>
      <c r="B20" s="465"/>
      <c r="C20" s="1881"/>
      <c r="D20" s="1860"/>
      <c r="E20" s="1860"/>
      <c r="F20" s="1860"/>
      <c r="G20" s="1875"/>
      <c r="H20" s="1882"/>
      <c r="I20" s="1874" t="s">
        <v>721</v>
      </c>
      <c r="J20" s="1867"/>
      <c r="K20" s="1867">
        <v>506360</v>
      </c>
      <c r="L20" s="1867"/>
      <c r="M20" s="1871">
        <f t="shared" si="0"/>
        <v>0</v>
      </c>
    </row>
    <row r="21" spans="1:13" ht="30" customHeight="1" thickBot="1" x14ac:dyDescent="0.35">
      <c r="A21" s="257"/>
      <c r="B21" s="465"/>
      <c r="C21" s="1881"/>
      <c r="D21" s="1860"/>
      <c r="E21" s="1860"/>
      <c r="F21" s="1860"/>
      <c r="G21" s="1875"/>
      <c r="H21" s="1882"/>
      <c r="I21" s="1880" t="s">
        <v>640</v>
      </c>
      <c r="J21" s="1860">
        <v>520000</v>
      </c>
      <c r="K21" s="1860">
        <v>0</v>
      </c>
      <c r="L21" s="1860"/>
      <c r="M21" s="1884"/>
    </row>
    <row r="22" spans="1:13" ht="30" customHeight="1" thickBot="1" x14ac:dyDescent="0.35">
      <c r="A22" s="258"/>
      <c r="B22" s="1931"/>
      <c r="C22" s="1932"/>
      <c r="D22" s="1933"/>
      <c r="E22" s="1933"/>
      <c r="F22" s="1933"/>
      <c r="G22" s="1934"/>
      <c r="H22" s="790" t="s">
        <v>279</v>
      </c>
      <c r="I22" s="1935"/>
      <c r="J22" s="281">
        <f>SUM(J16:J21)</f>
        <v>695810</v>
      </c>
      <c r="K22" s="281">
        <f>SUM(K16:K21)</f>
        <v>531360</v>
      </c>
      <c r="L22" s="281">
        <f>SUM(L16:L21)</f>
        <v>0</v>
      </c>
      <c r="M22" s="481">
        <f t="shared" si="0"/>
        <v>0</v>
      </c>
    </row>
    <row r="23" spans="1:13" ht="30" customHeight="1" thickBot="1" x14ac:dyDescent="0.35">
      <c r="A23" s="259" t="s">
        <v>280</v>
      </c>
      <c r="B23" s="1936"/>
      <c r="C23" s="1937"/>
      <c r="D23" s="276">
        <f>SUM(D6:D22)</f>
        <v>16882933</v>
      </c>
      <c r="E23" s="276">
        <f>SUM(E6:E22)</f>
        <v>19770730</v>
      </c>
      <c r="F23" s="276">
        <f>SUM(F6:F22)</f>
        <v>19054014</v>
      </c>
      <c r="G23" s="289">
        <f>+F23/E23*100</f>
        <v>96.374863244806846</v>
      </c>
      <c r="H23" s="1938" t="s">
        <v>319</v>
      </c>
      <c r="I23" s="1938"/>
      <c r="J23" s="284">
        <f>+J22+J14+J13+J12+J11+J10+J9+J8+J7+J6</f>
        <v>16304928</v>
      </c>
      <c r="K23" s="284">
        <f>+K22+K14+K13+K12+K11+K10+K9+K8+K7+K6</f>
        <v>18937762</v>
      </c>
      <c r="L23" s="284">
        <f>+L22+L14+L13+L12+L11+L10+L9+L8+L7+L6</f>
        <v>17054380</v>
      </c>
      <c r="M23" s="294">
        <f>+L23/K23*100</f>
        <v>90.054886105338099</v>
      </c>
    </row>
    <row r="24" spans="1:13" ht="18.75" customHeight="1" thickBot="1" x14ac:dyDescent="0.35">
      <c r="A24" s="260"/>
      <c r="B24" s="1939"/>
      <c r="C24" s="1939"/>
      <c r="D24" s="1939"/>
      <c r="E24" s="1939"/>
      <c r="F24" s="1939"/>
      <c r="G24" s="1939"/>
      <c r="H24" s="1940"/>
      <c r="I24" s="1940"/>
      <c r="J24" s="273"/>
      <c r="K24" s="273"/>
      <c r="L24" s="273"/>
      <c r="M24" s="1941" t="s">
        <v>34</v>
      </c>
    </row>
    <row r="25" spans="1:13" ht="25.5" customHeight="1" x14ac:dyDescent="0.3">
      <c r="A25" s="249"/>
      <c r="B25" s="1922"/>
      <c r="C25" s="1922" t="s">
        <v>446</v>
      </c>
      <c r="D25" s="2593" t="s">
        <v>622</v>
      </c>
      <c r="E25" s="2593"/>
      <c r="F25" s="1923" t="s">
        <v>602</v>
      </c>
      <c r="G25" s="1970" t="s">
        <v>166</v>
      </c>
      <c r="H25" s="494"/>
      <c r="I25" s="1922" t="s">
        <v>281</v>
      </c>
      <c r="J25" s="2593" t="s">
        <v>622</v>
      </c>
      <c r="K25" s="2593"/>
      <c r="L25" s="1923" t="s">
        <v>602</v>
      </c>
      <c r="M25" s="1942" t="s">
        <v>166</v>
      </c>
    </row>
    <row r="26" spans="1:13" ht="18.75" customHeight="1" x14ac:dyDescent="0.3">
      <c r="A26" s="250"/>
      <c r="B26" s="1943"/>
      <c r="C26" s="1943"/>
      <c r="D26" s="1944" t="s">
        <v>325</v>
      </c>
      <c r="E26" s="1944" t="s">
        <v>164</v>
      </c>
      <c r="F26" s="1945" t="s">
        <v>165</v>
      </c>
      <c r="G26" s="1971" t="s">
        <v>167</v>
      </c>
      <c r="H26" s="1973"/>
      <c r="I26" s="1943"/>
      <c r="J26" s="1944" t="s">
        <v>325</v>
      </c>
      <c r="K26" s="1944" t="s">
        <v>164</v>
      </c>
      <c r="L26" s="1945" t="s">
        <v>165</v>
      </c>
      <c r="M26" s="1946" t="s">
        <v>167</v>
      </c>
    </row>
    <row r="27" spans="1:13" ht="18.75" customHeight="1" thickBot="1" x14ac:dyDescent="0.35">
      <c r="A27" s="252"/>
      <c r="B27" s="1938"/>
      <c r="C27" s="1938"/>
      <c r="D27" s="1947"/>
      <c r="E27" s="1947"/>
      <c r="F27" s="1947"/>
      <c r="G27" s="1972"/>
      <c r="H27" s="499"/>
      <c r="I27" s="1948"/>
      <c r="J27" s="1947"/>
      <c r="K27" s="1947"/>
      <c r="L27" s="1947"/>
      <c r="M27" s="1949"/>
    </row>
    <row r="28" spans="1:13" ht="30" customHeight="1" x14ac:dyDescent="0.3">
      <c r="A28" s="1891" t="s">
        <v>290</v>
      </c>
      <c r="B28" s="1892"/>
      <c r="C28" s="1893"/>
      <c r="D28" s="279">
        <f>+'17 fbev.'!D43</f>
        <v>200000</v>
      </c>
      <c r="E28" s="279">
        <f>+'17 fbev.'!E43</f>
        <v>360850</v>
      </c>
      <c r="F28" s="279">
        <f>+'17 fbev.'!F43</f>
        <v>360845</v>
      </c>
      <c r="G28" s="290">
        <f>+F28/E28*100</f>
        <v>99.998614382707501</v>
      </c>
      <c r="H28" s="1899" t="s">
        <v>282</v>
      </c>
      <c r="I28" s="1900"/>
      <c r="J28" s="280"/>
      <c r="K28" s="280"/>
      <c r="L28" s="280"/>
      <c r="M28" s="295"/>
    </row>
    <row r="29" spans="1:13" ht="30" customHeight="1" x14ac:dyDescent="0.3">
      <c r="A29" s="1894" t="s">
        <v>283</v>
      </c>
      <c r="B29" s="1895"/>
      <c r="C29" s="1896"/>
      <c r="D29" s="275">
        <f>+'17 fbev.'!D38</f>
        <v>0</v>
      </c>
      <c r="E29" s="275">
        <f>+'17 fbev.'!E38</f>
        <v>8090688</v>
      </c>
      <c r="F29" s="275">
        <f>+'17 fbev.'!F38</f>
        <v>4393130</v>
      </c>
      <c r="G29" s="291">
        <f>+F29/E29*100</f>
        <v>54.298596114446632</v>
      </c>
      <c r="H29" s="1889" t="s">
        <v>22</v>
      </c>
      <c r="I29" s="1901"/>
      <c r="J29" s="285">
        <f>+'8 okt.'!C43</f>
        <v>0</v>
      </c>
      <c r="K29" s="285">
        <f>+'8 okt.'!D43</f>
        <v>206527</v>
      </c>
      <c r="L29" s="285">
        <f>+'8 okt.'!E43</f>
        <v>166039</v>
      </c>
      <c r="M29" s="293">
        <f t="shared" ref="M29:M34" si="1">+L29/K29*100</f>
        <v>80.395783602144036</v>
      </c>
    </row>
    <row r="30" spans="1:13" ht="30" customHeight="1" x14ac:dyDescent="0.3">
      <c r="A30" s="2589" t="s">
        <v>284</v>
      </c>
      <c r="B30" s="2590"/>
      <c r="C30" s="2591"/>
      <c r="D30" s="275">
        <f>+'17 fbev.'!D50</f>
        <v>22000</v>
      </c>
      <c r="E30" s="275">
        <f>+'17 fbev.'!E50</f>
        <v>56800</v>
      </c>
      <c r="F30" s="275">
        <f>+'17 fbev.'!F50</f>
        <v>56800</v>
      </c>
      <c r="G30" s="291">
        <f>+F30/E30*100</f>
        <v>100</v>
      </c>
      <c r="H30" s="1889" t="s">
        <v>275</v>
      </c>
      <c r="I30" s="1901"/>
      <c r="J30" s="285">
        <f>+'9 kult.'!C115</f>
        <v>0</v>
      </c>
      <c r="K30" s="285">
        <f>+'9 kult.'!D115</f>
        <v>82070</v>
      </c>
      <c r="L30" s="285">
        <f>+'9 kult.'!E115</f>
        <v>60619</v>
      </c>
      <c r="M30" s="293">
        <f t="shared" si="1"/>
        <v>73.862556354331659</v>
      </c>
    </row>
    <row r="31" spans="1:13" ht="30" customHeight="1" x14ac:dyDescent="0.3">
      <c r="A31" s="1897" t="s">
        <v>54</v>
      </c>
      <c r="B31" s="1898"/>
      <c r="C31" s="1898"/>
      <c r="D31" s="285">
        <f>'17 fbev.'!D65</f>
        <v>1990</v>
      </c>
      <c r="E31" s="285">
        <f>'17 fbev.'!E65</f>
        <v>32650</v>
      </c>
      <c r="F31" s="285">
        <f>'17 fbev.'!F65</f>
        <v>34108</v>
      </c>
      <c r="G31" s="291">
        <f>+F31/E31*100</f>
        <v>104.46554364471669</v>
      </c>
      <c r="H31" s="1889" t="s">
        <v>119</v>
      </c>
      <c r="I31" s="1901"/>
      <c r="J31" s="285">
        <f>+'10 szoc.'!C40</f>
        <v>0</v>
      </c>
      <c r="K31" s="285">
        <f>+'10 szoc.'!D40</f>
        <v>57009</v>
      </c>
      <c r="L31" s="285">
        <f>+'10 szoc.'!E40</f>
        <v>45520</v>
      </c>
      <c r="M31" s="293">
        <f t="shared" si="1"/>
        <v>79.847041695170944</v>
      </c>
    </row>
    <row r="32" spans="1:13" ht="30" customHeight="1" x14ac:dyDescent="0.3">
      <c r="A32" s="261"/>
      <c r="B32" s="1893"/>
      <c r="C32" s="1893"/>
      <c r="D32" s="280"/>
      <c r="E32" s="280"/>
      <c r="F32" s="280"/>
      <c r="G32" s="1950"/>
      <c r="H32" s="1889" t="s">
        <v>141</v>
      </c>
      <c r="I32" s="1901"/>
      <c r="J32" s="285">
        <f>+'11 eü.'!C32</f>
        <v>7263</v>
      </c>
      <c r="K32" s="285">
        <f>+'11 eü.'!D32</f>
        <v>69780</v>
      </c>
      <c r="L32" s="285">
        <f>+'11 eü.'!E32</f>
        <v>45643</v>
      </c>
      <c r="M32" s="293">
        <f t="shared" si="1"/>
        <v>65.40985955861278</v>
      </c>
    </row>
    <row r="33" spans="1:14" ht="30" customHeight="1" x14ac:dyDescent="0.3">
      <c r="A33" s="261"/>
      <c r="B33" s="1893"/>
      <c r="C33" s="1893"/>
      <c r="D33" s="280"/>
      <c r="E33" s="280"/>
      <c r="F33" s="280"/>
      <c r="G33" s="1950"/>
      <c r="H33" s="1889" t="s">
        <v>277</v>
      </c>
      <c r="I33" s="1901"/>
      <c r="J33" s="285">
        <f>+'12 Gyerm.'!C22</f>
        <v>14109</v>
      </c>
      <c r="K33" s="285">
        <f>+'12 Gyerm.'!D22</f>
        <v>31564</v>
      </c>
      <c r="L33" s="285">
        <f>+'12 Gyerm.'!E22</f>
        <v>27985</v>
      </c>
      <c r="M33" s="293">
        <f t="shared" si="1"/>
        <v>88.661132936256493</v>
      </c>
    </row>
    <row r="34" spans="1:14" ht="30" customHeight="1" thickBot="1" x14ac:dyDescent="0.35">
      <c r="A34" s="262"/>
      <c r="B34" s="1951"/>
      <c r="C34" s="1951"/>
      <c r="D34" s="280"/>
      <c r="E34" s="280"/>
      <c r="F34" s="280"/>
      <c r="G34" s="1950"/>
      <c r="H34" s="1889" t="s">
        <v>293</v>
      </c>
      <c r="I34" s="1901"/>
      <c r="J34" s="285">
        <f>+'13 egyéb'!C103</f>
        <v>10600</v>
      </c>
      <c r="K34" s="285">
        <f>+'13 egyéb'!D103</f>
        <v>74873</v>
      </c>
      <c r="L34" s="285">
        <f>+'13 egyéb'!E103</f>
        <v>61026</v>
      </c>
      <c r="M34" s="293">
        <f t="shared" si="1"/>
        <v>81.506016855208145</v>
      </c>
    </row>
    <row r="35" spans="1:14" ht="30" customHeight="1" thickBot="1" x14ac:dyDescent="0.35">
      <c r="A35" s="262"/>
      <c r="B35" s="1951"/>
      <c r="C35" s="1951"/>
      <c r="D35" s="280"/>
      <c r="E35" s="280"/>
      <c r="F35" s="280"/>
      <c r="G35" s="1952"/>
      <c r="H35" s="790" t="s">
        <v>285</v>
      </c>
      <c r="I35" s="1902"/>
      <c r="J35" s="286">
        <f>SUM(J28:J34)</f>
        <v>31972</v>
      </c>
      <c r="K35" s="286">
        <f>SUM(K28:K34)</f>
        <v>521823</v>
      </c>
      <c r="L35" s="286">
        <f>SUM(L28:L34)</f>
        <v>406832</v>
      </c>
      <c r="M35" s="292">
        <f>+L35/K35*100</f>
        <v>77.9636006845233</v>
      </c>
    </row>
    <row r="36" spans="1:14" ht="30" customHeight="1" x14ac:dyDescent="0.3">
      <c r="A36" s="254"/>
      <c r="B36" s="986"/>
      <c r="C36" s="986"/>
      <c r="D36" s="273"/>
      <c r="E36" s="273"/>
      <c r="F36" s="273"/>
      <c r="G36" s="1858"/>
      <c r="H36" s="1903" t="s">
        <v>144</v>
      </c>
      <c r="I36" s="1904"/>
      <c r="J36" s="273">
        <f>+'18 fkia.'!D15</f>
        <v>109600</v>
      </c>
      <c r="K36" s="273">
        <f>+'18 fkia.'!E15</f>
        <v>232505</v>
      </c>
      <c r="L36" s="273">
        <f>+'18 fkia.'!F15</f>
        <v>20000</v>
      </c>
      <c r="M36" s="293">
        <f>+L36/K36*100</f>
        <v>8.601965549127975</v>
      </c>
    </row>
    <row r="37" spans="1:14" ht="30" customHeight="1" x14ac:dyDescent="0.3">
      <c r="A37" s="254"/>
      <c r="B37" s="986"/>
      <c r="C37" s="986"/>
      <c r="D37" s="273"/>
      <c r="E37" s="273"/>
      <c r="F37" s="273"/>
      <c r="G37" s="1858"/>
      <c r="H37" s="1889" t="s">
        <v>60</v>
      </c>
      <c r="I37" s="1905"/>
      <c r="J37" s="274">
        <f>+'18 fkia.'!D18</f>
        <v>50000</v>
      </c>
      <c r="K37" s="274">
        <f>+'18 fkia.'!E18</f>
        <v>8223</v>
      </c>
      <c r="L37" s="274">
        <f>+'18 fkia.'!F18</f>
        <v>8032</v>
      </c>
      <c r="M37" s="293">
        <f>+L37/K37*100</f>
        <v>97.677246746929342</v>
      </c>
    </row>
    <row r="38" spans="1:14" ht="30" customHeight="1" x14ac:dyDescent="0.3">
      <c r="A38" s="254"/>
      <c r="B38" s="986"/>
      <c r="C38" s="986"/>
      <c r="D38" s="273"/>
      <c r="E38" s="273"/>
      <c r="F38" s="273"/>
      <c r="G38" s="1858"/>
      <c r="H38" s="1889" t="s">
        <v>298</v>
      </c>
      <c r="I38" s="1906"/>
      <c r="J38" s="274">
        <f>+'18 fkia.'!D21</f>
        <v>40000</v>
      </c>
      <c r="K38" s="274">
        <f>+'18 fkia.'!E21</f>
        <v>70828</v>
      </c>
      <c r="L38" s="274">
        <f>+'18 fkia.'!F21</f>
        <v>36529</v>
      </c>
      <c r="M38" s="293">
        <f t="shared" ref="M38:M43" si="2">+L38/K38*100</f>
        <v>51.574236177782794</v>
      </c>
    </row>
    <row r="39" spans="1:14" ht="30" customHeight="1" x14ac:dyDescent="0.3">
      <c r="A39" s="254"/>
      <c r="B39" s="1953"/>
      <c r="C39" s="986"/>
      <c r="D39" s="273"/>
      <c r="E39" s="273"/>
      <c r="F39" s="273"/>
      <c r="G39" s="1858"/>
      <c r="H39" s="1889" t="s">
        <v>320</v>
      </c>
      <c r="I39" s="1906"/>
      <c r="J39" s="274">
        <f>+'18 fkia.'!D22</f>
        <v>0</v>
      </c>
      <c r="K39" s="274">
        <f>+'18 fkia.'!E22</f>
        <v>0</v>
      </c>
      <c r="L39" s="274">
        <f>+'18 fkia.'!F22</f>
        <v>0</v>
      </c>
      <c r="M39" s="293"/>
    </row>
    <row r="40" spans="1:14" ht="30" customHeight="1" x14ac:dyDescent="0.3">
      <c r="A40" s="263"/>
      <c r="B40" s="1953"/>
      <c r="C40" s="986"/>
      <c r="D40" s="273"/>
      <c r="E40" s="273"/>
      <c r="F40" s="273"/>
      <c r="G40" s="1858"/>
      <c r="H40" s="1889" t="s">
        <v>302</v>
      </c>
      <c r="I40" s="1906"/>
      <c r="J40" s="274">
        <f>+'18 fkia.'!D27</f>
        <v>20000</v>
      </c>
      <c r="K40" s="274">
        <f>+'18 fkia.'!E27</f>
        <v>54361</v>
      </c>
      <c r="L40" s="274">
        <f>+'18 fkia.'!F27</f>
        <v>4635</v>
      </c>
      <c r="M40" s="293">
        <f t="shared" si="2"/>
        <v>8.5263332168282417</v>
      </c>
    </row>
    <row r="41" spans="1:14" ht="30" customHeight="1" x14ac:dyDescent="0.3">
      <c r="A41" s="263"/>
      <c r="B41" s="1953"/>
      <c r="C41" s="1954"/>
      <c r="D41" s="273"/>
      <c r="E41" s="273"/>
      <c r="F41" s="273"/>
      <c r="G41" s="1858"/>
      <c r="H41" s="1889" t="s">
        <v>309</v>
      </c>
      <c r="I41" s="1906"/>
      <c r="J41" s="274">
        <f>+'18 fkia.'!D144</f>
        <v>16223637</v>
      </c>
      <c r="K41" s="274">
        <f>+'18 fkia.'!E144</f>
        <v>17149372</v>
      </c>
      <c r="L41" s="274">
        <f>+'18 fkia.'!F144</f>
        <v>4777879</v>
      </c>
      <c r="M41" s="293">
        <f t="shared" si="2"/>
        <v>27.86037296292832</v>
      </c>
    </row>
    <row r="42" spans="1:14" ht="30" customHeight="1" x14ac:dyDescent="0.3">
      <c r="A42" s="256"/>
      <c r="B42" s="572"/>
      <c r="C42" s="1954"/>
      <c r="D42" s="273"/>
      <c r="E42" s="273"/>
      <c r="F42" s="273"/>
      <c r="G42" s="1858"/>
      <c r="H42" s="1889" t="s">
        <v>321</v>
      </c>
      <c r="I42" s="1890"/>
      <c r="J42" s="274">
        <f>+'18 fkia.'!D145</f>
        <v>0</v>
      </c>
      <c r="K42" s="274">
        <f>+'18 fkia.'!E145</f>
        <v>0</v>
      </c>
      <c r="L42" s="274">
        <f>+'18 fkia.'!F145</f>
        <v>0</v>
      </c>
      <c r="M42" s="293"/>
    </row>
    <row r="43" spans="1:14" ht="30" customHeight="1" x14ac:dyDescent="0.3">
      <c r="A43" s="256"/>
      <c r="B43" s="572"/>
      <c r="C43" s="1954"/>
      <c r="D43" s="273"/>
      <c r="E43" s="273"/>
      <c r="F43" s="273"/>
      <c r="G43" s="1858"/>
      <c r="H43" s="1903" t="s">
        <v>97</v>
      </c>
      <c r="I43" s="1903"/>
      <c r="J43" s="273">
        <f>+'18 fkia.'!D146</f>
        <v>10000</v>
      </c>
      <c r="K43" s="273">
        <f>+'18 fkia.'!E146</f>
        <v>26105</v>
      </c>
      <c r="L43" s="273">
        <f>+'18 fkia.'!F146</f>
        <v>22536</v>
      </c>
      <c r="M43" s="293">
        <f t="shared" si="2"/>
        <v>86.328289599693548</v>
      </c>
    </row>
    <row r="44" spans="1:14" ht="30" customHeight="1" thickBot="1" x14ac:dyDescent="0.35">
      <c r="A44" s="256"/>
      <c r="B44" s="572"/>
      <c r="C44" s="1954"/>
      <c r="D44" s="273"/>
      <c r="E44" s="273"/>
      <c r="F44" s="273"/>
      <c r="G44" s="1858"/>
      <c r="H44" s="1907" t="s">
        <v>286</v>
      </c>
      <c r="I44" s="1908"/>
      <c r="J44" s="287">
        <f>SUM(J36:J43)</f>
        <v>16453237</v>
      </c>
      <c r="K44" s="287">
        <f>SUM(K36:K43)</f>
        <v>17541394</v>
      </c>
      <c r="L44" s="287">
        <f>SUM(L36:L43)</f>
        <v>4869611</v>
      </c>
      <c r="M44" s="296">
        <f>+L44/K44*100</f>
        <v>27.76068424208475</v>
      </c>
    </row>
    <row r="45" spans="1:14" ht="30" customHeight="1" thickBot="1" x14ac:dyDescent="0.35">
      <c r="A45" s="264" t="s">
        <v>322</v>
      </c>
      <c r="B45" s="1955"/>
      <c r="C45" s="1956"/>
      <c r="D45" s="281">
        <f>SUM(D28:D44)</f>
        <v>223990</v>
      </c>
      <c r="E45" s="281">
        <f>SUM(E28:E44)</f>
        <v>8540988</v>
      </c>
      <c r="F45" s="281">
        <f>SUM(F28:F44)</f>
        <v>4844883</v>
      </c>
      <c r="G45" s="292">
        <f>+F45/E45*100</f>
        <v>56.725088479225114</v>
      </c>
      <c r="H45" s="1909" t="s">
        <v>323</v>
      </c>
      <c r="I45" s="1909"/>
      <c r="J45" s="281">
        <f>+J44+J35</f>
        <v>16485209</v>
      </c>
      <c r="K45" s="281">
        <f>+K44+K35</f>
        <v>18063217</v>
      </c>
      <c r="L45" s="281">
        <f>+L44+L35</f>
        <v>5276443</v>
      </c>
      <c r="M45" s="292">
        <f>+L45/K45*100</f>
        <v>29.210981631898679</v>
      </c>
    </row>
    <row r="46" spans="1:14" s="251" customFormat="1" ht="18.75" customHeight="1" thickBot="1" x14ac:dyDescent="0.35">
      <c r="A46" s="265"/>
      <c r="B46" s="1957"/>
      <c r="C46" s="1958"/>
      <c r="D46" s="288"/>
      <c r="E46" s="288"/>
      <c r="F46" s="288"/>
      <c r="G46" s="1959"/>
      <c r="H46" s="1910"/>
      <c r="I46" s="1910"/>
      <c r="J46" s="288"/>
      <c r="K46" s="288"/>
      <c r="L46" s="288"/>
      <c r="M46" s="297"/>
    </row>
    <row r="47" spans="1:14" ht="30" customHeight="1" x14ac:dyDescent="0.3">
      <c r="A47" s="1974" t="s">
        <v>133</v>
      </c>
      <c r="B47" s="1960"/>
      <c r="C47" s="1961"/>
      <c r="D47" s="288"/>
      <c r="E47" s="288"/>
      <c r="F47" s="288"/>
      <c r="G47" s="1962"/>
      <c r="H47" s="1911" t="s">
        <v>133</v>
      </c>
      <c r="I47" s="1912"/>
      <c r="J47" s="288"/>
      <c r="K47" s="288"/>
      <c r="L47" s="288"/>
      <c r="M47" s="318"/>
    </row>
    <row r="48" spans="1:14" ht="30" customHeight="1" x14ac:dyDescent="0.3">
      <c r="A48" s="266"/>
      <c r="B48" s="572"/>
      <c r="C48" s="551" t="s">
        <v>59</v>
      </c>
      <c r="D48" s="274"/>
      <c r="E48" s="274">
        <v>212557</v>
      </c>
      <c r="F48" s="274">
        <v>212557</v>
      </c>
      <c r="G48" s="291">
        <f>+F48/E48*100</f>
        <v>100</v>
      </c>
      <c r="H48" s="1894" t="s">
        <v>621</v>
      </c>
      <c r="I48" s="1913"/>
      <c r="J48" s="274"/>
      <c r="K48" s="274">
        <v>96553</v>
      </c>
      <c r="L48" s="274">
        <v>96553</v>
      </c>
      <c r="M48" s="421">
        <f>+L48/K48*100</f>
        <v>100</v>
      </c>
      <c r="N48" s="958"/>
    </row>
    <row r="49" spans="1:15" ht="30" customHeight="1" x14ac:dyDescent="0.3">
      <c r="A49" s="266"/>
      <c r="B49" s="572"/>
      <c r="C49" s="1963" t="s">
        <v>715</v>
      </c>
      <c r="D49" s="274"/>
      <c r="E49" s="274">
        <v>93155</v>
      </c>
      <c r="F49" s="1024">
        <v>93155</v>
      </c>
      <c r="G49" s="420">
        <f>+F49/E49*100</f>
        <v>100</v>
      </c>
      <c r="H49" s="1894" t="s">
        <v>720</v>
      </c>
      <c r="I49" s="1913"/>
      <c r="J49" s="274"/>
      <c r="K49" s="274">
        <v>93155</v>
      </c>
      <c r="L49" s="274"/>
      <c r="M49" s="421">
        <f>+L49/K49*100</f>
        <v>0</v>
      </c>
    </row>
    <row r="50" spans="1:15" ht="36" customHeight="1" x14ac:dyDescent="0.3">
      <c r="A50" s="266"/>
      <c r="B50" s="572"/>
      <c r="C50" s="551" t="s">
        <v>204</v>
      </c>
      <c r="D50" s="274">
        <v>15683214</v>
      </c>
      <c r="E50" s="274">
        <v>8365112</v>
      </c>
      <c r="F50" s="274">
        <v>8365112</v>
      </c>
      <c r="G50" s="291">
        <f t="shared" ref="G50:G53" si="3">+F50/E50*100</f>
        <v>100</v>
      </c>
      <c r="H50" s="1894"/>
      <c r="I50" s="1914"/>
      <c r="J50" s="832"/>
      <c r="K50" s="832"/>
      <c r="L50" s="832"/>
      <c r="M50" s="833"/>
    </row>
    <row r="51" spans="1:15" ht="39.75" customHeight="1" x14ac:dyDescent="0.3">
      <c r="A51" s="266"/>
      <c r="B51" s="572"/>
      <c r="C51" s="551" t="s">
        <v>420</v>
      </c>
      <c r="D51" s="274"/>
      <c r="E51" s="274"/>
      <c r="F51" s="274"/>
      <c r="G51" s="291"/>
      <c r="H51" s="1894"/>
      <c r="I51" s="1913"/>
      <c r="J51" s="274"/>
      <c r="K51" s="274"/>
      <c r="L51" s="274"/>
      <c r="M51" s="421"/>
    </row>
    <row r="52" spans="1:15" ht="48" customHeight="1" thickBot="1" x14ac:dyDescent="0.35">
      <c r="A52" s="266"/>
      <c r="B52" s="572"/>
      <c r="C52" s="551" t="s">
        <v>421</v>
      </c>
      <c r="D52" s="274"/>
      <c r="E52" s="274">
        <v>208145</v>
      </c>
      <c r="F52" s="274">
        <v>208146</v>
      </c>
      <c r="G52" s="291">
        <f t="shared" si="3"/>
        <v>100.00048043431262</v>
      </c>
      <c r="H52" s="1903"/>
      <c r="I52" s="1915"/>
      <c r="J52" s="273"/>
      <c r="K52" s="273"/>
      <c r="L52" s="273"/>
      <c r="M52" s="422"/>
    </row>
    <row r="53" spans="1:15" ht="30" customHeight="1" thickBot="1" x14ac:dyDescent="0.35">
      <c r="A53" s="267" t="s">
        <v>134</v>
      </c>
      <c r="B53" s="1956"/>
      <c r="C53" s="1956"/>
      <c r="D53" s="281">
        <f>SUM(D47:D52)</f>
        <v>15683214</v>
      </c>
      <c r="E53" s="281">
        <f>SUM(E47:E52)</f>
        <v>8878969</v>
      </c>
      <c r="F53" s="281">
        <f>SUM(F47:F52)</f>
        <v>8878970</v>
      </c>
      <c r="G53" s="292">
        <f t="shared" si="3"/>
        <v>100.00001126256888</v>
      </c>
      <c r="H53" s="1916" t="s">
        <v>134</v>
      </c>
      <c r="I53" s="1917"/>
      <c r="J53" s="281">
        <f>SUM(J47:J48)</f>
        <v>0</v>
      </c>
      <c r="K53" s="281">
        <f>SUM(K47:K52)</f>
        <v>189708</v>
      </c>
      <c r="L53" s="281">
        <f>SUM(L47:L52)</f>
        <v>96553</v>
      </c>
      <c r="M53" s="292">
        <f>+L53/K53*100</f>
        <v>50.895586901975662</v>
      </c>
    </row>
    <row r="54" spans="1:15" ht="30" customHeight="1" x14ac:dyDescent="0.3">
      <c r="A54" s="266"/>
      <c r="B54" s="1957"/>
      <c r="C54" s="1957"/>
      <c r="D54" s="282"/>
      <c r="E54" s="282"/>
      <c r="F54" s="282"/>
      <c r="G54" s="277"/>
      <c r="H54" s="1918"/>
      <c r="I54" s="1910"/>
      <c r="J54" s="288"/>
      <c r="K54" s="288"/>
      <c r="L54" s="288"/>
      <c r="M54" s="318"/>
    </row>
    <row r="55" spans="1:15" ht="30" customHeight="1" thickBot="1" x14ac:dyDescent="0.35">
      <c r="A55" s="268"/>
      <c r="B55" s="1930"/>
      <c r="C55" s="1930"/>
      <c r="D55" s="283"/>
      <c r="E55" s="283"/>
      <c r="F55" s="283"/>
      <c r="G55" s="278"/>
      <c r="H55" s="1919"/>
      <c r="I55" s="1920"/>
      <c r="J55" s="283"/>
      <c r="K55" s="283"/>
      <c r="L55" s="283"/>
      <c r="M55" s="298"/>
    </row>
    <row r="56" spans="1:15" ht="21" thickBot="1" x14ac:dyDescent="0.35">
      <c r="A56" s="269" t="s">
        <v>287</v>
      </c>
      <c r="B56" s="1956"/>
      <c r="C56" s="1956"/>
      <c r="D56" s="281">
        <f>+D53+D45+D23</f>
        <v>32790137</v>
      </c>
      <c r="E56" s="281">
        <f>+E53+E45+E23</f>
        <v>37190687</v>
      </c>
      <c r="F56" s="281">
        <f>+F53+F45+F23</f>
        <v>32777867</v>
      </c>
      <c r="G56" s="292">
        <f>+F56/E56*100</f>
        <v>88.134610151191879</v>
      </c>
      <c r="H56" s="1921" t="s">
        <v>288</v>
      </c>
      <c r="I56" s="1917"/>
      <c r="J56" s="281">
        <f>+J53+J45+J23</f>
        <v>32790137</v>
      </c>
      <c r="K56" s="281">
        <f>+K53+K45+K23</f>
        <v>37190687</v>
      </c>
      <c r="L56" s="281">
        <f>+L53+L45+L23</f>
        <v>22427376</v>
      </c>
      <c r="M56" s="292">
        <f>+L56/K56*100</f>
        <v>60.303742170721399</v>
      </c>
    </row>
    <row r="57" spans="1:15" ht="20.25" x14ac:dyDescent="0.3">
      <c r="A57" s="299"/>
      <c r="B57" s="1957"/>
      <c r="C57" s="1957"/>
      <c r="D57" s="271"/>
      <c r="E57" s="271"/>
      <c r="F57" s="271">
        <f>+'1 kiemelt előirányzatok telj. '!E20</f>
        <v>32777867</v>
      </c>
      <c r="G57" s="271"/>
      <c r="H57" s="1964"/>
      <c r="I57" s="1951"/>
      <c r="J57" s="1965"/>
      <c r="K57" s="1966"/>
      <c r="L57" s="1966">
        <f>+'1 kiemelt előirányzatok telj. '!J20</f>
        <v>22427376</v>
      </c>
      <c r="M57" s="300"/>
      <c r="N57" s="251"/>
      <c r="O57" s="251"/>
    </row>
    <row r="58" spans="1:15" s="251" customFormat="1" ht="30" customHeight="1" x14ac:dyDescent="0.3">
      <c r="A58" s="299"/>
      <c r="B58" s="1957"/>
      <c r="C58" s="1957"/>
      <c r="D58" s="271"/>
      <c r="E58" s="271"/>
      <c r="F58" s="271"/>
      <c r="G58" s="271"/>
      <c r="H58" s="1964"/>
      <c r="I58" s="1951"/>
      <c r="J58" s="986"/>
      <c r="K58" s="271"/>
      <c r="L58" s="986"/>
      <c r="M58" s="300"/>
    </row>
    <row r="59" spans="1:15" s="251" customFormat="1" ht="20.25" x14ac:dyDescent="0.3">
      <c r="A59" s="299"/>
      <c r="B59" s="1957"/>
      <c r="C59" s="1957"/>
      <c r="D59" s="271"/>
      <c r="E59" s="271"/>
      <c r="F59" s="271"/>
      <c r="G59" s="271"/>
      <c r="H59" s="1964"/>
      <c r="I59" s="1951"/>
      <c r="J59" s="1940"/>
      <c r="K59" s="1951"/>
      <c r="L59" s="1967"/>
      <c r="M59" s="314"/>
    </row>
    <row r="60" spans="1:15" s="251" customFormat="1" ht="20.25" x14ac:dyDescent="0.3">
      <c r="A60" s="299"/>
      <c r="B60" s="1957"/>
      <c r="C60" s="1957"/>
      <c r="D60" s="271"/>
      <c r="E60" s="271"/>
      <c r="F60" s="271"/>
      <c r="G60" s="271"/>
      <c r="H60" s="1964"/>
      <c r="I60" s="1951"/>
      <c r="J60" s="1967"/>
      <c r="K60" s="986"/>
      <c r="L60" s="1967"/>
      <c r="M60" s="314"/>
    </row>
    <row r="61" spans="1:15" s="251" customFormat="1" ht="20.25" x14ac:dyDescent="0.3">
      <c r="A61" s="198"/>
      <c r="B61" s="986"/>
      <c r="C61" s="986"/>
      <c r="D61" s="986"/>
      <c r="E61" s="986"/>
      <c r="F61" s="986"/>
      <c r="G61" s="986"/>
      <c r="H61" s="986"/>
      <c r="I61" s="986"/>
      <c r="J61" s="986"/>
      <c r="K61" s="986"/>
      <c r="L61" s="1967"/>
      <c r="M61" s="1967"/>
    </row>
    <row r="62" spans="1:15" s="251" customFormat="1" ht="20.25" x14ac:dyDescent="0.3">
      <c r="A62" s="106"/>
      <c r="B62" s="986"/>
      <c r="C62" s="986"/>
    </row>
    <row r="63" spans="1:15" s="251" customFormat="1" ht="20.25" x14ac:dyDescent="0.3">
      <c r="A63" s="301"/>
      <c r="B63" s="1951"/>
      <c r="C63" s="986"/>
    </row>
    <row r="64" spans="1:15" s="251" customFormat="1" ht="20.25" x14ac:dyDescent="0.3">
      <c r="A64" s="302"/>
      <c r="B64" s="986"/>
      <c r="C64" s="986"/>
      <c r="J64" s="1978"/>
    </row>
    <row r="65" spans="1:17" s="251" customFormat="1" ht="20.25" x14ac:dyDescent="0.3">
      <c r="A65" s="106"/>
      <c r="B65" s="986"/>
      <c r="C65" s="986"/>
      <c r="D65" s="1980"/>
      <c r="E65" s="1980"/>
      <c r="K65" s="1981"/>
      <c r="L65" s="1982"/>
    </row>
    <row r="66" spans="1:17" s="251" customFormat="1" ht="15" customHeight="1" x14ac:dyDescent="0.3">
      <c r="A66" s="106"/>
      <c r="B66" s="986"/>
      <c r="C66" s="986"/>
      <c r="D66" s="1979"/>
      <c r="E66" s="1979"/>
      <c r="K66" s="1983"/>
    </row>
    <row r="67" spans="1:17" s="251" customFormat="1" ht="15" customHeight="1" x14ac:dyDescent="0.3">
      <c r="B67" s="986"/>
      <c r="C67" s="986"/>
      <c r="K67" s="1983"/>
    </row>
    <row r="68" spans="1:17" s="251" customFormat="1" ht="15" customHeight="1" x14ac:dyDescent="0.3">
      <c r="B68" s="986"/>
      <c r="C68" s="986"/>
      <c r="K68" s="1983"/>
    </row>
    <row r="69" spans="1:17" s="251" customFormat="1" ht="46.5" customHeight="1" x14ac:dyDescent="0.3">
      <c r="B69" s="986"/>
      <c r="C69" s="986"/>
      <c r="D69" s="475"/>
      <c r="J69" s="1980"/>
      <c r="K69" s="1984"/>
    </row>
    <row r="70" spans="1:17" s="251" customFormat="1" ht="15.75" customHeight="1" x14ac:dyDescent="0.3">
      <c r="B70" s="986"/>
      <c r="C70" s="986"/>
    </row>
    <row r="71" spans="1:17" s="251" customFormat="1" ht="15" customHeight="1" x14ac:dyDescent="0.3">
      <c r="B71" s="986"/>
      <c r="C71" s="986"/>
    </row>
    <row r="72" spans="1:17" s="251" customFormat="1" ht="15" customHeight="1" x14ac:dyDescent="0.3">
      <c r="B72" s="986"/>
      <c r="C72" s="986"/>
    </row>
    <row r="73" spans="1:17" s="251" customFormat="1" ht="15" customHeight="1" x14ac:dyDescent="0.3">
      <c r="B73" s="986"/>
      <c r="C73" s="986"/>
    </row>
    <row r="74" spans="1:17" s="251" customFormat="1" ht="15" customHeight="1" x14ac:dyDescent="0.3">
      <c r="B74" s="986"/>
      <c r="C74" s="986"/>
      <c r="Q74" s="1979"/>
    </row>
    <row r="75" spans="1:17" s="251" customFormat="1" ht="15" customHeight="1" x14ac:dyDescent="0.3">
      <c r="B75" s="986"/>
      <c r="C75" s="986"/>
    </row>
    <row r="76" spans="1:17" s="251" customFormat="1" ht="15" customHeight="1" x14ac:dyDescent="0.3">
      <c r="B76" s="986"/>
      <c r="C76" s="986"/>
      <c r="K76" s="374"/>
    </row>
    <row r="77" spans="1:17" ht="15" customHeight="1" x14ac:dyDescent="0.3">
      <c r="B77" s="458"/>
      <c r="C77" s="458"/>
      <c r="J77" s="132"/>
      <c r="K77" s="251"/>
      <c r="L77" s="1039"/>
    </row>
    <row r="78" spans="1:17" ht="15" customHeight="1" x14ac:dyDescent="0.3">
      <c r="B78" s="458"/>
      <c r="C78" s="458"/>
      <c r="J78" s="132"/>
      <c r="K78" s="251"/>
      <c r="L78" s="1039"/>
    </row>
    <row r="79" spans="1:17" ht="15" customHeight="1" x14ac:dyDescent="0.3">
      <c r="B79" s="458"/>
      <c r="C79" s="458"/>
      <c r="D79" s="458"/>
      <c r="E79" s="458"/>
      <c r="F79" s="458"/>
      <c r="G79" s="458"/>
      <c r="H79" s="458"/>
      <c r="I79" s="458"/>
      <c r="J79" s="1969"/>
      <c r="K79" s="986"/>
      <c r="L79" s="458"/>
      <c r="M79" s="1968"/>
      <c r="N79" s="17"/>
    </row>
    <row r="80" spans="1:17" ht="15" customHeight="1" x14ac:dyDescent="0.3">
      <c r="B80" s="458"/>
      <c r="C80" s="458"/>
      <c r="D80" s="458"/>
      <c r="E80" s="458"/>
      <c r="F80" s="458"/>
      <c r="G80" s="458"/>
      <c r="H80" s="458"/>
      <c r="I80" s="458"/>
      <c r="J80" s="1969"/>
      <c r="K80" s="986"/>
      <c r="L80" s="986"/>
      <c r="M80" s="458"/>
      <c r="N80" s="6"/>
    </row>
    <row r="81" spans="2:14" ht="15" customHeight="1" x14ac:dyDescent="0.3">
      <c r="B81" s="458"/>
      <c r="C81" s="458"/>
      <c r="D81" s="458"/>
      <c r="E81" s="458"/>
      <c r="F81" s="458"/>
      <c r="G81" s="458"/>
      <c r="H81" s="458"/>
      <c r="I81" s="458"/>
      <c r="J81" s="986"/>
      <c r="K81" s="986"/>
      <c r="L81" s="986"/>
      <c r="M81" s="458"/>
      <c r="N81" s="6"/>
    </row>
    <row r="82" spans="2:14" ht="15" customHeight="1" x14ac:dyDescent="0.3">
      <c r="B82" s="458"/>
      <c r="C82" s="458"/>
      <c r="D82" s="458"/>
      <c r="E82" s="458"/>
      <c r="F82" s="458"/>
      <c r="G82" s="458"/>
      <c r="H82" s="458"/>
      <c r="I82" s="458"/>
      <c r="J82" s="986"/>
      <c r="K82" s="986"/>
      <c r="L82" s="986"/>
      <c r="M82" s="458"/>
      <c r="N82" s="96"/>
    </row>
    <row r="83" spans="2:14" ht="15" customHeight="1" x14ac:dyDescent="0.3">
      <c r="B83" s="458"/>
      <c r="C83" s="458"/>
      <c r="D83" s="458"/>
      <c r="E83" s="458"/>
      <c r="F83" s="458"/>
      <c r="G83" s="458"/>
      <c r="H83" s="458"/>
      <c r="I83" s="458"/>
      <c r="J83" s="458"/>
      <c r="K83" s="458"/>
      <c r="L83" s="986"/>
      <c r="M83" s="458"/>
    </row>
    <row r="84" spans="2:14" ht="15" customHeight="1" x14ac:dyDescent="0.3">
      <c r="B84" s="458"/>
      <c r="C84" s="458"/>
      <c r="D84" s="458"/>
      <c r="E84" s="458"/>
      <c r="F84" s="458"/>
      <c r="G84" s="458"/>
      <c r="H84" s="458"/>
      <c r="I84" s="458"/>
      <c r="J84" s="458"/>
      <c r="K84" s="458"/>
      <c r="L84" s="986"/>
      <c r="M84" s="458"/>
    </row>
    <row r="85" spans="2:14" ht="15" customHeight="1" x14ac:dyDescent="0.3">
      <c r="B85" s="458"/>
      <c r="C85" s="458"/>
      <c r="D85" s="458"/>
      <c r="E85" s="458"/>
      <c r="F85" s="458"/>
      <c r="G85" s="458"/>
      <c r="H85" s="458"/>
      <c r="I85" s="458"/>
      <c r="J85" s="458"/>
      <c r="K85" s="458"/>
      <c r="L85" s="986"/>
      <c r="M85" s="458"/>
    </row>
    <row r="86" spans="2:14" ht="15" customHeight="1" x14ac:dyDescent="0.3">
      <c r="B86" s="458"/>
      <c r="C86" s="458"/>
      <c r="D86" s="458"/>
      <c r="E86" s="458"/>
      <c r="F86" s="458"/>
      <c r="G86" s="458"/>
      <c r="H86" s="458"/>
      <c r="I86" s="458"/>
      <c r="J86" s="458"/>
      <c r="K86" s="458"/>
      <c r="L86" s="986"/>
      <c r="M86" s="458"/>
    </row>
    <row r="87" spans="2:14" ht="15" customHeight="1" x14ac:dyDescent="0.3">
      <c r="B87" s="458"/>
      <c r="C87" s="458"/>
      <c r="D87" s="458"/>
      <c r="E87" s="458"/>
      <c r="F87" s="458"/>
      <c r="G87" s="458"/>
      <c r="H87" s="458"/>
      <c r="I87" s="458"/>
      <c r="J87" s="458"/>
      <c r="K87" s="458"/>
      <c r="L87" s="458"/>
      <c r="M87" s="458"/>
    </row>
    <row r="88" spans="2:14" ht="15" customHeight="1" x14ac:dyDescent="0.3">
      <c r="B88" s="458"/>
      <c r="C88" s="458"/>
      <c r="D88" s="458"/>
      <c r="E88" s="458"/>
      <c r="F88" s="458"/>
      <c r="G88" s="458"/>
      <c r="H88" s="458"/>
      <c r="I88" s="458"/>
      <c r="J88" s="458"/>
      <c r="K88" s="458"/>
      <c r="L88" s="458"/>
      <c r="M88" s="458"/>
    </row>
    <row r="89" spans="2:14" ht="15" customHeight="1" x14ac:dyDescent="0.3">
      <c r="B89" s="458"/>
      <c r="C89" s="458"/>
      <c r="D89" s="458"/>
      <c r="E89" s="458"/>
      <c r="F89" s="458"/>
      <c r="G89" s="458"/>
      <c r="H89" s="458"/>
      <c r="I89" s="458"/>
      <c r="J89" s="458"/>
      <c r="K89" s="458"/>
      <c r="L89" s="458"/>
      <c r="M89" s="458"/>
    </row>
    <row r="90" spans="2:14" ht="15" customHeight="1" x14ac:dyDescent="0.3">
      <c r="B90" s="458"/>
      <c r="C90" s="458"/>
      <c r="D90" s="458"/>
      <c r="E90" s="458"/>
      <c r="F90" s="458"/>
      <c r="G90" s="458"/>
      <c r="H90" s="458"/>
      <c r="I90" s="458"/>
      <c r="J90" s="458"/>
      <c r="K90" s="458"/>
      <c r="L90" s="458"/>
      <c r="M90" s="458"/>
    </row>
    <row r="91" spans="2:14" ht="15" customHeight="1" x14ac:dyDescent="0.3">
      <c r="B91" s="458"/>
      <c r="C91" s="458"/>
      <c r="D91" s="458"/>
      <c r="E91" s="458"/>
      <c r="F91" s="458"/>
      <c r="G91" s="458"/>
      <c r="H91" s="458"/>
      <c r="I91" s="458"/>
      <c r="J91" s="458"/>
      <c r="K91" s="458"/>
      <c r="L91" s="458"/>
      <c r="M91" s="458"/>
    </row>
    <row r="92" spans="2:14" ht="15" customHeight="1" x14ac:dyDescent="0.3">
      <c r="B92" s="458"/>
      <c r="C92" s="458"/>
      <c r="D92" s="458"/>
      <c r="E92" s="458"/>
      <c r="F92" s="458"/>
      <c r="G92" s="458"/>
      <c r="H92" s="458"/>
      <c r="I92" s="458"/>
      <c r="J92" s="458"/>
      <c r="K92" s="458"/>
      <c r="L92" s="458"/>
      <c r="M92" s="458"/>
    </row>
    <row r="93" spans="2:14" ht="15" customHeight="1" x14ac:dyDescent="0.3">
      <c r="B93" s="458"/>
      <c r="C93" s="458"/>
      <c r="D93" s="458"/>
      <c r="E93" s="458"/>
      <c r="F93" s="458"/>
      <c r="G93" s="458"/>
      <c r="H93" s="458"/>
      <c r="I93" s="458"/>
      <c r="J93" s="458"/>
      <c r="K93" s="458"/>
      <c r="L93" s="458"/>
      <c r="M93" s="458"/>
    </row>
    <row r="94" spans="2:14" ht="15" customHeight="1" x14ac:dyDescent="0.3">
      <c r="B94" s="458"/>
      <c r="C94" s="458"/>
      <c r="D94" s="458"/>
      <c r="E94" s="458"/>
      <c r="F94" s="458"/>
      <c r="G94" s="458"/>
      <c r="H94" s="458"/>
      <c r="I94" s="458"/>
      <c r="J94" s="458"/>
      <c r="K94" s="458"/>
      <c r="L94" s="458"/>
      <c r="M94" s="458"/>
    </row>
    <row r="95" spans="2:14" ht="15" customHeight="1" x14ac:dyDescent="0.3">
      <c r="B95" s="458"/>
      <c r="C95" s="458"/>
      <c r="D95" s="458"/>
      <c r="E95" s="458"/>
      <c r="F95" s="458"/>
      <c r="G95" s="458"/>
      <c r="H95" s="458"/>
      <c r="I95" s="458"/>
      <c r="J95" s="458"/>
      <c r="K95" s="458"/>
      <c r="L95" s="458"/>
      <c r="M95" s="458"/>
    </row>
    <row r="96" spans="2:14" ht="15" customHeight="1" x14ac:dyDescent="0.3">
      <c r="B96" s="458"/>
      <c r="C96" s="458"/>
      <c r="D96" s="458"/>
      <c r="E96" s="458"/>
      <c r="F96" s="458"/>
      <c r="G96" s="458"/>
      <c r="H96" s="458"/>
      <c r="I96" s="458"/>
      <c r="J96" s="458"/>
      <c r="K96" s="458"/>
      <c r="L96" s="458"/>
      <c r="M96" s="458"/>
    </row>
    <row r="97" spans="2:13" ht="15" customHeight="1" x14ac:dyDescent="0.3">
      <c r="B97" s="458"/>
      <c r="C97" s="458"/>
      <c r="D97" s="458"/>
      <c r="E97" s="458"/>
      <c r="F97" s="458"/>
      <c r="G97" s="458"/>
      <c r="H97" s="458"/>
      <c r="I97" s="458"/>
      <c r="J97" s="458"/>
      <c r="K97" s="458"/>
      <c r="L97" s="458"/>
      <c r="M97" s="458"/>
    </row>
    <row r="98" spans="2:13" ht="15" customHeight="1" x14ac:dyDescent="0.3">
      <c r="B98" s="458"/>
      <c r="C98" s="458"/>
      <c r="D98" s="458"/>
      <c r="E98" s="458"/>
      <c r="F98" s="458"/>
      <c r="G98" s="458"/>
      <c r="H98" s="458"/>
      <c r="I98" s="458"/>
      <c r="J98" s="458"/>
      <c r="K98" s="458"/>
      <c r="L98" s="458"/>
      <c r="M98" s="458"/>
    </row>
    <row r="99" spans="2:13" ht="15" customHeight="1" x14ac:dyDescent="0.3">
      <c r="B99" s="458"/>
      <c r="C99" s="458"/>
      <c r="D99" s="458"/>
      <c r="E99" s="458"/>
      <c r="F99" s="458"/>
      <c r="G99" s="458"/>
      <c r="H99" s="458"/>
      <c r="I99" s="458"/>
      <c r="J99" s="458"/>
      <c r="K99" s="458"/>
      <c r="L99" s="458"/>
      <c r="M99" s="458"/>
    </row>
    <row r="100" spans="2:13" ht="15" customHeight="1" x14ac:dyDescent="0.3">
      <c r="B100" s="458"/>
      <c r="C100" s="458"/>
      <c r="D100" s="458"/>
      <c r="E100" s="458"/>
      <c r="F100" s="458"/>
      <c r="G100" s="458"/>
      <c r="H100" s="458"/>
      <c r="I100" s="458"/>
      <c r="J100" s="458"/>
      <c r="K100" s="458"/>
      <c r="L100" s="458"/>
      <c r="M100" s="458"/>
    </row>
    <row r="101" spans="2:13" ht="15" customHeight="1" x14ac:dyDescent="0.3">
      <c r="B101" s="458"/>
      <c r="C101" s="458"/>
      <c r="D101" s="458"/>
      <c r="E101" s="458"/>
      <c r="F101" s="458"/>
      <c r="G101" s="458"/>
      <c r="H101" s="458"/>
      <c r="I101" s="458"/>
      <c r="J101" s="458"/>
      <c r="K101" s="458"/>
      <c r="L101" s="458"/>
      <c r="M101" s="458"/>
    </row>
    <row r="102" spans="2:13" ht="15" customHeight="1" x14ac:dyDescent="0.3">
      <c r="B102" s="458"/>
      <c r="C102" s="458"/>
      <c r="D102" s="458"/>
      <c r="E102" s="458"/>
      <c r="F102" s="458"/>
      <c r="G102" s="458"/>
      <c r="H102" s="458"/>
      <c r="I102" s="458"/>
      <c r="J102" s="458"/>
      <c r="K102" s="458"/>
      <c r="L102" s="458"/>
      <c r="M102" s="458"/>
    </row>
    <row r="103" spans="2:13" ht="15" customHeight="1" x14ac:dyDescent="0.3">
      <c r="B103" s="458"/>
      <c r="C103" s="458"/>
      <c r="D103" s="458"/>
      <c r="E103" s="458"/>
      <c r="F103" s="458"/>
      <c r="G103" s="458"/>
      <c r="H103" s="458"/>
      <c r="I103" s="458"/>
      <c r="J103" s="458"/>
      <c r="K103" s="458"/>
      <c r="L103" s="458"/>
      <c r="M103" s="458"/>
    </row>
    <row r="104" spans="2:13" ht="15" customHeight="1" x14ac:dyDescent="0.3">
      <c r="B104" s="458"/>
      <c r="C104" s="458"/>
      <c r="D104" s="458"/>
      <c r="E104" s="458"/>
      <c r="F104" s="458"/>
      <c r="G104" s="458"/>
      <c r="H104" s="458"/>
      <c r="I104" s="458"/>
      <c r="J104" s="458"/>
      <c r="K104" s="458"/>
      <c r="L104" s="458"/>
      <c r="M104" s="458"/>
    </row>
    <row r="105" spans="2:13" ht="15" customHeight="1" x14ac:dyDescent="0.3">
      <c r="B105" s="458"/>
      <c r="C105" s="458"/>
      <c r="D105" s="458"/>
      <c r="E105" s="458"/>
      <c r="F105" s="458"/>
      <c r="G105" s="458"/>
      <c r="H105" s="458"/>
      <c r="I105" s="458"/>
      <c r="J105" s="458"/>
      <c r="K105" s="458"/>
      <c r="L105" s="458"/>
      <c r="M105" s="458"/>
    </row>
    <row r="106" spans="2:13" ht="15" customHeight="1" x14ac:dyDescent="0.3">
      <c r="B106" s="458"/>
      <c r="C106" s="458"/>
      <c r="D106" s="458"/>
      <c r="E106" s="458"/>
      <c r="F106" s="458"/>
      <c r="G106" s="458"/>
      <c r="H106" s="458"/>
      <c r="I106" s="458"/>
      <c r="J106" s="458"/>
      <c r="K106" s="458"/>
      <c r="L106" s="458"/>
      <c r="M106" s="458"/>
    </row>
    <row r="107" spans="2:13" ht="15" customHeight="1" x14ac:dyDescent="0.3">
      <c r="B107" s="458"/>
      <c r="C107" s="458"/>
      <c r="D107" s="458"/>
      <c r="E107" s="458"/>
      <c r="F107" s="458"/>
      <c r="G107" s="458"/>
      <c r="H107" s="458"/>
      <c r="I107" s="458"/>
      <c r="J107" s="458"/>
      <c r="K107" s="458"/>
      <c r="L107" s="458"/>
      <c r="M107" s="458"/>
    </row>
    <row r="108" spans="2:13" ht="15" customHeight="1" x14ac:dyDescent="0.3">
      <c r="B108" s="458"/>
      <c r="C108" s="458"/>
      <c r="D108" s="458"/>
      <c r="E108" s="458"/>
      <c r="F108" s="458"/>
      <c r="G108" s="458"/>
      <c r="H108" s="458"/>
      <c r="I108" s="458"/>
      <c r="J108" s="458"/>
      <c r="K108" s="458"/>
      <c r="L108" s="458"/>
      <c r="M108" s="458"/>
    </row>
    <row r="109" spans="2:13" ht="15" customHeight="1" x14ac:dyDescent="0.3">
      <c r="B109" s="458"/>
      <c r="C109" s="458"/>
      <c r="D109" s="458"/>
      <c r="E109" s="458"/>
      <c r="F109" s="458"/>
      <c r="G109" s="458"/>
      <c r="H109" s="458"/>
      <c r="I109" s="458"/>
      <c r="J109" s="458"/>
      <c r="K109" s="458"/>
      <c r="L109" s="458"/>
      <c r="M109" s="458"/>
    </row>
    <row r="110" spans="2:13" ht="15" customHeight="1" x14ac:dyDescent="0.3">
      <c r="B110" s="458"/>
      <c r="C110" s="458"/>
      <c r="D110" s="458"/>
      <c r="E110" s="458"/>
      <c r="F110" s="458"/>
      <c r="G110" s="458"/>
      <c r="H110" s="458"/>
      <c r="I110" s="458"/>
      <c r="J110" s="458"/>
      <c r="K110" s="458"/>
      <c r="L110" s="458"/>
      <c r="M110" s="458"/>
    </row>
    <row r="111" spans="2:13" ht="15" customHeight="1" x14ac:dyDescent="0.3">
      <c r="B111" s="458"/>
      <c r="C111" s="458"/>
      <c r="D111" s="458"/>
      <c r="E111" s="458"/>
      <c r="F111" s="458"/>
      <c r="G111" s="458"/>
      <c r="H111" s="458"/>
      <c r="I111" s="458"/>
      <c r="J111" s="458"/>
      <c r="K111" s="458"/>
      <c r="L111" s="458"/>
      <c r="M111" s="458"/>
    </row>
    <row r="112" spans="2:13" ht="15" customHeight="1" x14ac:dyDescent="0.3">
      <c r="B112" s="458"/>
      <c r="C112" s="458"/>
      <c r="D112" s="458"/>
      <c r="E112" s="458"/>
      <c r="F112" s="458"/>
      <c r="G112" s="458"/>
      <c r="H112" s="458"/>
      <c r="I112" s="458"/>
      <c r="J112" s="458"/>
      <c r="K112" s="458"/>
      <c r="L112" s="458"/>
      <c r="M112" s="458"/>
    </row>
    <row r="113" spans="2:13" ht="15" customHeight="1" x14ac:dyDescent="0.3">
      <c r="B113" s="458"/>
      <c r="C113" s="458"/>
      <c r="D113" s="458"/>
      <c r="E113" s="458"/>
      <c r="F113" s="458"/>
      <c r="G113" s="458"/>
      <c r="H113" s="458"/>
      <c r="I113" s="458"/>
      <c r="J113" s="458"/>
      <c r="K113" s="458"/>
      <c r="L113" s="458"/>
      <c r="M113" s="458"/>
    </row>
    <row r="114" spans="2:13" ht="15" customHeight="1" x14ac:dyDescent="0.3">
      <c r="B114" s="458"/>
      <c r="C114" s="458"/>
      <c r="D114" s="458"/>
      <c r="E114" s="458"/>
      <c r="F114" s="458"/>
      <c r="G114" s="458"/>
      <c r="H114" s="458"/>
      <c r="I114" s="458"/>
      <c r="J114" s="458"/>
      <c r="K114" s="458"/>
      <c r="L114" s="458"/>
      <c r="M114" s="458"/>
    </row>
    <row r="115" spans="2:13" ht="15" customHeight="1" x14ac:dyDescent="0.3">
      <c r="B115" s="458"/>
      <c r="C115" s="458"/>
      <c r="D115" s="458"/>
      <c r="E115" s="458"/>
      <c r="F115" s="458"/>
      <c r="G115" s="458"/>
      <c r="H115" s="458"/>
      <c r="I115" s="458"/>
      <c r="J115" s="458"/>
      <c r="K115" s="458"/>
      <c r="L115" s="458"/>
      <c r="M115" s="458"/>
    </row>
    <row r="116" spans="2:13" ht="15" customHeight="1" x14ac:dyDescent="0.3">
      <c r="B116" s="458"/>
      <c r="C116" s="458"/>
      <c r="D116" s="458"/>
      <c r="E116" s="458"/>
      <c r="F116" s="458"/>
      <c r="G116" s="458"/>
      <c r="H116" s="458"/>
      <c r="I116" s="458"/>
      <c r="J116" s="458"/>
      <c r="K116" s="458"/>
      <c r="L116" s="458"/>
      <c r="M116" s="458"/>
    </row>
    <row r="117" spans="2:13" ht="15" customHeight="1" x14ac:dyDescent="0.3">
      <c r="B117" s="458"/>
      <c r="C117" s="458"/>
      <c r="D117" s="458"/>
      <c r="E117" s="458"/>
      <c r="F117" s="458"/>
      <c r="G117" s="458"/>
      <c r="H117" s="458"/>
      <c r="I117" s="458"/>
      <c r="J117" s="458"/>
      <c r="K117" s="458"/>
      <c r="L117" s="458"/>
      <c r="M117" s="458"/>
    </row>
    <row r="118" spans="2:13" ht="15" customHeight="1" x14ac:dyDescent="0.3">
      <c r="B118" s="458"/>
      <c r="C118" s="458"/>
      <c r="D118" s="458"/>
      <c r="E118" s="458"/>
      <c r="F118" s="458"/>
      <c r="G118" s="458"/>
      <c r="H118" s="458"/>
      <c r="I118" s="458"/>
      <c r="J118" s="458"/>
      <c r="K118" s="458"/>
      <c r="L118" s="458"/>
      <c r="M118" s="458"/>
    </row>
    <row r="119" spans="2:13" ht="15" customHeight="1" x14ac:dyDescent="0.3">
      <c r="B119" s="458"/>
      <c r="C119" s="458"/>
      <c r="D119" s="458"/>
      <c r="E119" s="458"/>
      <c r="F119" s="458"/>
      <c r="G119" s="458"/>
      <c r="H119" s="458"/>
      <c r="I119" s="458"/>
      <c r="J119" s="458"/>
      <c r="K119" s="458"/>
      <c r="L119" s="458"/>
      <c r="M119" s="458"/>
    </row>
    <row r="120" spans="2:13" ht="15" customHeight="1" x14ac:dyDescent="0.3">
      <c r="B120" s="458"/>
      <c r="C120" s="458"/>
      <c r="D120" s="458"/>
      <c r="E120" s="458"/>
      <c r="F120" s="458"/>
      <c r="G120" s="458"/>
      <c r="H120" s="458"/>
      <c r="I120" s="458"/>
      <c r="J120" s="458"/>
      <c r="K120" s="458"/>
      <c r="L120" s="458"/>
      <c r="M120" s="458"/>
    </row>
    <row r="121" spans="2:13" ht="15" customHeight="1" x14ac:dyDescent="0.3">
      <c r="B121" s="458"/>
      <c r="C121" s="458"/>
      <c r="D121" s="458"/>
      <c r="E121" s="458"/>
      <c r="F121" s="458"/>
      <c r="G121" s="458"/>
      <c r="H121" s="458"/>
      <c r="I121" s="458"/>
      <c r="J121" s="458"/>
      <c r="K121" s="458"/>
      <c r="L121" s="458"/>
      <c r="M121" s="458"/>
    </row>
    <row r="122" spans="2:13" ht="15" customHeight="1" x14ac:dyDescent="0.3">
      <c r="B122" s="458"/>
      <c r="C122" s="458"/>
      <c r="D122" s="458"/>
      <c r="E122" s="458"/>
      <c r="F122" s="458"/>
      <c r="G122" s="458"/>
      <c r="H122" s="458"/>
      <c r="I122" s="458"/>
      <c r="J122" s="458"/>
      <c r="K122" s="458"/>
      <c r="L122" s="458"/>
      <c r="M122" s="458"/>
    </row>
    <row r="123" spans="2:13" ht="15" customHeight="1" x14ac:dyDescent="0.3">
      <c r="B123" s="458"/>
      <c r="C123" s="458"/>
      <c r="D123" s="458"/>
      <c r="E123" s="458"/>
      <c r="F123" s="458"/>
      <c r="G123" s="458"/>
      <c r="H123" s="458"/>
      <c r="I123" s="458"/>
      <c r="J123" s="458"/>
      <c r="K123" s="458"/>
      <c r="L123" s="458"/>
      <c r="M123" s="458"/>
    </row>
    <row r="124" spans="2:13" ht="15" customHeight="1" x14ac:dyDescent="0.3">
      <c r="B124" s="458"/>
      <c r="C124" s="458"/>
      <c r="D124" s="458"/>
      <c r="E124" s="458"/>
      <c r="F124" s="458"/>
      <c r="G124" s="458"/>
      <c r="H124" s="458"/>
      <c r="I124" s="458"/>
      <c r="J124" s="458"/>
      <c r="K124" s="458"/>
      <c r="L124" s="458"/>
      <c r="M124" s="458"/>
    </row>
    <row r="125" spans="2:13" ht="15" customHeight="1" x14ac:dyDescent="0.3">
      <c r="B125" s="458"/>
      <c r="C125" s="458"/>
      <c r="D125" s="458"/>
      <c r="E125" s="458"/>
      <c r="F125" s="458"/>
      <c r="G125" s="458"/>
      <c r="H125" s="458"/>
      <c r="I125" s="458"/>
      <c r="J125" s="458"/>
      <c r="K125" s="458"/>
      <c r="L125" s="458"/>
      <c r="M125" s="458"/>
    </row>
    <row r="126" spans="2:13" ht="15" customHeight="1" x14ac:dyDescent="0.3">
      <c r="B126" s="458"/>
      <c r="C126" s="458"/>
      <c r="D126" s="458"/>
      <c r="E126" s="458"/>
      <c r="F126" s="458"/>
      <c r="G126" s="458"/>
      <c r="H126" s="458"/>
      <c r="I126" s="458"/>
      <c r="J126" s="458"/>
      <c r="K126" s="458"/>
      <c r="L126" s="458"/>
      <c r="M126" s="458"/>
    </row>
    <row r="127" spans="2:13" ht="15" customHeight="1" x14ac:dyDescent="0.3">
      <c r="B127" s="458"/>
      <c r="C127" s="458"/>
      <c r="D127" s="458"/>
      <c r="E127" s="458"/>
      <c r="F127" s="458"/>
      <c r="G127" s="458"/>
      <c r="H127" s="458"/>
      <c r="I127" s="458"/>
      <c r="J127" s="458"/>
      <c r="K127" s="458"/>
      <c r="L127" s="458"/>
      <c r="M127" s="458"/>
    </row>
    <row r="128" spans="2:13" ht="15" customHeight="1" x14ac:dyDescent="0.3">
      <c r="B128" s="458"/>
      <c r="C128" s="458"/>
      <c r="D128" s="458"/>
      <c r="E128" s="458"/>
      <c r="F128" s="458"/>
      <c r="G128" s="458"/>
      <c r="H128" s="458"/>
      <c r="I128" s="458"/>
      <c r="J128" s="458"/>
      <c r="K128" s="458"/>
      <c r="L128" s="458"/>
      <c r="M128" s="458"/>
    </row>
    <row r="129" spans="2:13" ht="15" customHeight="1" x14ac:dyDescent="0.3">
      <c r="B129" s="458"/>
      <c r="C129" s="458"/>
      <c r="D129" s="458"/>
      <c r="E129" s="458"/>
      <c r="F129" s="458"/>
      <c r="G129" s="458"/>
      <c r="H129" s="458"/>
      <c r="I129" s="458"/>
      <c r="J129" s="458"/>
      <c r="K129" s="458"/>
      <c r="L129" s="458"/>
      <c r="M129" s="458"/>
    </row>
    <row r="130" spans="2:13" ht="15" customHeight="1" x14ac:dyDescent="0.3">
      <c r="B130" s="458"/>
      <c r="C130" s="458"/>
      <c r="D130" s="458"/>
      <c r="E130" s="458"/>
      <c r="F130" s="458"/>
      <c r="G130" s="458"/>
      <c r="H130" s="458"/>
      <c r="I130" s="458"/>
      <c r="J130" s="458"/>
      <c r="K130" s="458"/>
      <c r="L130" s="458"/>
      <c r="M130" s="458"/>
    </row>
    <row r="131" spans="2:13" ht="15" customHeight="1" x14ac:dyDescent="0.3">
      <c r="B131" s="458"/>
      <c r="C131" s="458"/>
      <c r="D131" s="458"/>
      <c r="E131" s="458"/>
      <c r="F131" s="458"/>
      <c r="G131" s="458"/>
      <c r="H131" s="458"/>
      <c r="I131" s="458"/>
      <c r="J131" s="458"/>
      <c r="K131" s="458"/>
      <c r="L131" s="458"/>
      <c r="M131" s="458"/>
    </row>
    <row r="132" spans="2:13" ht="15" customHeight="1" x14ac:dyDescent="0.3">
      <c r="B132" s="458"/>
      <c r="C132" s="458"/>
      <c r="D132" s="458"/>
      <c r="E132" s="458"/>
      <c r="F132" s="458"/>
      <c r="G132" s="458"/>
      <c r="H132" s="458"/>
      <c r="I132" s="458"/>
      <c r="J132" s="458"/>
      <c r="K132" s="458"/>
      <c r="L132" s="458"/>
      <c r="M132" s="458"/>
    </row>
    <row r="133" spans="2:13" ht="15" customHeight="1" x14ac:dyDescent="0.3">
      <c r="B133" s="458"/>
      <c r="C133" s="458"/>
      <c r="D133" s="458"/>
      <c r="E133" s="458"/>
      <c r="F133" s="458"/>
      <c r="G133" s="458"/>
      <c r="H133" s="458"/>
      <c r="I133" s="458"/>
      <c r="J133" s="458"/>
      <c r="K133" s="458"/>
      <c r="L133" s="458"/>
      <c r="M133" s="458"/>
    </row>
    <row r="134" spans="2:13" ht="15" customHeight="1" x14ac:dyDescent="0.3">
      <c r="B134" s="458"/>
      <c r="C134" s="458"/>
      <c r="D134" s="458"/>
      <c r="E134" s="458"/>
      <c r="F134" s="458"/>
      <c r="G134" s="458"/>
      <c r="H134" s="458"/>
      <c r="I134" s="458"/>
      <c r="J134" s="458"/>
      <c r="K134" s="458"/>
      <c r="L134" s="458"/>
      <c r="M134" s="458"/>
    </row>
    <row r="135" spans="2:13" ht="15" customHeight="1" x14ac:dyDescent="0.3">
      <c r="B135" s="458"/>
      <c r="C135" s="458"/>
      <c r="D135" s="458"/>
      <c r="E135" s="458"/>
      <c r="F135" s="458"/>
      <c r="G135" s="458"/>
      <c r="H135" s="458"/>
      <c r="I135" s="458"/>
      <c r="J135" s="458"/>
      <c r="K135" s="458"/>
      <c r="L135" s="458"/>
      <c r="M135" s="458"/>
    </row>
    <row r="136" spans="2:13" ht="15" customHeight="1" x14ac:dyDescent="0.3">
      <c r="B136" s="458"/>
      <c r="C136" s="458"/>
      <c r="D136" s="458"/>
      <c r="E136" s="458"/>
      <c r="F136" s="458"/>
      <c r="G136" s="458"/>
      <c r="H136" s="458"/>
      <c r="I136" s="458"/>
      <c r="J136" s="458"/>
      <c r="K136" s="458"/>
      <c r="L136" s="458"/>
      <c r="M136" s="458"/>
    </row>
    <row r="137" spans="2:13" ht="15" customHeight="1" x14ac:dyDescent="0.3">
      <c r="B137" s="458"/>
      <c r="C137" s="458"/>
      <c r="D137" s="458"/>
      <c r="E137" s="458"/>
      <c r="F137" s="458"/>
      <c r="G137" s="458"/>
      <c r="H137" s="458"/>
      <c r="I137" s="458"/>
      <c r="J137" s="458"/>
      <c r="K137" s="458"/>
      <c r="L137" s="458"/>
      <c r="M137" s="458"/>
    </row>
    <row r="138" spans="2:13" ht="15" customHeight="1" x14ac:dyDescent="0.3">
      <c r="B138" s="458"/>
      <c r="C138" s="458"/>
      <c r="D138" s="458"/>
      <c r="E138" s="458"/>
      <c r="F138" s="458"/>
      <c r="G138" s="458"/>
      <c r="H138" s="458"/>
      <c r="I138" s="458"/>
      <c r="J138" s="458"/>
      <c r="K138" s="458"/>
      <c r="L138" s="458"/>
      <c r="M138" s="458"/>
    </row>
    <row r="139" spans="2:13" ht="15" customHeight="1" x14ac:dyDescent="0.3">
      <c r="B139" s="458"/>
      <c r="C139" s="458"/>
      <c r="D139" s="458"/>
      <c r="E139" s="458"/>
      <c r="F139" s="458"/>
      <c r="G139" s="458"/>
      <c r="H139" s="458"/>
      <c r="I139" s="458"/>
      <c r="J139" s="458"/>
      <c r="K139" s="458"/>
      <c r="L139" s="458"/>
      <c r="M139" s="458"/>
    </row>
    <row r="140" spans="2:13" ht="15" customHeight="1" x14ac:dyDescent="0.3">
      <c r="B140" s="458"/>
      <c r="C140" s="458"/>
      <c r="D140" s="458"/>
      <c r="E140" s="458"/>
      <c r="F140" s="458"/>
      <c r="G140" s="458"/>
      <c r="H140" s="458"/>
      <c r="I140" s="458"/>
      <c r="J140" s="458"/>
      <c r="K140" s="458"/>
      <c r="L140" s="458"/>
      <c r="M140" s="458"/>
    </row>
    <row r="141" spans="2:13" ht="15" customHeight="1" x14ac:dyDescent="0.3">
      <c r="B141" s="458"/>
      <c r="C141" s="458"/>
      <c r="D141" s="458"/>
      <c r="E141" s="458"/>
      <c r="F141" s="458"/>
      <c r="G141" s="458"/>
      <c r="H141" s="458"/>
      <c r="I141" s="458"/>
      <c r="J141" s="458"/>
      <c r="K141" s="458"/>
      <c r="L141" s="458"/>
      <c r="M141" s="458"/>
    </row>
    <row r="142" spans="2:13" ht="15" customHeight="1" x14ac:dyDescent="0.3">
      <c r="B142" s="458"/>
      <c r="C142" s="458"/>
      <c r="D142" s="458"/>
      <c r="E142" s="458"/>
      <c r="F142" s="458"/>
      <c r="G142" s="458"/>
      <c r="H142" s="458"/>
      <c r="I142" s="458"/>
      <c r="J142" s="458"/>
      <c r="K142" s="458"/>
      <c r="L142" s="458"/>
      <c r="M142" s="458"/>
    </row>
    <row r="143" spans="2:13" ht="15" customHeight="1" x14ac:dyDescent="0.3">
      <c r="B143" s="458"/>
      <c r="C143" s="458"/>
      <c r="D143" s="458"/>
      <c r="E143" s="458"/>
      <c r="F143" s="458"/>
      <c r="G143" s="458"/>
      <c r="H143" s="458"/>
      <c r="I143" s="458"/>
      <c r="J143" s="458"/>
      <c r="K143" s="458"/>
      <c r="L143" s="458"/>
      <c r="M143" s="458"/>
    </row>
    <row r="144" spans="2:13" ht="15" customHeight="1" x14ac:dyDescent="0.3">
      <c r="B144" s="458"/>
      <c r="C144" s="458"/>
      <c r="D144" s="458"/>
      <c r="E144" s="458"/>
      <c r="F144" s="458"/>
      <c r="G144" s="458"/>
      <c r="H144" s="458"/>
      <c r="I144" s="458"/>
      <c r="J144" s="458"/>
      <c r="K144" s="458"/>
      <c r="L144" s="458"/>
      <c r="M144" s="458"/>
    </row>
    <row r="145" spans="2:13" ht="15" customHeight="1" x14ac:dyDescent="0.3">
      <c r="B145" s="458"/>
      <c r="C145" s="458"/>
      <c r="D145" s="458"/>
      <c r="E145" s="458"/>
      <c r="F145" s="458"/>
      <c r="G145" s="458"/>
      <c r="H145" s="458"/>
      <c r="I145" s="458"/>
      <c r="J145" s="458"/>
      <c r="K145" s="458"/>
      <c r="L145" s="458"/>
      <c r="M145" s="458"/>
    </row>
    <row r="146" spans="2:13" ht="15" customHeight="1" x14ac:dyDescent="0.3">
      <c r="B146" s="458"/>
      <c r="C146" s="458"/>
      <c r="D146" s="458"/>
      <c r="E146" s="458"/>
      <c r="F146" s="458"/>
      <c r="G146" s="458"/>
      <c r="H146" s="458"/>
      <c r="I146" s="458"/>
      <c r="J146" s="458"/>
      <c r="K146" s="458"/>
      <c r="L146" s="458"/>
      <c r="M146" s="458"/>
    </row>
    <row r="147" spans="2:13" ht="15" customHeight="1" x14ac:dyDescent="0.3">
      <c r="B147" s="458"/>
      <c r="C147" s="458"/>
      <c r="D147" s="458"/>
      <c r="E147" s="458"/>
      <c r="F147" s="458"/>
      <c r="G147" s="458"/>
      <c r="H147" s="458"/>
      <c r="I147" s="458"/>
      <c r="J147" s="458"/>
      <c r="K147" s="458"/>
      <c r="L147" s="458"/>
      <c r="M147" s="458"/>
    </row>
    <row r="148" spans="2:13" ht="15" customHeight="1" x14ac:dyDescent="0.3">
      <c r="B148" s="458"/>
      <c r="C148" s="458"/>
      <c r="D148" s="458"/>
      <c r="E148" s="458"/>
      <c r="F148" s="458"/>
      <c r="G148" s="458"/>
      <c r="H148" s="458"/>
      <c r="I148" s="458"/>
      <c r="J148" s="458"/>
      <c r="K148" s="458"/>
      <c r="L148" s="458"/>
      <c r="M148" s="458"/>
    </row>
    <row r="149" spans="2:13" ht="15" customHeight="1" x14ac:dyDescent="0.3">
      <c r="B149" s="458"/>
      <c r="C149" s="458"/>
      <c r="D149" s="458"/>
      <c r="E149" s="458"/>
      <c r="F149" s="458"/>
      <c r="G149" s="458"/>
      <c r="H149" s="458"/>
      <c r="I149" s="458"/>
      <c r="J149" s="458"/>
      <c r="K149" s="458"/>
      <c r="L149" s="458"/>
      <c r="M149" s="458"/>
    </row>
    <row r="150" spans="2:13" ht="15" customHeight="1" x14ac:dyDescent="0.3">
      <c r="B150" s="458"/>
      <c r="C150" s="458"/>
      <c r="D150" s="458"/>
      <c r="E150" s="458"/>
      <c r="F150" s="458"/>
      <c r="G150" s="458"/>
      <c r="H150" s="458"/>
      <c r="I150" s="458"/>
      <c r="J150" s="458"/>
      <c r="K150" s="458"/>
      <c r="L150" s="458"/>
      <c r="M150" s="458"/>
    </row>
    <row r="151" spans="2:13" ht="15" customHeight="1" x14ac:dyDescent="0.3">
      <c r="B151" s="458"/>
      <c r="C151" s="458"/>
      <c r="D151" s="458"/>
      <c r="E151" s="458"/>
      <c r="F151" s="458"/>
      <c r="G151" s="458"/>
      <c r="H151" s="458"/>
      <c r="I151" s="458"/>
      <c r="J151" s="458"/>
      <c r="K151" s="458"/>
      <c r="L151" s="458"/>
      <c r="M151" s="458"/>
    </row>
    <row r="152" spans="2:13" ht="15" customHeight="1" x14ac:dyDescent="0.3">
      <c r="B152" s="458"/>
      <c r="C152" s="458"/>
      <c r="D152" s="458"/>
      <c r="E152" s="458"/>
      <c r="F152" s="458"/>
      <c r="G152" s="458"/>
      <c r="H152" s="458"/>
      <c r="I152" s="458"/>
      <c r="J152" s="458"/>
      <c r="K152" s="458"/>
      <c r="L152" s="458"/>
      <c r="M152" s="458"/>
    </row>
    <row r="153" spans="2:13" ht="15" customHeight="1" x14ac:dyDescent="0.3">
      <c r="B153" s="458"/>
      <c r="C153" s="458"/>
      <c r="D153" s="458"/>
      <c r="E153" s="458"/>
      <c r="F153" s="458"/>
      <c r="G153" s="458"/>
      <c r="H153" s="458"/>
      <c r="I153" s="458"/>
      <c r="J153" s="458"/>
      <c r="K153" s="458"/>
      <c r="L153" s="458"/>
      <c r="M153" s="458"/>
    </row>
    <row r="154" spans="2:13" ht="15" customHeight="1" x14ac:dyDescent="0.3">
      <c r="B154" s="458"/>
      <c r="C154" s="458"/>
      <c r="D154" s="458"/>
      <c r="E154" s="458"/>
      <c r="F154" s="458"/>
      <c r="G154" s="458"/>
      <c r="H154" s="458"/>
      <c r="I154" s="458"/>
      <c r="J154" s="458"/>
      <c r="K154" s="458"/>
      <c r="L154" s="458"/>
      <c r="M154" s="458"/>
    </row>
    <row r="155" spans="2:13" ht="15" customHeight="1" x14ac:dyDescent="0.3">
      <c r="B155" s="458"/>
      <c r="C155" s="458"/>
      <c r="D155" s="458"/>
      <c r="E155" s="458"/>
      <c r="F155" s="458"/>
      <c r="G155" s="458"/>
      <c r="H155" s="458"/>
      <c r="I155" s="458"/>
      <c r="J155" s="458"/>
      <c r="K155" s="458"/>
      <c r="L155" s="458"/>
      <c r="M155" s="458"/>
    </row>
    <row r="156" spans="2:13" ht="15" customHeight="1" x14ac:dyDescent="0.3">
      <c r="B156" s="458"/>
      <c r="C156" s="458"/>
      <c r="D156" s="458"/>
      <c r="E156" s="458"/>
      <c r="F156" s="458"/>
      <c r="G156" s="458"/>
      <c r="H156" s="458"/>
      <c r="I156" s="458"/>
      <c r="J156" s="458"/>
      <c r="K156" s="458"/>
      <c r="L156" s="458"/>
      <c r="M156" s="458"/>
    </row>
    <row r="157" spans="2:13" ht="15" customHeight="1" x14ac:dyDescent="0.3">
      <c r="B157" s="458"/>
      <c r="C157" s="458"/>
      <c r="D157" s="458"/>
      <c r="E157" s="458"/>
      <c r="F157" s="458"/>
      <c r="G157" s="458"/>
      <c r="H157" s="458"/>
      <c r="I157" s="458"/>
      <c r="J157" s="458"/>
      <c r="K157" s="458"/>
      <c r="L157" s="458"/>
      <c r="M157" s="458"/>
    </row>
    <row r="158" spans="2:13" ht="15" customHeight="1" x14ac:dyDescent="0.3">
      <c r="B158" s="458"/>
      <c r="C158" s="458"/>
      <c r="D158" s="458"/>
      <c r="E158" s="458"/>
      <c r="F158" s="458"/>
      <c r="G158" s="458"/>
      <c r="H158" s="458"/>
      <c r="I158" s="458"/>
      <c r="J158" s="458"/>
      <c r="K158" s="458"/>
      <c r="L158" s="458"/>
      <c r="M158" s="458"/>
    </row>
    <row r="159" spans="2:13" ht="15" customHeight="1" x14ac:dyDescent="0.3">
      <c r="B159" s="458"/>
      <c r="C159" s="458"/>
      <c r="D159" s="458"/>
      <c r="E159" s="458"/>
      <c r="F159" s="458"/>
      <c r="G159" s="458"/>
      <c r="H159" s="458"/>
      <c r="I159" s="458"/>
      <c r="J159" s="458"/>
      <c r="K159" s="458"/>
      <c r="L159" s="458"/>
      <c r="M159" s="458"/>
    </row>
    <row r="160" spans="2:13" ht="15" customHeight="1" x14ac:dyDescent="0.3">
      <c r="B160" s="458"/>
      <c r="C160" s="458"/>
      <c r="D160" s="458"/>
      <c r="E160" s="458"/>
      <c r="F160" s="458"/>
      <c r="G160" s="458"/>
      <c r="H160" s="458"/>
      <c r="I160" s="458"/>
      <c r="J160" s="458"/>
      <c r="K160" s="458"/>
      <c r="L160" s="458"/>
      <c r="M160" s="458"/>
    </row>
    <row r="161" spans="2:13" ht="15" customHeight="1" x14ac:dyDescent="0.3">
      <c r="B161" s="458"/>
      <c r="C161" s="458"/>
      <c r="D161" s="458"/>
      <c r="E161" s="458"/>
      <c r="F161" s="458"/>
      <c r="G161" s="458"/>
      <c r="H161" s="458"/>
      <c r="I161" s="458"/>
      <c r="J161" s="458"/>
      <c r="K161" s="458"/>
      <c r="L161" s="458"/>
      <c r="M161" s="458"/>
    </row>
    <row r="162" spans="2:13" ht="15" customHeight="1" x14ac:dyDescent="0.3">
      <c r="B162" s="458"/>
      <c r="C162" s="458"/>
      <c r="D162" s="458"/>
      <c r="E162" s="458"/>
      <c r="F162" s="458"/>
      <c r="G162" s="458"/>
      <c r="H162" s="458"/>
      <c r="I162" s="458"/>
      <c r="J162" s="458"/>
      <c r="K162" s="458"/>
      <c r="L162" s="458"/>
      <c r="M162" s="458"/>
    </row>
    <row r="163" spans="2:13" ht="15" customHeight="1" x14ac:dyDescent="0.3">
      <c r="B163" s="458"/>
      <c r="C163" s="458"/>
      <c r="D163" s="458"/>
      <c r="E163" s="458"/>
      <c r="F163" s="458"/>
      <c r="G163" s="458"/>
      <c r="H163" s="458"/>
      <c r="I163" s="458"/>
      <c r="J163" s="458"/>
      <c r="K163" s="458"/>
      <c r="L163" s="458"/>
      <c r="M163" s="458"/>
    </row>
    <row r="164" spans="2:13" ht="15" customHeight="1" x14ac:dyDescent="0.3">
      <c r="B164" s="458"/>
      <c r="C164" s="458"/>
      <c r="D164" s="458"/>
      <c r="E164" s="458"/>
      <c r="F164" s="458"/>
      <c r="G164" s="458"/>
      <c r="H164" s="458"/>
      <c r="I164" s="458"/>
      <c r="J164" s="458"/>
      <c r="K164" s="458"/>
      <c r="L164" s="458"/>
      <c r="M164" s="458"/>
    </row>
    <row r="165" spans="2:13" ht="15" customHeight="1" x14ac:dyDescent="0.3">
      <c r="B165" s="458"/>
      <c r="C165" s="458"/>
      <c r="D165" s="458"/>
      <c r="E165" s="458"/>
      <c r="F165" s="458"/>
      <c r="G165" s="458"/>
      <c r="H165" s="458"/>
      <c r="I165" s="458"/>
      <c r="J165" s="458"/>
      <c r="K165" s="458"/>
      <c r="L165" s="458"/>
      <c r="M165" s="458"/>
    </row>
    <row r="166" spans="2:13" ht="15" customHeight="1" x14ac:dyDescent="0.3">
      <c r="B166" s="458"/>
      <c r="C166" s="458"/>
      <c r="D166" s="458"/>
      <c r="E166" s="458"/>
      <c r="F166" s="458"/>
      <c r="G166" s="458"/>
      <c r="H166" s="458"/>
      <c r="I166" s="458"/>
      <c r="J166" s="458"/>
      <c r="K166" s="458"/>
      <c r="L166" s="458"/>
      <c r="M166" s="458"/>
    </row>
    <row r="167" spans="2:13" ht="15" customHeight="1" x14ac:dyDescent="0.3">
      <c r="B167" s="458"/>
      <c r="C167" s="458"/>
      <c r="D167" s="458"/>
      <c r="E167" s="458"/>
      <c r="F167" s="458"/>
      <c r="G167" s="458"/>
      <c r="H167" s="458"/>
      <c r="I167" s="458"/>
      <c r="J167" s="458"/>
      <c r="K167" s="458"/>
      <c r="L167" s="458"/>
      <c r="M167" s="458"/>
    </row>
    <row r="168" spans="2:13" ht="15" customHeight="1" x14ac:dyDescent="0.3">
      <c r="B168" s="458"/>
      <c r="C168" s="458"/>
      <c r="D168" s="458"/>
      <c r="E168" s="458"/>
      <c r="F168" s="458"/>
      <c r="G168" s="458"/>
      <c r="H168" s="458"/>
      <c r="I168" s="458"/>
      <c r="J168" s="458"/>
      <c r="K168" s="458"/>
      <c r="L168" s="458"/>
      <c r="M168" s="458"/>
    </row>
    <row r="169" spans="2:13" ht="15" customHeight="1" x14ac:dyDescent="0.3">
      <c r="B169" s="458"/>
      <c r="C169" s="458"/>
      <c r="D169" s="458"/>
      <c r="E169" s="458"/>
      <c r="F169" s="458"/>
      <c r="G169" s="458"/>
      <c r="H169" s="458"/>
      <c r="I169" s="458"/>
      <c r="J169" s="458"/>
      <c r="K169" s="458"/>
      <c r="L169" s="458"/>
      <c r="M169" s="458"/>
    </row>
    <row r="215" spans="7:7" ht="15" customHeight="1" x14ac:dyDescent="0.25">
      <c r="G215" s="245">
        <f>+E215-F215-H215-H216-H217-H218-H219-H220-H221</f>
        <v>0</v>
      </c>
    </row>
  </sheetData>
  <mergeCells count="6">
    <mergeCell ref="A30:C30"/>
    <mergeCell ref="A2:L2"/>
    <mergeCell ref="D4:E4"/>
    <mergeCell ref="J4:K4"/>
    <mergeCell ref="D25:E25"/>
    <mergeCell ref="J25:K25"/>
  </mergeCells>
  <phoneticPr fontId="0" type="noConversion"/>
  <printOptions horizontalCentered="1" verticalCentered="1"/>
  <pageMargins left="0" right="0" top="0.39370078740157483" bottom="0" header="0" footer="0"/>
  <pageSetup paperSize="9" scale="43" orientation="landscape" r:id="rId1"/>
  <headerFooter alignWithMargins="0">
    <oddHeader>&amp;R&amp;"Arial,Félkövér"&amp;18 2. melléklet a .../2019. (.... ....) önkormányzati rendelethez</oddHeader>
  </headerFooter>
  <rowBreaks count="1" manualBreakCount="1">
    <brk id="23" min="2" max="1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24"/>
  <sheetViews>
    <sheetView zoomScaleNormal="100" workbookViewId="0">
      <selection activeCell="G23" sqref="G23"/>
    </sheetView>
  </sheetViews>
  <sheetFormatPr defaultColWidth="10.6640625" defaultRowHeight="12.75" x14ac:dyDescent="0.2"/>
  <cols>
    <col min="1" max="1" width="11" style="1161" customWidth="1"/>
    <col min="2" max="2" width="108.1640625" style="1161" customWidth="1"/>
    <col min="3" max="3" width="31.83203125" style="1182" customWidth="1"/>
    <col min="4" max="4" width="15.33203125" style="1161" customWidth="1"/>
    <col min="5" max="16384" width="10.6640625" style="1161"/>
  </cols>
  <sheetData>
    <row r="1" spans="1:3" x14ac:dyDescent="0.2">
      <c r="A1" s="2723" t="s">
        <v>784</v>
      </c>
      <c r="B1" s="2723"/>
      <c r="C1" s="2723"/>
    </row>
    <row r="2" spans="1:3" x14ac:dyDescent="0.2">
      <c r="A2" s="2723" t="s">
        <v>722</v>
      </c>
      <c r="B2" s="2723"/>
      <c r="C2" s="2723"/>
    </row>
    <row r="3" spans="1:3" x14ac:dyDescent="0.2">
      <c r="A3" s="2723" t="s">
        <v>1287</v>
      </c>
      <c r="B3" s="2723"/>
      <c r="C3" s="2723"/>
    </row>
    <row r="4" spans="1:3" ht="13.5" thickBot="1" x14ac:dyDescent="0.25">
      <c r="C4" s="1162" t="s">
        <v>34</v>
      </c>
    </row>
    <row r="5" spans="1:3" ht="15.75" thickBot="1" x14ac:dyDescent="0.3">
      <c r="A5" s="1163" t="s">
        <v>785</v>
      </c>
      <c r="B5" s="1163" t="s">
        <v>51</v>
      </c>
      <c r="C5" s="1163" t="s">
        <v>490</v>
      </c>
    </row>
    <row r="6" spans="1:3" ht="40.5" customHeight="1" x14ac:dyDescent="0.2">
      <c r="A6" s="1164" t="s">
        <v>299</v>
      </c>
      <c r="B6" s="1165" t="s">
        <v>786</v>
      </c>
      <c r="C6" s="1166">
        <v>24747</v>
      </c>
    </row>
    <row r="7" spans="1:3" ht="27" customHeight="1" x14ac:dyDescent="0.2">
      <c r="A7" s="1167" t="s">
        <v>61</v>
      </c>
      <c r="B7" s="1168" t="s">
        <v>787</v>
      </c>
      <c r="C7" s="1169">
        <v>0</v>
      </c>
    </row>
    <row r="8" spans="1:3" ht="33.75" customHeight="1" x14ac:dyDescent="0.2">
      <c r="A8" s="1170" t="s">
        <v>300</v>
      </c>
      <c r="B8" s="1171" t="s">
        <v>788</v>
      </c>
      <c r="C8" s="1172">
        <v>0</v>
      </c>
    </row>
    <row r="9" spans="1:3" ht="15.95" customHeight="1" x14ac:dyDescent="0.2">
      <c r="A9" s="1167"/>
      <c r="B9" s="1173" t="s">
        <v>789</v>
      </c>
      <c r="C9" s="1174">
        <v>216</v>
      </c>
    </row>
    <row r="10" spans="1:3" ht="15.95" customHeight="1" x14ac:dyDescent="0.2">
      <c r="A10" s="1167"/>
      <c r="B10" s="1173" t="s">
        <v>790</v>
      </c>
      <c r="C10" s="1174">
        <v>602</v>
      </c>
    </row>
    <row r="11" spans="1:3" ht="15.95" customHeight="1" x14ac:dyDescent="0.2">
      <c r="A11" s="1167"/>
      <c r="B11" s="1173" t="s">
        <v>791</v>
      </c>
      <c r="C11" s="1174">
        <v>0</v>
      </c>
    </row>
    <row r="12" spans="1:3" ht="15.95" customHeight="1" x14ac:dyDescent="0.2">
      <c r="A12" s="1167"/>
      <c r="B12" s="1175" t="s">
        <v>792</v>
      </c>
      <c r="C12" s="1174">
        <v>137997</v>
      </c>
    </row>
    <row r="13" spans="1:3" ht="15.95" customHeight="1" x14ac:dyDescent="0.2">
      <c r="A13" s="1167"/>
      <c r="B13" s="1173" t="s">
        <v>793</v>
      </c>
      <c r="C13" s="1174">
        <v>0</v>
      </c>
    </row>
    <row r="14" spans="1:3" ht="30.75" customHeight="1" x14ac:dyDescent="0.2">
      <c r="A14" s="1176" t="s">
        <v>301</v>
      </c>
      <c r="B14" s="1177" t="s">
        <v>794</v>
      </c>
      <c r="C14" s="1178">
        <v>50315</v>
      </c>
    </row>
    <row r="15" spans="1:3" ht="30.75" customHeight="1" x14ac:dyDescent="0.2">
      <c r="A15" s="1176" t="s">
        <v>303</v>
      </c>
      <c r="B15" s="1177" t="s">
        <v>795</v>
      </c>
      <c r="C15" s="1179">
        <v>8516</v>
      </c>
    </row>
    <row r="16" spans="1:3" ht="30.75" customHeight="1" thickBot="1" x14ac:dyDescent="0.25">
      <c r="A16" s="1170" t="s">
        <v>304</v>
      </c>
      <c r="B16" s="1171" t="s">
        <v>1288</v>
      </c>
      <c r="C16" s="1172">
        <v>0</v>
      </c>
    </row>
    <row r="17" spans="1:3" ht="23.25" customHeight="1" thickBot="1" x14ac:dyDescent="0.3">
      <c r="A17" s="2009"/>
      <c r="B17" s="2010" t="s">
        <v>796</v>
      </c>
      <c r="C17" s="2011">
        <f>SUM(C6:C16)</f>
        <v>222393</v>
      </c>
    </row>
    <row r="19" spans="1:3" ht="14.25" x14ac:dyDescent="0.2">
      <c r="A19" s="1180"/>
      <c r="B19" s="1181" t="s">
        <v>797</v>
      </c>
    </row>
    <row r="20" spans="1:3" s="1183" customFormat="1" ht="46.5" customHeight="1" x14ac:dyDescent="0.2">
      <c r="B20" s="1184" t="s">
        <v>798</v>
      </c>
      <c r="C20" s="1185"/>
    </row>
    <row r="21" spans="1:3" ht="15" x14ac:dyDescent="0.2">
      <c r="B21" s="1186" t="s">
        <v>799</v>
      </c>
      <c r="C21" s="1185"/>
    </row>
    <row r="22" spans="1:3" ht="15" x14ac:dyDescent="0.2">
      <c r="B22" s="1186" t="s">
        <v>800</v>
      </c>
      <c r="C22" s="1185"/>
    </row>
    <row r="23" spans="1:3" ht="15" x14ac:dyDescent="0.2">
      <c r="B23" s="1186" t="s">
        <v>801</v>
      </c>
      <c r="C23" s="1185"/>
    </row>
    <row r="24" spans="1:3" ht="15" x14ac:dyDescent="0.2">
      <c r="B24" s="1186" t="s">
        <v>1289</v>
      </c>
      <c r="C24" s="1185"/>
    </row>
  </sheetData>
  <mergeCells count="3">
    <mergeCell ref="A1:C1"/>
    <mergeCell ref="A2:C2"/>
    <mergeCell ref="A3:C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5" orientation="landscape" r:id="rId1"/>
  <headerFooter alignWithMargins="0">
    <oddHeader>&amp;R&amp;"Arial CE,Félkövér"&amp;10  20. melléklet a …../2019. (…….) önkormányzati rendelethez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30"/>
  <sheetViews>
    <sheetView zoomScale="75" zoomScaleNormal="75" workbookViewId="0">
      <selection activeCell="G23" sqref="G23"/>
    </sheetView>
  </sheetViews>
  <sheetFormatPr defaultColWidth="10.6640625" defaultRowHeight="14.25" x14ac:dyDescent="0.2"/>
  <cols>
    <col min="1" max="1" width="6.5" style="1187" customWidth="1"/>
    <col min="2" max="2" width="127.33203125" style="1187" customWidth="1"/>
    <col min="3" max="3" width="27.1640625" style="1187" customWidth="1"/>
    <col min="4" max="4" width="27.33203125" style="1187" customWidth="1"/>
    <col min="5" max="5" width="16.83203125" style="1187" customWidth="1"/>
    <col min="6" max="6" width="18.83203125" style="1187" customWidth="1"/>
    <col min="7" max="7" width="15.5" style="1187" customWidth="1"/>
    <col min="8" max="12" width="10.6640625" style="1187" customWidth="1"/>
    <col min="13" max="16384" width="10.6640625" style="1187"/>
  </cols>
  <sheetData>
    <row r="1" spans="2:4" ht="18" x14ac:dyDescent="0.25">
      <c r="B1" s="2724" t="s">
        <v>802</v>
      </c>
      <c r="C1" s="2724"/>
      <c r="D1" s="2724"/>
    </row>
    <row r="2" spans="2:4" ht="18" x14ac:dyDescent="0.25">
      <c r="B2" s="2724" t="s">
        <v>1294</v>
      </c>
      <c r="C2" s="2724"/>
      <c r="D2" s="2724"/>
    </row>
    <row r="3" spans="2:4" ht="15" x14ac:dyDescent="0.25">
      <c r="B3" s="2725"/>
      <c r="C3" s="2725"/>
      <c r="D3" s="2725"/>
    </row>
    <row r="4" spans="2:4" ht="15.75" thickBot="1" x14ac:dyDescent="0.3">
      <c r="B4" s="1188"/>
      <c r="C4" s="1189"/>
      <c r="D4" s="1190" t="s">
        <v>34</v>
      </c>
    </row>
    <row r="5" spans="2:4" s="41" customFormat="1" ht="25.5" customHeight="1" x14ac:dyDescent="0.25">
      <c r="B5" s="1191" t="s">
        <v>723</v>
      </c>
      <c r="C5" s="1192" t="s">
        <v>622</v>
      </c>
      <c r="D5" s="1193" t="s">
        <v>622</v>
      </c>
    </row>
    <row r="6" spans="2:4" s="41" customFormat="1" ht="26.25" customHeight="1" thickBot="1" x14ac:dyDescent="0.3">
      <c r="B6" s="1194"/>
      <c r="C6" s="1195" t="s">
        <v>164</v>
      </c>
      <c r="D6" s="1196" t="s">
        <v>165</v>
      </c>
    </row>
    <row r="7" spans="2:4" s="41" customFormat="1" ht="18.95" customHeight="1" x14ac:dyDescent="0.25">
      <c r="B7" s="1197" t="s">
        <v>803</v>
      </c>
      <c r="C7" s="1198"/>
      <c r="D7" s="1199"/>
    </row>
    <row r="8" spans="2:4" s="41" customFormat="1" ht="27" customHeight="1" x14ac:dyDescent="0.2">
      <c r="B8" s="1200" t="s">
        <v>804</v>
      </c>
      <c r="C8" s="2025">
        <v>15323</v>
      </c>
      <c r="D8" s="2026">
        <v>1921</v>
      </c>
    </row>
    <row r="9" spans="2:4" s="41" customFormat="1" ht="27" customHeight="1" x14ac:dyDescent="0.2">
      <c r="B9" s="1200" t="s">
        <v>648</v>
      </c>
      <c r="C9" s="2025">
        <v>107660</v>
      </c>
      <c r="D9" s="2026">
        <v>29504</v>
      </c>
    </row>
    <row r="10" spans="2:4" s="41" customFormat="1" ht="27" customHeight="1" x14ac:dyDescent="0.2">
      <c r="B10" s="1200" t="s">
        <v>616</v>
      </c>
      <c r="C10" s="2025">
        <v>18262</v>
      </c>
      <c r="D10" s="2026">
        <v>15589</v>
      </c>
    </row>
    <row r="11" spans="2:4" s="41" customFormat="1" ht="24" customHeight="1" x14ac:dyDescent="0.2">
      <c r="B11" s="1202" t="s">
        <v>805</v>
      </c>
      <c r="C11" s="1203"/>
      <c r="D11" s="1204"/>
    </row>
    <row r="12" spans="2:4" s="41" customFormat="1" ht="26.25" customHeight="1" x14ac:dyDescent="0.2">
      <c r="B12" s="1205" t="s">
        <v>1280</v>
      </c>
      <c r="C12" s="1206">
        <v>376042</v>
      </c>
      <c r="D12" s="1201"/>
    </row>
    <row r="13" spans="2:4" s="41" customFormat="1" ht="27" customHeight="1" x14ac:dyDescent="0.2">
      <c r="B13" s="1205" t="s">
        <v>460</v>
      </c>
      <c r="C13" s="1206">
        <v>7242</v>
      </c>
      <c r="D13" s="1201"/>
    </row>
    <row r="14" spans="2:4" s="41" customFormat="1" ht="27" customHeight="1" x14ac:dyDescent="0.2">
      <c r="B14" s="1205" t="s">
        <v>472</v>
      </c>
      <c r="C14" s="1206">
        <v>6871</v>
      </c>
      <c r="D14" s="126"/>
    </row>
    <row r="15" spans="2:4" s="41" customFormat="1" ht="27" customHeight="1" x14ac:dyDescent="0.2">
      <c r="B15" s="1205" t="s">
        <v>473</v>
      </c>
      <c r="C15" s="1206">
        <v>12295</v>
      </c>
      <c r="D15" s="1201"/>
    </row>
    <row r="16" spans="2:4" s="41" customFormat="1" ht="27" customHeight="1" x14ac:dyDescent="0.2">
      <c r="B16" s="1205" t="s">
        <v>462</v>
      </c>
      <c r="C16" s="1206">
        <v>532875</v>
      </c>
      <c r="D16" s="126">
        <v>37710</v>
      </c>
    </row>
    <row r="17" spans="2:8" s="41" customFormat="1" ht="27" customHeight="1" x14ac:dyDescent="0.2">
      <c r="B17" s="1205" t="s">
        <v>1281</v>
      </c>
      <c r="C17" s="1206">
        <v>480375</v>
      </c>
      <c r="D17" s="1201">
        <v>48893</v>
      </c>
    </row>
    <row r="18" spans="2:8" s="41" customFormat="1" ht="27" customHeight="1" x14ac:dyDescent="0.2">
      <c r="B18" s="1205" t="s">
        <v>465</v>
      </c>
      <c r="C18" s="1206">
        <v>606375</v>
      </c>
      <c r="D18" s="1207">
        <v>56611</v>
      </c>
    </row>
    <row r="19" spans="2:8" s="41" customFormat="1" ht="27" customHeight="1" x14ac:dyDescent="0.2">
      <c r="B19" s="1205" t="s">
        <v>474</v>
      </c>
      <c r="C19" s="1206">
        <v>333308</v>
      </c>
      <c r="D19" s="1207"/>
    </row>
    <row r="20" spans="2:8" s="2027" customFormat="1" ht="27" customHeight="1" x14ac:dyDescent="0.2">
      <c r="B20" s="1205" t="s">
        <v>1282</v>
      </c>
      <c r="C20" s="1206">
        <v>179738</v>
      </c>
      <c r="D20" s="2028"/>
    </row>
    <row r="21" spans="2:8" s="41" customFormat="1" ht="27" customHeight="1" x14ac:dyDescent="0.2">
      <c r="B21" s="1205" t="s">
        <v>484</v>
      </c>
      <c r="C21" s="1206">
        <v>840525</v>
      </c>
      <c r="D21" s="1207">
        <v>80046</v>
      </c>
    </row>
    <row r="22" spans="2:8" s="41" customFormat="1" ht="27" customHeight="1" x14ac:dyDescent="0.2">
      <c r="B22" s="1205" t="s">
        <v>1283</v>
      </c>
      <c r="C22" s="1206">
        <v>275379</v>
      </c>
      <c r="D22" s="1207">
        <v>249987</v>
      </c>
    </row>
    <row r="23" spans="2:8" s="41" customFormat="1" ht="27" customHeight="1" x14ac:dyDescent="0.2">
      <c r="B23" s="1205" t="s">
        <v>478</v>
      </c>
      <c r="C23" s="1206">
        <v>14478</v>
      </c>
      <c r="D23" s="1207"/>
    </row>
    <row r="24" spans="2:8" s="41" customFormat="1" ht="27" customHeight="1" x14ac:dyDescent="0.2">
      <c r="B24" s="1205" t="s">
        <v>466</v>
      </c>
      <c r="C24" s="1206">
        <v>13653</v>
      </c>
      <c r="D24" s="1207"/>
    </row>
    <row r="25" spans="2:8" s="41" customFormat="1" ht="27" customHeight="1" x14ac:dyDescent="0.2">
      <c r="B25" s="1205" t="s">
        <v>476</v>
      </c>
      <c r="C25" s="1206">
        <v>8319</v>
      </c>
      <c r="D25" s="1207"/>
    </row>
    <row r="26" spans="2:8" s="41" customFormat="1" ht="27" customHeight="1" x14ac:dyDescent="0.2">
      <c r="B26" s="1205" t="s">
        <v>477</v>
      </c>
      <c r="C26" s="1206">
        <v>13462</v>
      </c>
      <c r="D26" s="1201"/>
    </row>
    <row r="27" spans="2:8" s="41" customFormat="1" ht="27" customHeight="1" x14ac:dyDescent="0.2">
      <c r="B27" s="1205" t="s">
        <v>479</v>
      </c>
      <c r="C27" s="1206">
        <v>1791</v>
      </c>
      <c r="D27" s="1207"/>
    </row>
    <row r="28" spans="2:8" s="41" customFormat="1" ht="27" customHeight="1" x14ac:dyDescent="0.2">
      <c r="B28" s="1205" t="s">
        <v>480</v>
      </c>
      <c r="C28" s="1206">
        <v>20269</v>
      </c>
      <c r="D28" s="1207"/>
    </row>
    <row r="29" spans="2:8" s="41" customFormat="1" ht="27" customHeight="1" x14ac:dyDescent="0.2">
      <c r="B29" s="1205" t="s">
        <v>604</v>
      </c>
      <c r="C29" s="1206">
        <v>500000</v>
      </c>
      <c r="D29" s="1207">
        <v>500000</v>
      </c>
    </row>
    <row r="30" spans="2:8" s="41" customFormat="1" ht="27" customHeight="1" x14ac:dyDescent="0.2">
      <c r="B30" s="1208" t="s">
        <v>620</v>
      </c>
      <c r="C30" s="1206">
        <v>1420000</v>
      </c>
      <c r="D30" s="1207">
        <v>1420000</v>
      </c>
    </row>
    <row r="31" spans="2:8" s="41" customFormat="1" ht="27" customHeight="1" x14ac:dyDescent="0.2">
      <c r="B31" s="1205" t="s">
        <v>600</v>
      </c>
      <c r="C31" s="1206">
        <v>280000</v>
      </c>
      <c r="D31" s="1207">
        <v>280000</v>
      </c>
      <c r="F31" s="189"/>
      <c r="G31" s="189"/>
      <c r="H31" s="189"/>
    </row>
    <row r="32" spans="2:8" s="41" customFormat="1" ht="24.75" customHeight="1" thickBot="1" x14ac:dyDescent="0.3">
      <c r="B32" s="1209" t="s">
        <v>806</v>
      </c>
      <c r="C32" s="1210">
        <f>SUM(C8:C31)</f>
        <v>6064242</v>
      </c>
      <c r="D32" s="1211">
        <f>SUM(D8:D30)</f>
        <v>2440261</v>
      </c>
      <c r="F32" s="189"/>
    </row>
    <row r="33" spans="2:7" s="41" customFormat="1" ht="15.75" thickBot="1" x14ac:dyDescent="0.25">
      <c r="B33" s="130"/>
      <c r="C33" s="130"/>
      <c r="D33" s="29"/>
    </row>
    <row r="34" spans="2:7" s="41" customFormat="1" ht="26.25" customHeight="1" x14ac:dyDescent="0.25">
      <c r="B34" s="1212" t="s">
        <v>726</v>
      </c>
      <c r="C34" s="1213" t="s">
        <v>622</v>
      </c>
      <c r="D34" s="1214" t="s">
        <v>622</v>
      </c>
    </row>
    <row r="35" spans="2:7" s="41" customFormat="1" ht="25.5" customHeight="1" thickBot="1" x14ac:dyDescent="0.3">
      <c r="B35" s="1194"/>
      <c r="C35" s="1215" t="s">
        <v>164</v>
      </c>
      <c r="D35" s="1216" t="s">
        <v>165</v>
      </c>
    </row>
    <row r="36" spans="2:7" s="41" customFormat="1" ht="21" customHeight="1" x14ac:dyDescent="0.25">
      <c r="B36" s="1197" t="s">
        <v>803</v>
      </c>
      <c r="C36" s="1213"/>
      <c r="D36" s="1214"/>
    </row>
    <row r="37" spans="2:7" s="41" customFormat="1" ht="21" customHeight="1" x14ac:dyDescent="0.25">
      <c r="B37" s="1217" t="s">
        <v>807</v>
      </c>
      <c r="C37" s="1218"/>
      <c r="D37" s="1219"/>
    </row>
    <row r="38" spans="2:7" s="41" customFormat="1" ht="23.25" customHeight="1" x14ac:dyDescent="0.2">
      <c r="B38" s="1220" t="s">
        <v>268</v>
      </c>
      <c r="C38" s="1221">
        <v>8069</v>
      </c>
      <c r="D38" s="1201">
        <v>6253</v>
      </c>
    </row>
    <row r="39" spans="2:7" s="41" customFormat="1" ht="23.25" customHeight="1" x14ac:dyDescent="0.2">
      <c r="B39" s="1220" t="s">
        <v>457</v>
      </c>
      <c r="C39" s="1221">
        <v>54373</v>
      </c>
      <c r="D39" s="1201">
        <v>9657</v>
      </c>
    </row>
    <row r="40" spans="2:7" s="41" customFormat="1" ht="23.25" customHeight="1" x14ac:dyDescent="0.2">
      <c r="B40" s="1220" t="s">
        <v>481</v>
      </c>
      <c r="C40" s="1221">
        <v>4400</v>
      </c>
      <c r="D40" s="1201"/>
    </row>
    <row r="41" spans="2:7" s="41" customFormat="1" ht="38.25" customHeight="1" x14ac:dyDescent="0.2">
      <c r="B41" s="1220" t="s">
        <v>456</v>
      </c>
      <c r="C41" s="1221">
        <v>1687</v>
      </c>
      <c r="D41" s="1201">
        <v>1128</v>
      </c>
    </row>
    <row r="42" spans="2:7" s="41" customFormat="1" ht="40.5" customHeight="1" x14ac:dyDescent="0.2">
      <c r="B42" s="1222" t="s">
        <v>467</v>
      </c>
      <c r="C42" s="1223">
        <v>2015</v>
      </c>
      <c r="D42" s="1201"/>
    </row>
    <row r="43" spans="2:7" s="41" customFormat="1" ht="38.25" customHeight="1" x14ac:dyDescent="0.2">
      <c r="B43" s="1220" t="s">
        <v>700</v>
      </c>
      <c r="C43" s="1221">
        <v>1410</v>
      </c>
      <c r="D43" s="1201">
        <v>705</v>
      </c>
    </row>
    <row r="44" spans="2:7" s="41" customFormat="1" ht="23.25" customHeight="1" x14ac:dyDescent="0.2">
      <c r="B44" s="1220" t="s">
        <v>616</v>
      </c>
      <c r="C44" s="1221">
        <v>17922</v>
      </c>
      <c r="D44" s="1201">
        <v>14835</v>
      </c>
    </row>
    <row r="45" spans="2:7" s="41" customFormat="1" ht="23.25" customHeight="1" x14ac:dyDescent="0.2">
      <c r="B45" s="1220" t="s">
        <v>684</v>
      </c>
      <c r="C45" s="1221">
        <v>82764</v>
      </c>
      <c r="D45" s="2026">
        <v>23643</v>
      </c>
      <c r="F45" s="189">
        <f>SUM(C38:C45)</f>
        <v>172640</v>
      </c>
      <c r="G45" s="189">
        <f>SUM(D38:D45)</f>
        <v>56221</v>
      </c>
    </row>
    <row r="46" spans="2:7" s="41" customFormat="1" ht="23.25" customHeight="1" x14ac:dyDescent="0.2">
      <c r="B46" s="1224" t="s">
        <v>805</v>
      </c>
      <c r="C46" s="1225"/>
      <c r="D46" s="1226"/>
    </row>
    <row r="47" spans="2:7" s="41" customFormat="1" ht="26.25" customHeight="1" x14ac:dyDescent="0.25">
      <c r="B47" s="1227" t="s">
        <v>62</v>
      </c>
      <c r="C47" s="1228"/>
      <c r="D47" s="1229"/>
      <c r="F47" s="189"/>
    </row>
    <row r="48" spans="2:7" s="41" customFormat="1" ht="40.5" customHeight="1" x14ac:dyDescent="0.2">
      <c r="B48" s="1222" t="s">
        <v>274</v>
      </c>
      <c r="C48" s="1223">
        <v>25204</v>
      </c>
      <c r="D48" s="1201">
        <v>7130</v>
      </c>
    </row>
    <row r="49" spans="2:4" s="41" customFormat="1" ht="25.5" customHeight="1" x14ac:dyDescent="0.2">
      <c r="B49" s="1232" t="s">
        <v>492</v>
      </c>
      <c r="C49" s="1230">
        <v>57376</v>
      </c>
      <c r="D49" s="1201"/>
    </row>
    <row r="50" spans="2:4" s="41" customFormat="1" ht="25.5" customHeight="1" x14ac:dyDescent="0.2">
      <c r="B50" s="1232" t="s">
        <v>469</v>
      </c>
      <c r="C50" s="1230">
        <v>361774</v>
      </c>
      <c r="D50" s="1201">
        <v>6747</v>
      </c>
    </row>
    <row r="51" spans="2:4" s="41" customFormat="1" ht="25.5" customHeight="1" x14ac:dyDescent="0.2">
      <c r="B51" s="1232" t="s">
        <v>572</v>
      </c>
      <c r="C51" s="1230">
        <v>93930</v>
      </c>
      <c r="D51" s="1201"/>
    </row>
    <row r="52" spans="2:4" s="41" customFormat="1" ht="25.5" customHeight="1" x14ac:dyDescent="0.2">
      <c r="B52" s="1232" t="s">
        <v>585</v>
      </c>
      <c r="C52" s="1230">
        <v>22961</v>
      </c>
      <c r="D52" s="1201">
        <v>12385</v>
      </c>
    </row>
    <row r="53" spans="2:4" s="41" customFormat="1" ht="25.5" customHeight="1" x14ac:dyDescent="0.2">
      <c r="B53" s="1232" t="s">
        <v>471</v>
      </c>
      <c r="C53" s="1230">
        <v>1262664</v>
      </c>
      <c r="D53" s="1201">
        <v>42931</v>
      </c>
    </row>
    <row r="54" spans="2:4" s="41" customFormat="1" ht="25.5" customHeight="1" x14ac:dyDescent="0.2">
      <c r="B54" s="1232" t="s">
        <v>574</v>
      </c>
      <c r="C54" s="1230">
        <v>292606</v>
      </c>
      <c r="D54" s="1201"/>
    </row>
    <row r="55" spans="2:4" s="41" customFormat="1" ht="25.5" customHeight="1" x14ac:dyDescent="0.2">
      <c r="B55" s="1232" t="s">
        <v>586</v>
      </c>
      <c r="C55" s="1230">
        <v>200</v>
      </c>
      <c r="D55" s="1201">
        <v>200</v>
      </c>
    </row>
    <row r="56" spans="2:4" s="41" customFormat="1" ht="25.5" customHeight="1" x14ac:dyDescent="0.2">
      <c r="B56" s="1232" t="s">
        <v>598</v>
      </c>
      <c r="C56" s="1230">
        <v>1417775</v>
      </c>
      <c r="D56" s="1201">
        <v>57023</v>
      </c>
    </row>
    <row r="57" spans="2:4" s="41" customFormat="1" ht="25.5" customHeight="1" x14ac:dyDescent="0.2">
      <c r="B57" s="1232" t="s">
        <v>599</v>
      </c>
      <c r="C57" s="1230"/>
      <c r="D57" s="1201"/>
    </row>
    <row r="58" spans="2:4" s="41" customFormat="1" ht="25.5" customHeight="1" x14ac:dyDescent="0.2">
      <c r="B58" s="1232" t="s">
        <v>597</v>
      </c>
      <c r="C58" s="1230">
        <v>418824</v>
      </c>
      <c r="D58" s="1201">
        <v>23451</v>
      </c>
    </row>
    <row r="59" spans="2:4" s="41" customFormat="1" ht="25.5" customHeight="1" x14ac:dyDescent="0.2">
      <c r="B59" s="1232" t="s">
        <v>601</v>
      </c>
      <c r="C59" s="1230">
        <v>79724</v>
      </c>
      <c r="D59" s="1201"/>
    </row>
    <row r="60" spans="2:4" s="41" customFormat="1" ht="25.5" customHeight="1" x14ac:dyDescent="0.2">
      <c r="B60" s="1232" t="s">
        <v>600</v>
      </c>
      <c r="C60" s="1230">
        <v>274000</v>
      </c>
      <c r="D60" s="1201">
        <v>4890</v>
      </c>
    </row>
    <row r="61" spans="2:4" s="41" customFormat="1" ht="25.5" customHeight="1" x14ac:dyDescent="0.2">
      <c r="B61" s="1232" t="s">
        <v>463</v>
      </c>
      <c r="C61" s="1230">
        <v>686073</v>
      </c>
      <c r="D61" s="1201">
        <v>140</v>
      </c>
    </row>
    <row r="62" spans="2:4" s="41" customFormat="1" ht="25.5" customHeight="1" x14ac:dyDescent="0.2">
      <c r="B62" s="1232" t="s">
        <v>573</v>
      </c>
      <c r="C62" s="1230">
        <v>159625</v>
      </c>
      <c r="D62" s="1201"/>
    </row>
    <row r="63" spans="2:4" s="41" customFormat="1" ht="25.5" customHeight="1" x14ac:dyDescent="0.2">
      <c r="B63" s="1232" t="s">
        <v>470</v>
      </c>
      <c r="C63" s="1230">
        <v>434625</v>
      </c>
      <c r="D63" s="1201">
        <v>7346</v>
      </c>
    </row>
    <row r="64" spans="2:4" s="41" customFormat="1" ht="40.5" customHeight="1" x14ac:dyDescent="0.2">
      <c r="B64" s="1232" t="s">
        <v>571</v>
      </c>
      <c r="C64" s="1230">
        <v>94084</v>
      </c>
      <c r="D64" s="1231"/>
    </row>
    <row r="65" spans="2:4" s="41" customFormat="1" ht="25.5" customHeight="1" x14ac:dyDescent="0.2">
      <c r="B65" s="1232" t="s">
        <v>587</v>
      </c>
      <c r="C65" s="1230">
        <v>43681</v>
      </c>
      <c r="D65" s="1201">
        <v>9407</v>
      </c>
    </row>
    <row r="66" spans="2:4" s="41" customFormat="1" ht="25.5" customHeight="1" x14ac:dyDescent="0.2">
      <c r="B66" s="1232" t="s">
        <v>716</v>
      </c>
      <c r="C66" s="1230">
        <v>3614</v>
      </c>
      <c r="D66" s="1201"/>
    </row>
    <row r="67" spans="2:4" s="41" customFormat="1" ht="25.5" customHeight="1" x14ac:dyDescent="0.2">
      <c r="B67" s="1232" t="s">
        <v>460</v>
      </c>
      <c r="C67" s="1230">
        <v>136068</v>
      </c>
      <c r="D67" s="1201">
        <v>135968</v>
      </c>
    </row>
    <row r="68" spans="2:4" s="41" customFormat="1" ht="39.75" customHeight="1" x14ac:dyDescent="0.2">
      <c r="B68" s="1232" t="s">
        <v>588</v>
      </c>
      <c r="C68" s="1230">
        <v>562</v>
      </c>
      <c r="D68" s="1201">
        <v>56</v>
      </c>
    </row>
    <row r="69" spans="2:4" s="41" customFormat="1" ht="25.5" customHeight="1" x14ac:dyDescent="0.2">
      <c r="B69" s="1232" t="s">
        <v>459</v>
      </c>
      <c r="C69" s="1230">
        <v>124065</v>
      </c>
      <c r="D69" s="1201">
        <v>123795</v>
      </c>
    </row>
    <row r="70" spans="2:4" s="41" customFormat="1" ht="38.25" customHeight="1" x14ac:dyDescent="0.2">
      <c r="B70" s="1220" t="s">
        <v>575</v>
      </c>
      <c r="C70" s="1221">
        <v>28953</v>
      </c>
      <c r="D70" s="1201"/>
    </row>
    <row r="71" spans="2:4" s="41" customFormat="1" ht="25.5" customHeight="1" x14ac:dyDescent="0.2">
      <c r="B71" s="1232" t="s">
        <v>589</v>
      </c>
      <c r="C71" s="1230">
        <v>13781</v>
      </c>
      <c r="D71" s="1201">
        <v>13693</v>
      </c>
    </row>
    <row r="72" spans="2:4" s="41" customFormat="1" ht="39.75" customHeight="1" x14ac:dyDescent="0.2">
      <c r="B72" s="1232" t="s">
        <v>609</v>
      </c>
      <c r="C72" s="1230">
        <v>3648</v>
      </c>
      <c r="D72" s="1201"/>
    </row>
    <row r="73" spans="2:4" s="41" customFormat="1" ht="25.5" customHeight="1" x14ac:dyDescent="0.2">
      <c r="B73" s="1232" t="s">
        <v>482</v>
      </c>
      <c r="C73" s="1230">
        <v>227267</v>
      </c>
      <c r="D73" s="1201">
        <v>78569</v>
      </c>
    </row>
    <row r="74" spans="2:4" s="41" customFormat="1" ht="39.75" customHeight="1" x14ac:dyDescent="0.2">
      <c r="B74" s="1232" t="s">
        <v>576</v>
      </c>
      <c r="C74" s="1230">
        <v>12543</v>
      </c>
      <c r="D74" s="1201"/>
    </row>
    <row r="75" spans="2:4" s="41" customFormat="1" ht="25.5" customHeight="1" x14ac:dyDescent="0.2">
      <c r="B75" s="1232" t="s">
        <v>590</v>
      </c>
      <c r="C75" s="1230">
        <v>8538</v>
      </c>
      <c r="D75" s="1201">
        <v>4898</v>
      </c>
    </row>
    <row r="76" spans="2:4" s="41" customFormat="1" ht="25.5" customHeight="1" x14ac:dyDescent="0.2">
      <c r="B76" s="1232" t="s">
        <v>474</v>
      </c>
      <c r="C76" s="1230">
        <v>715762</v>
      </c>
      <c r="D76" s="1201">
        <v>9114</v>
      </c>
    </row>
    <row r="77" spans="2:4" s="41" customFormat="1" ht="38.25" customHeight="1" x14ac:dyDescent="0.2">
      <c r="B77" s="1220" t="s">
        <v>487</v>
      </c>
      <c r="C77" s="1221">
        <v>186282</v>
      </c>
      <c r="D77" s="1201"/>
    </row>
    <row r="78" spans="2:4" s="41" customFormat="1" ht="39.75" customHeight="1" x14ac:dyDescent="0.2">
      <c r="B78" s="1232" t="s">
        <v>680</v>
      </c>
      <c r="C78" s="1230">
        <v>24913</v>
      </c>
      <c r="D78" s="1201"/>
    </row>
    <row r="79" spans="2:4" s="41" customFormat="1" ht="39.75" customHeight="1" x14ac:dyDescent="0.2">
      <c r="B79" s="1232" t="s">
        <v>693</v>
      </c>
      <c r="C79" s="1230">
        <v>6726</v>
      </c>
      <c r="D79" s="1201"/>
    </row>
    <row r="80" spans="2:4" s="41" customFormat="1" ht="37.5" customHeight="1" x14ac:dyDescent="0.2">
      <c r="B80" s="1232" t="s">
        <v>681</v>
      </c>
      <c r="C80" s="1230">
        <v>49825</v>
      </c>
      <c r="D80" s="1201"/>
    </row>
    <row r="81" spans="2:4" s="41" customFormat="1" ht="39.75" customHeight="1" x14ac:dyDescent="0.2">
      <c r="B81" s="1232" t="s">
        <v>694</v>
      </c>
      <c r="C81" s="1230">
        <v>13453</v>
      </c>
      <c r="D81" s="1201"/>
    </row>
    <row r="82" spans="2:4" s="41" customFormat="1" ht="39.75" customHeight="1" x14ac:dyDescent="0.2">
      <c r="B82" s="1232" t="s">
        <v>682</v>
      </c>
      <c r="C82" s="1230">
        <v>25000</v>
      </c>
      <c r="D82" s="1201"/>
    </row>
    <row r="83" spans="2:4" s="41" customFormat="1" ht="39.75" customHeight="1" x14ac:dyDescent="0.2">
      <c r="B83" s="1232" t="s">
        <v>695</v>
      </c>
      <c r="C83" s="1230">
        <v>6750</v>
      </c>
      <c r="D83" s="1201"/>
    </row>
    <row r="84" spans="2:4" s="41" customFormat="1" ht="39.75" customHeight="1" x14ac:dyDescent="0.2">
      <c r="B84" s="1232" t="s">
        <v>683</v>
      </c>
      <c r="C84" s="1230">
        <v>70000</v>
      </c>
      <c r="D84" s="1201"/>
    </row>
    <row r="85" spans="2:4" s="41" customFormat="1" ht="39.75" customHeight="1" x14ac:dyDescent="0.2">
      <c r="B85" s="1232" t="s">
        <v>696</v>
      </c>
      <c r="C85" s="1230">
        <v>18900</v>
      </c>
      <c r="D85" s="1201"/>
    </row>
    <row r="86" spans="2:4" s="41" customFormat="1" ht="38.25" customHeight="1" x14ac:dyDescent="0.2">
      <c r="B86" s="1220" t="s">
        <v>577</v>
      </c>
      <c r="C86" s="1221">
        <v>1689</v>
      </c>
      <c r="D86" s="1201">
        <v>1637</v>
      </c>
    </row>
    <row r="87" spans="2:4" s="41" customFormat="1" ht="39.75" customHeight="1" x14ac:dyDescent="0.2">
      <c r="B87" s="1232" t="s">
        <v>608</v>
      </c>
      <c r="C87" s="1230"/>
      <c r="D87" s="1201"/>
    </row>
    <row r="88" spans="2:4" s="41" customFormat="1" ht="38.25" customHeight="1" x14ac:dyDescent="0.2">
      <c r="B88" s="1220" t="s">
        <v>697</v>
      </c>
      <c r="C88" s="1221">
        <v>119484</v>
      </c>
      <c r="D88" s="1201">
        <v>34</v>
      </c>
    </row>
    <row r="89" spans="2:4" s="41" customFormat="1" ht="39.75" customHeight="1" x14ac:dyDescent="0.2">
      <c r="B89" s="1232" t="s">
        <v>698</v>
      </c>
      <c r="C89" s="1230">
        <v>29128</v>
      </c>
      <c r="D89" s="1201"/>
    </row>
    <row r="90" spans="2:4" s="41" customFormat="1" ht="25.5" customHeight="1" x14ac:dyDescent="0.2">
      <c r="B90" s="1234" t="s">
        <v>465</v>
      </c>
      <c r="C90" s="1233">
        <v>966905</v>
      </c>
      <c r="D90" s="1207">
        <v>440</v>
      </c>
    </row>
    <row r="91" spans="2:4" s="41" customFormat="1" ht="25.5" customHeight="1" x14ac:dyDescent="0.2">
      <c r="B91" s="1234" t="s">
        <v>578</v>
      </c>
      <c r="C91" s="1233">
        <v>105848</v>
      </c>
      <c r="D91" s="1207"/>
    </row>
    <row r="92" spans="2:4" s="41" customFormat="1" ht="39.75" customHeight="1" x14ac:dyDescent="0.2">
      <c r="B92" s="1232" t="s">
        <v>660</v>
      </c>
      <c r="C92" s="1230">
        <v>3092</v>
      </c>
      <c r="D92" s="1201">
        <v>173</v>
      </c>
    </row>
    <row r="93" spans="2:4" s="41" customFormat="1" ht="25.5" customHeight="1" x14ac:dyDescent="0.2">
      <c r="B93" s="1234" t="s">
        <v>475</v>
      </c>
      <c r="C93" s="1233">
        <v>606494</v>
      </c>
      <c r="D93" s="1207">
        <v>53872</v>
      </c>
    </row>
    <row r="94" spans="2:4" s="41" customFormat="1" ht="38.25" customHeight="1" x14ac:dyDescent="0.2">
      <c r="B94" s="1220" t="s">
        <v>579</v>
      </c>
      <c r="C94" s="1221">
        <v>137794</v>
      </c>
      <c r="D94" s="1201"/>
    </row>
    <row r="95" spans="2:4" s="41" customFormat="1" ht="25.5" customHeight="1" x14ac:dyDescent="0.2">
      <c r="B95" s="1234" t="s">
        <v>462</v>
      </c>
      <c r="C95" s="1233">
        <v>978386</v>
      </c>
      <c r="D95" s="1207">
        <v>27110</v>
      </c>
    </row>
    <row r="96" spans="2:4" s="41" customFormat="1" ht="25.5" customHeight="1" x14ac:dyDescent="0.2">
      <c r="B96" s="1234" t="s">
        <v>591</v>
      </c>
      <c r="C96" s="1233">
        <v>5111</v>
      </c>
      <c r="D96" s="1207">
        <v>2711</v>
      </c>
    </row>
    <row r="97" spans="2:4" s="41" customFormat="1" ht="34.5" customHeight="1" x14ac:dyDescent="0.2">
      <c r="B97" s="1234" t="s">
        <v>478</v>
      </c>
      <c r="C97" s="1233">
        <v>274974</v>
      </c>
      <c r="D97" s="1207">
        <v>192046</v>
      </c>
    </row>
    <row r="98" spans="2:4" s="41" customFormat="1" ht="25.5" customHeight="1" x14ac:dyDescent="0.2">
      <c r="B98" s="1234" t="s">
        <v>592</v>
      </c>
      <c r="C98" s="1233">
        <v>111</v>
      </c>
      <c r="D98" s="1207"/>
    </row>
    <row r="99" spans="2:4" s="41" customFormat="1" ht="25.5" customHeight="1" x14ac:dyDescent="0.2">
      <c r="B99" s="1234" t="s">
        <v>466</v>
      </c>
      <c r="C99" s="1233">
        <v>169330</v>
      </c>
      <c r="D99" s="1207">
        <v>128245</v>
      </c>
    </row>
    <row r="100" spans="2:4" s="41" customFormat="1" ht="25.5" customHeight="1" x14ac:dyDescent="0.2">
      <c r="B100" s="1234" t="s">
        <v>580</v>
      </c>
      <c r="C100" s="1233">
        <v>56582</v>
      </c>
      <c r="D100" s="1207"/>
    </row>
    <row r="101" spans="2:4" s="41" customFormat="1" ht="25.5" customHeight="1" x14ac:dyDescent="0.2">
      <c r="B101" s="1234" t="s">
        <v>468</v>
      </c>
      <c r="C101" s="1233">
        <v>275025</v>
      </c>
      <c r="D101" s="1207">
        <v>199503</v>
      </c>
    </row>
    <row r="102" spans="2:4" s="41" customFormat="1" ht="25.5" customHeight="1" x14ac:dyDescent="0.2">
      <c r="B102" s="1234" t="s">
        <v>593</v>
      </c>
      <c r="C102" s="1233">
        <v>4790</v>
      </c>
      <c r="D102" s="1207">
        <v>200</v>
      </c>
    </row>
    <row r="103" spans="2:4" s="41" customFormat="1" ht="25.5" customHeight="1" x14ac:dyDescent="0.2">
      <c r="B103" s="1234" t="s">
        <v>476</v>
      </c>
      <c r="C103" s="1233">
        <v>170173</v>
      </c>
      <c r="D103" s="1207">
        <v>123596</v>
      </c>
    </row>
    <row r="104" spans="2:4" s="41" customFormat="1" ht="25.5" customHeight="1" x14ac:dyDescent="0.2">
      <c r="B104" s="1234" t="s">
        <v>594</v>
      </c>
      <c r="C104" s="1233">
        <v>3995</v>
      </c>
      <c r="D104" s="1207">
        <v>200</v>
      </c>
    </row>
    <row r="105" spans="2:4" s="41" customFormat="1" ht="25.5" customHeight="1" x14ac:dyDescent="0.2">
      <c r="B105" s="1234" t="s">
        <v>461</v>
      </c>
      <c r="C105" s="1233">
        <v>337995</v>
      </c>
      <c r="D105" s="1207">
        <v>337563</v>
      </c>
    </row>
    <row r="106" spans="2:4" s="41" customFormat="1" ht="25.5" customHeight="1" x14ac:dyDescent="0.2">
      <c r="B106" s="1234" t="s">
        <v>581</v>
      </c>
      <c r="C106" s="1233"/>
      <c r="D106" s="1207"/>
    </row>
    <row r="107" spans="2:4" s="41" customFormat="1" ht="39.75" customHeight="1" x14ac:dyDescent="0.2">
      <c r="B107" s="1232" t="s">
        <v>639</v>
      </c>
      <c r="C107" s="1230">
        <v>46702</v>
      </c>
      <c r="D107" s="1201">
        <v>783</v>
      </c>
    </row>
    <row r="108" spans="2:4" s="41" customFormat="1" ht="25.5" customHeight="1" x14ac:dyDescent="0.2">
      <c r="B108" s="1234" t="s">
        <v>479</v>
      </c>
      <c r="C108" s="1233">
        <v>66603</v>
      </c>
      <c r="D108" s="1207">
        <v>49169</v>
      </c>
    </row>
    <row r="109" spans="2:4" s="41" customFormat="1" ht="25.5" customHeight="1" x14ac:dyDescent="0.2">
      <c r="B109" s="1234" t="s">
        <v>595</v>
      </c>
      <c r="C109" s="1233">
        <v>6088</v>
      </c>
      <c r="D109" s="1207">
        <v>140</v>
      </c>
    </row>
    <row r="110" spans="2:4" s="41" customFormat="1" ht="25.5" customHeight="1" x14ac:dyDescent="0.2">
      <c r="B110" s="1234" t="s">
        <v>483</v>
      </c>
      <c r="C110" s="1233">
        <v>330370</v>
      </c>
      <c r="D110" s="1207">
        <v>185612</v>
      </c>
    </row>
    <row r="111" spans="2:4" s="41" customFormat="1" ht="25.5" customHeight="1" x14ac:dyDescent="0.2">
      <c r="B111" s="1234" t="s">
        <v>582</v>
      </c>
      <c r="C111" s="1233">
        <v>26590</v>
      </c>
      <c r="D111" s="1207"/>
    </row>
    <row r="112" spans="2:4" s="41" customFormat="1" ht="25.5" customHeight="1" x14ac:dyDescent="0.2">
      <c r="B112" s="1234" t="s">
        <v>596</v>
      </c>
      <c r="C112" s="1233">
        <v>316</v>
      </c>
      <c r="D112" s="1207">
        <v>316</v>
      </c>
    </row>
    <row r="113" spans="1:8" ht="24" customHeight="1" thickBot="1" x14ac:dyDescent="0.3">
      <c r="B113" s="1209" t="s">
        <v>808</v>
      </c>
      <c r="C113" s="1235">
        <f>SUM(C38:C112)</f>
        <v>12297991</v>
      </c>
      <c r="D113" s="1236">
        <f>SUM(D38:D112)</f>
        <v>1897314</v>
      </c>
      <c r="E113" s="1237"/>
    </row>
    <row r="119" spans="1:8" ht="15" x14ac:dyDescent="0.2">
      <c r="E119" s="369"/>
      <c r="F119" s="67"/>
      <c r="G119" s="1238"/>
      <c r="H119" s="1239"/>
    </row>
    <row r="120" spans="1:8" x14ac:dyDescent="0.2">
      <c r="E120" s="1239"/>
      <c r="F120" s="1239"/>
      <c r="G120" s="1239"/>
      <c r="H120" s="1239"/>
    </row>
    <row r="121" spans="1:8" s="11" customFormat="1" ht="33.75" customHeight="1" x14ac:dyDescent="0.2">
      <c r="A121" s="92"/>
    </row>
    <row r="123" spans="1:8" s="7" customFormat="1" ht="36" customHeight="1" x14ac:dyDescent="0.2">
      <c r="A123" s="90"/>
    </row>
    <row r="124" spans="1:8" s="7" customFormat="1" ht="21.75" customHeight="1" x14ac:dyDescent="0.2">
      <c r="A124" s="90"/>
    </row>
    <row r="125" spans="1:8" s="7" customFormat="1" ht="36" customHeight="1" x14ac:dyDescent="0.2">
      <c r="A125" s="90"/>
    </row>
    <row r="126" spans="1:8" s="7" customFormat="1" ht="39" customHeight="1" x14ac:dyDescent="0.2">
      <c r="A126" s="90"/>
    </row>
    <row r="127" spans="1:8" s="7" customFormat="1" ht="39" customHeight="1" x14ac:dyDescent="0.2">
      <c r="A127" s="90"/>
    </row>
    <row r="128" spans="1:8" s="7" customFormat="1" ht="36" customHeight="1" x14ac:dyDescent="0.2">
      <c r="A128" s="90"/>
    </row>
    <row r="130" spans="3:4" x14ac:dyDescent="0.2">
      <c r="C130" s="1237">
        <f>SUM(C48:C128)</f>
        <v>24423342</v>
      </c>
      <c r="D130" s="1237">
        <f>SUM(D48:D128)</f>
        <v>3738407</v>
      </c>
    </row>
  </sheetData>
  <mergeCells count="3">
    <mergeCell ref="B1:D1"/>
    <mergeCell ref="B2:D2"/>
    <mergeCell ref="B3:D3"/>
  </mergeCells>
  <printOptions horizontalCentered="1" verticalCentered="1"/>
  <pageMargins left="0.35433070866141736" right="0.19685039370078741" top="0.98425196850393704" bottom="0.98425196850393704" header="0.51181102362204722" footer="0.51181102362204722"/>
  <pageSetup paperSize="9" scale="63" pageOrder="overThenDown" orientation="portrait" r:id="rId1"/>
  <headerFooter alignWithMargins="0">
    <oddHeader>&amp;R&amp;"Arial,Félkövér"&amp;14  21. melléklet a …../2019. (…….) önkormányzati rendelethez</oddHeader>
  </headerFooter>
  <rowBreaks count="1" manualBreakCount="1">
    <brk id="33" min="1" max="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H35"/>
  <sheetViews>
    <sheetView zoomScale="75" zoomScaleNormal="75" workbookViewId="0">
      <selection activeCell="G23" sqref="G23"/>
    </sheetView>
  </sheetViews>
  <sheetFormatPr defaultColWidth="10.6640625" defaultRowHeight="15" customHeight="1" x14ac:dyDescent="0.2"/>
  <cols>
    <col min="1" max="1" width="9.33203125" style="41" customWidth="1"/>
    <col min="2" max="2" width="7.6640625" style="41" customWidth="1"/>
    <col min="3" max="3" width="118.33203125" style="41" customWidth="1"/>
    <col min="4" max="5" width="19.1640625" style="41" customWidth="1"/>
    <col min="6" max="6" width="17.6640625" style="41" customWidth="1"/>
    <col min="7" max="8" width="15.6640625" style="41" bestFit="1" customWidth="1"/>
    <col min="9" max="16384" width="10.6640625" style="41"/>
  </cols>
  <sheetData>
    <row r="1" spans="2:8" s="1240" customFormat="1" ht="24" customHeight="1" x14ac:dyDescent="0.25">
      <c r="B1" s="2726" t="s">
        <v>784</v>
      </c>
      <c r="C1" s="2726"/>
      <c r="D1" s="2726"/>
      <c r="E1" s="2726"/>
      <c r="F1" s="2726"/>
      <c r="G1" s="2726"/>
      <c r="H1" s="2726"/>
    </row>
    <row r="2" spans="2:8" s="1240" customFormat="1" ht="24" customHeight="1" x14ac:dyDescent="0.25">
      <c r="B2" s="2727" t="s">
        <v>1293</v>
      </c>
      <c r="C2" s="2727"/>
      <c r="D2" s="2727"/>
      <c r="E2" s="2727"/>
      <c r="F2" s="2727"/>
      <c r="G2" s="2727"/>
      <c r="H2" s="2727"/>
    </row>
    <row r="3" spans="2:8" s="1240" customFormat="1" ht="24" customHeight="1" x14ac:dyDescent="0.25">
      <c r="B3" s="2728" t="s">
        <v>809</v>
      </c>
      <c r="C3" s="2728"/>
      <c r="D3" s="2728"/>
      <c r="E3" s="2728"/>
      <c r="F3" s="2728"/>
      <c r="G3" s="2728"/>
      <c r="H3" s="2728"/>
    </row>
    <row r="4" spans="2:8" s="1242" customFormat="1" ht="18.95" customHeight="1" thickBot="1" x14ac:dyDescent="0.25">
      <c r="B4" s="1241"/>
      <c r="C4" s="1241"/>
      <c r="D4" s="1241"/>
      <c r="E4" s="1241"/>
      <c r="F4" s="1241"/>
      <c r="G4" s="1241"/>
      <c r="H4" s="14" t="s">
        <v>34</v>
      </c>
    </row>
    <row r="5" spans="2:8" ht="18.95" customHeight="1" x14ac:dyDescent="0.25">
      <c r="B5" s="2729" t="s">
        <v>51</v>
      </c>
      <c r="C5" s="2730"/>
      <c r="D5" s="1042" t="s">
        <v>811</v>
      </c>
      <c r="E5" s="1192" t="s">
        <v>811</v>
      </c>
      <c r="F5" s="1043" t="s">
        <v>812</v>
      </c>
      <c r="G5" s="1192" t="s">
        <v>813</v>
      </c>
      <c r="H5" s="1243" t="s">
        <v>1291</v>
      </c>
    </row>
    <row r="6" spans="2:8" ht="18.95" customHeight="1" thickBot="1" x14ac:dyDescent="0.3">
      <c r="B6" s="179"/>
      <c r="C6" s="180"/>
      <c r="D6" s="89" t="s">
        <v>164</v>
      </c>
      <c r="E6" s="1195" t="s">
        <v>165</v>
      </c>
      <c r="F6" s="1244" t="s">
        <v>325</v>
      </c>
      <c r="G6" s="1195" t="s">
        <v>325</v>
      </c>
      <c r="H6" s="1196" t="s">
        <v>325</v>
      </c>
    </row>
    <row r="7" spans="2:8" ht="24.75" customHeight="1" x14ac:dyDescent="0.25">
      <c r="B7" s="1245"/>
      <c r="C7" s="1246" t="s">
        <v>144</v>
      </c>
      <c r="D7" s="1247"/>
      <c r="E7" s="1248"/>
      <c r="F7" s="1249"/>
      <c r="G7" s="1250"/>
      <c r="H7" s="1251"/>
    </row>
    <row r="8" spans="2:8" ht="24.75" customHeight="1" x14ac:dyDescent="0.25">
      <c r="B8" s="101"/>
      <c r="C8" s="1252" t="s">
        <v>155</v>
      </c>
      <c r="D8" s="1253">
        <v>50000</v>
      </c>
      <c r="E8" s="1254">
        <v>0</v>
      </c>
      <c r="F8" s="369">
        <v>50000</v>
      </c>
      <c r="G8" s="1254">
        <v>150000</v>
      </c>
      <c r="H8" s="1255"/>
    </row>
    <row r="9" spans="2:8" ht="24.75" customHeight="1" thickBot="1" x14ac:dyDescent="0.3">
      <c r="B9" s="1256"/>
      <c r="C9" s="1257"/>
      <c r="D9" s="1258">
        <f>SUM(D8:D8)</f>
        <v>50000</v>
      </c>
      <c r="E9" s="1259">
        <f>SUM(E8:E8)</f>
        <v>0</v>
      </c>
      <c r="F9" s="1260">
        <f>SUM(F8:F8)</f>
        <v>50000</v>
      </c>
      <c r="G9" s="1259">
        <f>SUM(G8:G8)</f>
        <v>150000</v>
      </c>
      <c r="H9" s="1261">
        <f>SUM(H8:H8)</f>
        <v>0</v>
      </c>
    </row>
    <row r="10" spans="2:8" ht="24.75" customHeight="1" x14ac:dyDescent="0.25">
      <c r="B10" s="1279"/>
      <c r="C10" s="2013" t="s">
        <v>60</v>
      </c>
      <c r="D10" s="1247"/>
      <c r="E10" s="1248"/>
      <c r="F10" s="1249"/>
      <c r="G10" s="1250"/>
      <c r="H10" s="1251"/>
    </row>
    <row r="11" spans="2:8" ht="24.75" customHeight="1" x14ac:dyDescent="0.25">
      <c r="B11" s="970"/>
      <c r="C11" s="2014" t="s">
        <v>541</v>
      </c>
      <c r="D11" s="1273">
        <v>8223</v>
      </c>
      <c r="E11" s="1274">
        <v>8032</v>
      </c>
      <c r="F11" s="1275">
        <v>60000</v>
      </c>
      <c r="G11" s="1274">
        <v>60000</v>
      </c>
      <c r="H11" s="1276">
        <v>60000</v>
      </c>
    </row>
    <row r="12" spans="2:8" ht="24.75" customHeight="1" thickBot="1" x14ac:dyDescent="0.3">
      <c r="B12" s="1245"/>
      <c r="C12" s="2012"/>
      <c r="D12" s="2015">
        <f>SUM(D11)</f>
        <v>8223</v>
      </c>
      <c r="E12" s="2016">
        <f>SUM(E11)</f>
        <v>8032</v>
      </c>
      <c r="F12" s="2016">
        <f t="shared" ref="F12:H12" si="0">SUM(F11)</f>
        <v>60000</v>
      </c>
      <c r="G12" s="2016">
        <f t="shared" si="0"/>
        <v>60000</v>
      </c>
      <c r="H12" s="2017">
        <f t="shared" si="0"/>
        <v>60000</v>
      </c>
    </row>
    <row r="13" spans="2:8" ht="24.75" customHeight="1" x14ac:dyDescent="0.25">
      <c r="B13" s="1279"/>
      <c r="C13" s="2013" t="s">
        <v>298</v>
      </c>
      <c r="D13" s="1247"/>
      <c r="E13" s="1248"/>
      <c r="F13" s="1249"/>
      <c r="G13" s="1250"/>
      <c r="H13" s="1251"/>
    </row>
    <row r="14" spans="2:8" ht="24.75" customHeight="1" x14ac:dyDescent="0.25">
      <c r="B14" s="101"/>
      <c r="C14" s="1265" t="s">
        <v>229</v>
      </c>
      <c r="D14" s="1253">
        <v>70828</v>
      </c>
      <c r="E14" s="1254">
        <v>36529</v>
      </c>
      <c r="F14" s="369">
        <v>70000</v>
      </c>
      <c r="G14" s="1254">
        <v>100000</v>
      </c>
      <c r="H14" s="1255">
        <v>100000</v>
      </c>
    </row>
    <row r="15" spans="2:8" ht="24.75" customHeight="1" thickBot="1" x14ac:dyDescent="0.3">
      <c r="B15" s="1256"/>
      <c r="C15" s="1257" t="s">
        <v>814</v>
      </c>
      <c r="D15" s="1258">
        <f>SUM(D14:D14)</f>
        <v>70828</v>
      </c>
      <c r="E15" s="1259">
        <f>SUM(E14:E14)</f>
        <v>36529</v>
      </c>
      <c r="F15" s="1260">
        <f>SUM(F14:F14)</f>
        <v>70000</v>
      </c>
      <c r="G15" s="1259">
        <f>SUM(G14:G14)</f>
        <v>100000</v>
      </c>
      <c r="H15" s="1261">
        <f>SUM(H14:H14)</f>
        <v>100000</v>
      </c>
    </row>
    <row r="16" spans="2:8" ht="24.75" customHeight="1" x14ac:dyDescent="0.25">
      <c r="B16" s="1245"/>
      <c r="C16" s="1246" t="s">
        <v>302</v>
      </c>
      <c r="D16" s="1262"/>
      <c r="E16" s="2019"/>
      <c r="F16" s="1248"/>
      <c r="G16" s="2021"/>
      <c r="H16" s="2022"/>
    </row>
    <row r="17" spans="2:8" ht="24.75" customHeight="1" x14ac:dyDescent="0.25">
      <c r="B17" s="101"/>
      <c r="C17" s="1265" t="s">
        <v>815</v>
      </c>
      <c r="D17" s="1253">
        <v>34804</v>
      </c>
      <c r="E17" s="2020">
        <v>4635</v>
      </c>
      <c r="F17" s="1254">
        <v>40000</v>
      </c>
      <c r="G17" s="2020">
        <v>10000</v>
      </c>
      <c r="H17" s="2023">
        <v>10000</v>
      </c>
    </row>
    <row r="18" spans="2:8" ht="24.75" customHeight="1" thickBot="1" x14ac:dyDescent="0.3">
      <c r="B18" s="1256"/>
      <c r="C18" s="1257"/>
      <c r="D18" s="1258">
        <f>SUM(D17)</f>
        <v>34804</v>
      </c>
      <c r="E18" s="2018">
        <f t="shared" ref="E18:H18" si="1">SUM(E17)</f>
        <v>4635</v>
      </c>
      <c r="F18" s="1259">
        <f t="shared" si="1"/>
        <v>40000</v>
      </c>
      <c r="G18" s="2018">
        <f t="shared" si="1"/>
        <v>10000</v>
      </c>
      <c r="H18" s="2024">
        <f t="shared" si="1"/>
        <v>10000</v>
      </c>
    </row>
    <row r="19" spans="2:8" ht="24.75" customHeight="1" x14ac:dyDescent="0.25">
      <c r="B19" s="1245"/>
      <c r="C19" s="1266" t="s">
        <v>309</v>
      </c>
      <c r="D19" s="1267"/>
      <c r="E19" s="1268"/>
      <c r="F19" s="1269"/>
      <c r="G19" s="1270"/>
      <c r="H19" s="1271"/>
    </row>
    <row r="20" spans="2:8" ht="24.75" customHeight="1" x14ac:dyDescent="0.25">
      <c r="B20" s="101"/>
      <c r="C20" s="1272" t="s">
        <v>816</v>
      </c>
      <c r="D20" s="1273">
        <v>823122</v>
      </c>
      <c r="E20" s="1274">
        <v>408771</v>
      </c>
      <c r="F20" s="1275">
        <v>1020000</v>
      </c>
      <c r="G20" s="1274">
        <v>520000</v>
      </c>
      <c r="H20" s="1276">
        <v>520000</v>
      </c>
    </row>
    <row r="21" spans="2:8" ht="24.75" customHeight="1" x14ac:dyDescent="0.25">
      <c r="B21" s="1277"/>
      <c r="C21" s="1272" t="s">
        <v>178</v>
      </c>
      <c r="D21" s="1273">
        <v>171290</v>
      </c>
      <c r="E21" s="1274">
        <v>64195</v>
      </c>
      <c r="F21" s="1275">
        <v>155650</v>
      </c>
      <c r="G21" s="1274">
        <v>155650</v>
      </c>
      <c r="H21" s="1276">
        <v>155650</v>
      </c>
    </row>
    <row r="22" spans="2:8" ht="24.75" customHeight="1" thickBot="1" x14ac:dyDescent="0.3">
      <c r="B22" s="1256"/>
      <c r="C22" s="1278" t="s">
        <v>817</v>
      </c>
      <c r="D22" s="1258">
        <f>SUM(D20:D21)</f>
        <v>994412</v>
      </c>
      <c r="E22" s="1259">
        <f>SUM(E20:E21)</f>
        <v>472966</v>
      </c>
      <c r="F22" s="1260">
        <f>SUM(F20:F21)</f>
        <v>1175650</v>
      </c>
      <c r="G22" s="1259">
        <f>SUM(G20:G21)</f>
        <v>675650</v>
      </c>
      <c r="H22" s="1261">
        <f>SUM(H20:H21)</f>
        <v>675650</v>
      </c>
    </row>
    <row r="23" spans="2:8" ht="24.75" customHeight="1" x14ac:dyDescent="0.25">
      <c r="B23" s="1279"/>
      <c r="C23" s="1280" t="s">
        <v>97</v>
      </c>
      <c r="D23" s="1262"/>
      <c r="E23" s="1263"/>
      <c r="F23" s="1264"/>
      <c r="G23" s="1254"/>
      <c r="H23" s="1255"/>
    </row>
    <row r="24" spans="2:8" ht="24.75" customHeight="1" x14ac:dyDescent="0.25">
      <c r="B24" s="101"/>
      <c r="C24" s="1281" t="s">
        <v>97</v>
      </c>
      <c r="D24" s="1282">
        <v>26105</v>
      </c>
      <c r="E24" s="1283">
        <v>22536</v>
      </c>
      <c r="F24" s="1284">
        <v>10000</v>
      </c>
      <c r="G24" s="1283">
        <v>10000</v>
      </c>
      <c r="H24" s="1285">
        <v>10000</v>
      </c>
    </row>
    <row r="25" spans="2:8" ht="24.75" customHeight="1" thickBot="1" x14ac:dyDescent="0.3">
      <c r="B25" s="1256"/>
      <c r="C25" s="1286"/>
      <c r="D25" s="1258">
        <f>SUM(D24)</f>
        <v>26105</v>
      </c>
      <c r="E25" s="1259">
        <f>SUM(E24)</f>
        <v>22536</v>
      </c>
      <c r="F25" s="1260">
        <f>SUM(F24)</f>
        <v>10000</v>
      </c>
      <c r="G25" s="1259">
        <f>SUM(G24)</f>
        <v>10000</v>
      </c>
      <c r="H25" s="1261">
        <f>SUM(H24)</f>
        <v>10000</v>
      </c>
    </row>
    <row r="26" spans="2:8" ht="24.75" customHeight="1" thickBot="1" x14ac:dyDescent="0.3">
      <c r="B26" s="1287"/>
      <c r="C26" s="1288" t="s">
        <v>679</v>
      </c>
      <c r="D26" s="1289">
        <f>+D9+D12+D15+D18+D22+D25</f>
        <v>1184372</v>
      </c>
      <c r="E26" s="1289">
        <f t="shared" ref="E26:H26" si="2">+E9+E12+E15+E18+E22+E25</f>
        <v>544698</v>
      </c>
      <c r="F26" s="1289">
        <f t="shared" si="2"/>
        <v>1405650</v>
      </c>
      <c r="G26" s="1289">
        <f t="shared" si="2"/>
        <v>1005650</v>
      </c>
      <c r="H26" s="2004">
        <f t="shared" si="2"/>
        <v>855650</v>
      </c>
    </row>
    <row r="27" spans="2:8" ht="24.75" customHeight="1" x14ac:dyDescent="0.25">
      <c r="B27" s="1290"/>
      <c r="C27" s="1246"/>
      <c r="D27" s="1291"/>
      <c r="E27" s="1291"/>
      <c r="F27" s="1291"/>
      <c r="G27" s="1291"/>
      <c r="H27" s="1291"/>
    </row>
    <row r="28" spans="2:8" ht="21.75" customHeight="1" x14ac:dyDescent="0.25">
      <c r="C28" s="1292" t="s">
        <v>818</v>
      </c>
    </row>
    <row r="29" spans="2:8" s="1293" customFormat="1" ht="18.95" customHeight="1" x14ac:dyDescent="0.25">
      <c r="C29" s="810" t="s">
        <v>819</v>
      </c>
    </row>
    <row r="30" spans="2:8" s="1293" customFormat="1" ht="18.95" customHeight="1" x14ac:dyDescent="0.25">
      <c r="C30" s="810" t="s">
        <v>1292</v>
      </c>
    </row>
    <row r="31" spans="2:8" s="1293" customFormat="1" ht="18.95" customHeight="1" x14ac:dyDescent="0.25">
      <c r="C31" s="1293" t="s">
        <v>820</v>
      </c>
    </row>
    <row r="32" spans="2:8" ht="18.95" customHeight="1" x14ac:dyDescent="0.2"/>
    <row r="33" ht="18.95" customHeight="1" x14ac:dyDescent="0.2"/>
    <row r="34" ht="18.95" customHeight="1" x14ac:dyDescent="0.2"/>
    <row r="35" ht="18.95" customHeight="1" x14ac:dyDescent="0.2"/>
  </sheetData>
  <mergeCells count="4">
    <mergeCell ref="B1:H1"/>
    <mergeCell ref="B2:H2"/>
    <mergeCell ref="B3:H3"/>
    <mergeCell ref="B5:C5"/>
  </mergeCells>
  <printOptions horizontalCentered="1" verticalCentered="1"/>
  <pageMargins left="0.19685039370078741" right="0.19685039370078741" top="0.19685039370078741" bottom="0.19685039370078741" header="0.51181102362204722" footer="0.39370078740157483"/>
  <pageSetup paperSize="9" scale="60" orientation="portrait" r:id="rId1"/>
  <headerFooter alignWithMargins="0">
    <oddHeader xml:space="preserve">&amp;C
&amp;R&amp;"Arial CE,Normál"&amp;18 &amp;"Arial CE,Félkövér"&amp;14 22. melléklet a …../2019. (…….) önkormányzati rendelethez&amp;"Arial CE,Normál"&amp;18
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4:K139"/>
  <sheetViews>
    <sheetView zoomScale="85" zoomScaleNormal="85" zoomScaleSheetLayoutView="80" workbookViewId="0">
      <selection activeCell="F6" sqref="F6"/>
    </sheetView>
  </sheetViews>
  <sheetFormatPr defaultColWidth="10.6640625" defaultRowHeight="12.75" x14ac:dyDescent="0.2"/>
  <cols>
    <col min="1" max="1" width="4.6640625" style="1294" customWidth="1"/>
    <col min="2" max="2" width="9.33203125" style="1372" customWidth="1"/>
    <col min="3" max="3" width="10.6640625" style="1294" customWidth="1"/>
    <col min="4" max="4" width="57.33203125" style="1294" customWidth="1"/>
    <col min="5" max="5" width="27.33203125" style="1294" customWidth="1"/>
    <col min="6" max="7" width="30.6640625" style="1294" customWidth="1"/>
    <col min="8" max="8" width="10.6640625" style="1294"/>
    <col min="9" max="9" width="18.33203125" style="1294" customWidth="1"/>
    <col min="10" max="16384" width="10.6640625" style="1294"/>
  </cols>
  <sheetData>
    <row r="4" spans="2:11" ht="17.25" customHeight="1" x14ac:dyDescent="0.25">
      <c r="B4" s="2738" t="s">
        <v>1252</v>
      </c>
      <c r="C4" s="2738"/>
      <c r="D4" s="2738"/>
      <c r="E4" s="2738"/>
      <c r="F4" s="2738"/>
      <c r="G4" s="2738"/>
    </row>
    <row r="5" spans="2:11" s="1295" customFormat="1" ht="18.75" x14ac:dyDescent="0.3">
      <c r="B5" s="2739" t="s">
        <v>821</v>
      </c>
      <c r="C5" s="2739"/>
      <c r="D5" s="2739"/>
      <c r="E5" s="2739"/>
      <c r="F5" s="2740"/>
      <c r="G5" s="2740"/>
    </row>
    <row r="6" spans="2:11" s="1295" customFormat="1" ht="16.5" thickBot="1" x14ac:dyDescent="0.3">
      <c r="B6" s="1296"/>
      <c r="C6" s="1296"/>
      <c r="D6" s="1296"/>
      <c r="E6" s="1296"/>
      <c r="F6" s="14"/>
      <c r="G6" s="14" t="s">
        <v>34</v>
      </c>
    </row>
    <row r="7" spans="2:11" s="1295" customFormat="1" ht="20.25" customHeight="1" x14ac:dyDescent="0.25">
      <c r="B7" s="1297"/>
      <c r="C7" s="2741" t="s">
        <v>51</v>
      </c>
      <c r="D7" s="2742"/>
      <c r="E7" s="1298"/>
      <c r="F7" s="1299" t="s">
        <v>810</v>
      </c>
      <c r="G7" s="1299" t="s">
        <v>1250</v>
      </c>
    </row>
    <row r="8" spans="2:11" s="1295" customFormat="1" ht="16.5" customHeight="1" x14ac:dyDescent="0.25">
      <c r="B8" s="1300"/>
      <c r="C8" s="1300"/>
      <c r="D8" s="1301"/>
      <c r="E8" s="1302"/>
      <c r="F8" s="1303" t="s">
        <v>823</v>
      </c>
      <c r="G8" s="1303" t="s">
        <v>823</v>
      </c>
    </row>
    <row r="9" spans="2:11" s="1295" customFormat="1" ht="16.5" customHeight="1" thickBot="1" x14ac:dyDescent="0.3">
      <c r="B9" s="1304"/>
      <c r="C9" s="1304"/>
      <c r="D9" s="1305"/>
      <c r="E9" s="1306"/>
      <c r="F9" s="1307" t="s">
        <v>824</v>
      </c>
      <c r="G9" s="1307" t="s">
        <v>1251</v>
      </c>
    </row>
    <row r="10" spans="2:11" s="1295" customFormat="1" ht="16.5" customHeight="1" x14ac:dyDescent="0.25">
      <c r="B10" s="1300"/>
      <c r="C10" s="1300"/>
      <c r="D10" s="1301"/>
      <c r="E10" s="1302"/>
      <c r="F10" s="1308"/>
      <c r="G10" s="1308"/>
    </row>
    <row r="11" spans="2:11" s="1295" customFormat="1" ht="14.25" customHeight="1" x14ac:dyDescent="0.2">
      <c r="B11" s="1309"/>
      <c r="C11" s="1310" t="s">
        <v>825</v>
      </c>
      <c r="D11" s="1311"/>
      <c r="E11" s="1312" t="s">
        <v>826</v>
      </c>
      <c r="F11" s="1313">
        <v>26070</v>
      </c>
      <c r="G11" s="1313">
        <f>15972-1</f>
        <v>15971</v>
      </c>
    </row>
    <row r="12" spans="2:11" s="1295" customFormat="1" ht="15" x14ac:dyDescent="0.2">
      <c r="B12" s="1309"/>
      <c r="C12" s="1310"/>
      <c r="D12" s="1311"/>
      <c r="E12" s="1312" t="s">
        <v>827</v>
      </c>
      <c r="F12" s="1313">
        <v>19668</v>
      </c>
      <c r="G12" s="1313">
        <v>10705</v>
      </c>
    </row>
    <row r="13" spans="2:11" s="1295" customFormat="1" ht="16.5" customHeight="1" x14ac:dyDescent="0.25">
      <c r="B13" s="1314" t="s">
        <v>828</v>
      </c>
      <c r="C13" s="1315" t="s">
        <v>825</v>
      </c>
      <c r="D13" s="1316"/>
      <c r="E13" s="1317" t="s">
        <v>829</v>
      </c>
      <c r="F13" s="1318">
        <f>SUM(F11:F12)</f>
        <v>45738</v>
      </c>
      <c r="G13" s="1318">
        <f>SUM(G11:G12)</f>
        <v>26676</v>
      </c>
      <c r="I13" s="1295">
        <v>26677</v>
      </c>
      <c r="K13" s="2008">
        <f>+I13-G13</f>
        <v>1</v>
      </c>
    </row>
    <row r="14" spans="2:11" s="1295" customFormat="1" ht="15.6" customHeight="1" x14ac:dyDescent="0.25">
      <c r="B14" s="1319"/>
      <c r="C14" s="1320"/>
      <c r="D14" s="1321"/>
      <c r="E14" s="1302"/>
      <c r="F14" s="1322"/>
      <c r="G14" s="1322"/>
      <c r="K14" s="2008"/>
    </row>
    <row r="15" spans="2:11" s="1295" customFormat="1" ht="15" customHeight="1" x14ac:dyDescent="0.2">
      <c r="B15" s="1309"/>
      <c r="C15" s="1310" t="s">
        <v>830</v>
      </c>
      <c r="D15" s="1311"/>
      <c r="E15" s="1312" t="s">
        <v>826</v>
      </c>
      <c r="F15" s="1313">
        <v>11593</v>
      </c>
      <c r="G15" s="1313">
        <v>7929</v>
      </c>
      <c r="H15" s="1323"/>
      <c r="K15" s="2008"/>
    </row>
    <row r="16" spans="2:11" s="1295" customFormat="1" ht="15" x14ac:dyDescent="0.2">
      <c r="B16" s="1309"/>
      <c r="C16" s="1310"/>
      <c r="D16" s="1311"/>
      <c r="E16" s="1312" t="s">
        <v>827</v>
      </c>
      <c r="F16" s="1313">
        <v>752</v>
      </c>
      <c r="G16" s="1313">
        <v>0</v>
      </c>
      <c r="K16" s="2008"/>
    </row>
    <row r="17" spans="2:11" s="1295" customFormat="1" ht="16.5" customHeight="1" x14ac:dyDescent="0.25">
      <c r="B17" s="1314" t="s">
        <v>831</v>
      </c>
      <c r="C17" s="1315" t="s">
        <v>830</v>
      </c>
      <c r="D17" s="1316"/>
      <c r="E17" s="1317" t="s">
        <v>829</v>
      </c>
      <c r="F17" s="1318">
        <f>SUM(F15:F16)</f>
        <v>12345</v>
      </c>
      <c r="G17" s="1318">
        <f>SUM(G15:G16)</f>
        <v>7929</v>
      </c>
      <c r="I17" s="1295">
        <v>7929</v>
      </c>
      <c r="K17" s="2008">
        <f t="shared" ref="K17:K73" si="0">+I17-G17</f>
        <v>0</v>
      </c>
    </row>
    <row r="18" spans="2:11" s="1295" customFormat="1" ht="15.6" customHeight="1" x14ac:dyDescent="0.25">
      <c r="B18" s="1319"/>
      <c r="C18" s="1320"/>
      <c r="D18" s="1321"/>
      <c r="E18" s="1302"/>
      <c r="F18" s="1322"/>
      <c r="G18" s="1322"/>
      <c r="K18" s="2008"/>
    </row>
    <row r="19" spans="2:11" s="1295" customFormat="1" ht="15" x14ac:dyDescent="0.2">
      <c r="B19" s="1309"/>
      <c r="C19" s="1324" t="s">
        <v>832</v>
      </c>
      <c r="D19" s="1311"/>
      <c r="E19" s="1312" t="s">
        <v>826</v>
      </c>
      <c r="F19" s="1313">
        <f>+F11+F15</f>
        <v>37663</v>
      </c>
      <c r="G19" s="1313">
        <f>+G11+G15</f>
        <v>23900</v>
      </c>
      <c r="K19" s="2008"/>
    </row>
    <row r="20" spans="2:11" s="1295" customFormat="1" ht="15" x14ac:dyDescent="0.2">
      <c r="B20" s="1309"/>
      <c r="C20" s="1310"/>
      <c r="D20" s="1311"/>
      <c r="E20" s="1312" t="s">
        <v>827</v>
      </c>
      <c r="F20" s="1313">
        <f>+F12+F16</f>
        <v>20420</v>
      </c>
      <c r="G20" s="1313">
        <f>+G12+G16</f>
        <v>10705</v>
      </c>
      <c r="K20" s="2008"/>
    </row>
    <row r="21" spans="2:11" s="1295" customFormat="1" ht="16.5" customHeight="1" thickBot="1" x14ac:dyDescent="0.3">
      <c r="B21" s="1325" t="s">
        <v>833</v>
      </c>
      <c r="C21" s="1326" t="s">
        <v>834</v>
      </c>
      <c r="D21" s="1327"/>
      <c r="E21" s="1328" t="s">
        <v>829</v>
      </c>
      <c r="F21" s="1329">
        <f>SUM(F19:F20)</f>
        <v>58083</v>
      </c>
      <c r="G21" s="1329">
        <f>SUM(G19:G20)</f>
        <v>34605</v>
      </c>
      <c r="I21" s="1295">
        <v>34605</v>
      </c>
      <c r="K21" s="2008">
        <f t="shared" si="0"/>
        <v>0</v>
      </c>
    </row>
    <row r="22" spans="2:11" s="1295" customFormat="1" ht="15.6" customHeight="1" x14ac:dyDescent="0.25">
      <c r="B22" s="1319"/>
      <c r="C22" s="1320"/>
      <c r="D22" s="1321"/>
      <c r="E22" s="1320"/>
      <c r="F22" s="1330"/>
      <c r="G22" s="1330"/>
      <c r="K22" s="2008"/>
    </row>
    <row r="23" spans="2:11" s="1295" customFormat="1" ht="14.25" customHeight="1" x14ac:dyDescent="0.2">
      <c r="B23" s="1309"/>
      <c r="C23" s="1310" t="s">
        <v>835</v>
      </c>
      <c r="D23" s="1311"/>
      <c r="E23" s="1310" t="s">
        <v>826</v>
      </c>
      <c r="F23" s="1331">
        <v>5387706</v>
      </c>
      <c r="G23" s="1331">
        <v>5378132</v>
      </c>
      <c r="K23" s="2008"/>
    </row>
    <row r="24" spans="2:11" s="1295" customFormat="1" ht="15" x14ac:dyDescent="0.2">
      <c r="B24" s="1309"/>
      <c r="C24" s="1310"/>
      <c r="D24" s="1311"/>
      <c r="E24" s="1310" t="s">
        <v>827</v>
      </c>
      <c r="F24" s="1331">
        <v>59888597</v>
      </c>
      <c r="G24" s="1331">
        <v>59412609</v>
      </c>
      <c r="K24" s="2008"/>
    </row>
    <row r="25" spans="2:11" s="1295" customFormat="1" ht="16.5" customHeight="1" x14ac:dyDescent="0.25">
      <c r="B25" s="1314" t="s">
        <v>836</v>
      </c>
      <c r="C25" s="1315" t="s">
        <v>837</v>
      </c>
      <c r="D25" s="1316"/>
      <c r="E25" s="1315" t="s">
        <v>829</v>
      </c>
      <c r="F25" s="1332">
        <f>SUM(F23:F24)</f>
        <v>65276303</v>
      </c>
      <c r="G25" s="1332">
        <f>SUM(G23:G24)</f>
        <v>64790741</v>
      </c>
      <c r="I25" s="1295">
        <v>64790741</v>
      </c>
      <c r="K25" s="2008">
        <f t="shared" si="0"/>
        <v>0</v>
      </c>
    </row>
    <row r="26" spans="2:11" s="1295" customFormat="1" ht="15.6" customHeight="1" x14ac:dyDescent="0.25">
      <c r="B26" s="1319"/>
      <c r="C26" s="1320"/>
      <c r="D26" s="1321"/>
      <c r="E26" s="1320"/>
      <c r="F26" s="1333"/>
      <c r="G26" s="1333"/>
      <c r="K26" s="2008"/>
    </row>
    <row r="27" spans="2:11" s="1295" customFormat="1" ht="15" customHeight="1" x14ac:dyDescent="0.2">
      <c r="B27" s="1309"/>
      <c r="C27" s="1310" t="s">
        <v>838</v>
      </c>
      <c r="D27" s="1311"/>
      <c r="E27" s="1310" t="s">
        <v>826</v>
      </c>
      <c r="F27" s="1331">
        <v>356316</v>
      </c>
      <c r="G27" s="1331">
        <v>340164</v>
      </c>
      <c r="K27" s="2008"/>
    </row>
    <row r="28" spans="2:11" s="1295" customFormat="1" ht="15" x14ac:dyDescent="0.2">
      <c r="B28" s="1309"/>
      <c r="C28" s="1310"/>
      <c r="D28" s="1311"/>
      <c r="E28" s="1310" t="s">
        <v>827</v>
      </c>
      <c r="F28" s="1331">
        <v>1197367</v>
      </c>
      <c r="G28" s="1331">
        <v>1202703</v>
      </c>
      <c r="K28" s="2008"/>
    </row>
    <row r="29" spans="2:11" s="1295" customFormat="1" ht="17.25" customHeight="1" x14ac:dyDescent="0.25">
      <c r="B29" s="1314" t="s">
        <v>839</v>
      </c>
      <c r="C29" s="1315" t="s">
        <v>838</v>
      </c>
      <c r="D29" s="1316"/>
      <c r="E29" s="1315" t="s">
        <v>829</v>
      </c>
      <c r="F29" s="1332">
        <f>SUM(F27:F28)</f>
        <v>1553683</v>
      </c>
      <c r="G29" s="1332">
        <f>SUM(G27:G28)</f>
        <v>1542867</v>
      </c>
      <c r="I29" s="1295">
        <v>1542867</v>
      </c>
      <c r="K29" s="2008">
        <f t="shared" si="0"/>
        <v>0</v>
      </c>
    </row>
    <row r="30" spans="2:11" s="1295" customFormat="1" ht="15.6" customHeight="1" x14ac:dyDescent="0.25">
      <c r="B30" s="1319"/>
      <c r="C30" s="1320"/>
      <c r="D30" s="1321"/>
      <c r="E30" s="1320"/>
      <c r="F30" s="1333"/>
      <c r="G30" s="1333"/>
      <c r="K30" s="2008"/>
    </row>
    <row r="31" spans="2:11" s="1295" customFormat="1" ht="15" x14ac:dyDescent="0.2">
      <c r="B31" s="1309"/>
      <c r="C31" s="1310" t="s">
        <v>840</v>
      </c>
      <c r="D31" s="1311"/>
      <c r="E31" s="1310" t="s">
        <v>826</v>
      </c>
      <c r="F31" s="1331">
        <v>0</v>
      </c>
      <c r="G31" s="1331">
        <v>0</v>
      </c>
      <c r="K31" s="2008"/>
    </row>
    <row r="32" spans="2:11" s="1295" customFormat="1" ht="15" x14ac:dyDescent="0.2">
      <c r="B32" s="1309"/>
      <c r="C32" s="1310"/>
      <c r="D32" s="1311"/>
      <c r="E32" s="1310" t="s">
        <v>827</v>
      </c>
      <c r="F32" s="1331">
        <v>0</v>
      </c>
      <c r="G32" s="1331"/>
      <c r="K32" s="2008"/>
    </row>
    <row r="33" spans="2:11" s="1295" customFormat="1" ht="16.5" customHeight="1" x14ac:dyDescent="0.25">
      <c r="B33" s="1314" t="s">
        <v>841</v>
      </c>
      <c r="C33" s="1315" t="s">
        <v>840</v>
      </c>
      <c r="D33" s="1316"/>
      <c r="E33" s="1315" t="s">
        <v>829</v>
      </c>
      <c r="F33" s="1332">
        <f>SUM(F31:F32)</f>
        <v>0</v>
      </c>
      <c r="G33" s="1332">
        <f>SUM(G31:G32)</f>
        <v>0</v>
      </c>
      <c r="I33" s="1295">
        <v>0</v>
      </c>
      <c r="K33" s="2008">
        <f t="shared" si="0"/>
        <v>0</v>
      </c>
    </row>
    <row r="34" spans="2:11" s="1295" customFormat="1" ht="15.6" customHeight="1" x14ac:dyDescent="0.25">
      <c r="B34" s="1319"/>
      <c r="C34" s="1320"/>
      <c r="D34" s="1321"/>
      <c r="E34" s="1320"/>
      <c r="F34" s="1333"/>
      <c r="G34" s="1333"/>
      <c r="K34" s="2008"/>
    </row>
    <row r="35" spans="2:11" s="1295" customFormat="1" ht="15" x14ac:dyDescent="0.2">
      <c r="B35" s="1309"/>
      <c r="C35" s="1310" t="s">
        <v>842</v>
      </c>
      <c r="D35" s="1311"/>
      <c r="E35" s="1310" t="s">
        <v>826</v>
      </c>
      <c r="F35" s="1331">
        <v>42026</v>
      </c>
      <c r="G35" s="1331">
        <v>46282</v>
      </c>
      <c r="K35" s="2008"/>
    </row>
    <row r="36" spans="2:11" s="1295" customFormat="1" ht="15" x14ac:dyDescent="0.2">
      <c r="B36" s="1309"/>
      <c r="C36" s="1310"/>
      <c r="D36" s="1311"/>
      <c r="E36" s="1310" t="s">
        <v>827</v>
      </c>
      <c r="F36" s="1331">
        <v>1739559</v>
      </c>
      <c r="G36" s="1331">
        <v>3322266</v>
      </c>
      <c r="K36" s="2008"/>
    </row>
    <row r="37" spans="2:11" s="1295" customFormat="1" ht="16.5" customHeight="1" x14ac:dyDescent="0.25">
      <c r="B37" s="1314" t="s">
        <v>843</v>
      </c>
      <c r="C37" s="1315" t="s">
        <v>309</v>
      </c>
      <c r="D37" s="1316"/>
      <c r="E37" s="1315" t="s">
        <v>829</v>
      </c>
      <c r="F37" s="1332">
        <f>SUM(F35:F36)</f>
        <v>1781585</v>
      </c>
      <c r="G37" s="1332">
        <f>SUM(G35:G36)</f>
        <v>3368548</v>
      </c>
      <c r="I37" s="1295">
        <v>3368548</v>
      </c>
      <c r="K37" s="2008">
        <f t="shared" si="0"/>
        <v>0</v>
      </c>
    </row>
    <row r="38" spans="2:11" s="1295" customFormat="1" ht="15.6" customHeight="1" x14ac:dyDescent="0.25">
      <c r="B38" s="1319"/>
      <c r="C38" s="1320"/>
      <c r="D38" s="1321"/>
      <c r="E38" s="1320"/>
      <c r="F38" s="1333"/>
      <c r="G38" s="1333"/>
      <c r="K38" s="2008"/>
    </row>
    <row r="39" spans="2:11" s="1295" customFormat="1" ht="15" customHeight="1" x14ac:dyDescent="0.2">
      <c r="B39" s="1309"/>
      <c r="C39" s="1324" t="s">
        <v>844</v>
      </c>
      <c r="D39" s="1311"/>
      <c r="E39" s="1310" t="s">
        <v>826</v>
      </c>
      <c r="F39" s="1331">
        <f>F23+F27+F35+F31</f>
        <v>5786048</v>
      </c>
      <c r="G39" s="1331">
        <f>G23+G27+G35+G31</f>
        <v>5764578</v>
      </c>
      <c r="K39" s="2008"/>
    </row>
    <row r="40" spans="2:11" s="1295" customFormat="1" ht="15" x14ac:dyDescent="0.2">
      <c r="B40" s="1309"/>
      <c r="C40" s="1310"/>
      <c r="D40" s="1311"/>
      <c r="E40" s="1310" t="s">
        <v>827</v>
      </c>
      <c r="F40" s="1331">
        <f>F24+F28+F36+F32</f>
        <v>62825523</v>
      </c>
      <c r="G40" s="1331">
        <f>G24+G28+G36+G32</f>
        <v>63937578</v>
      </c>
      <c r="K40" s="2008"/>
    </row>
    <row r="41" spans="2:11" s="1295" customFormat="1" ht="16.5" customHeight="1" thickBot="1" x14ac:dyDescent="0.3">
      <c r="B41" s="1325" t="s">
        <v>845</v>
      </c>
      <c r="C41" s="1326" t="s">
        <v>844</v>
      </c>
      <c r="D41" s="1327"/>
      <c r="E41" s="1326" t="s">
        <v>829</v>
      </c>
      <c r="F41" s="1334">
        <f>SUM(F39:F40)</f>
        <v>68611571</v>
      </c>
      <c r="G41" s="1334">
        <f>SUM(G39:G40)</f>
        <v>69702156</v>
      </c>
      <c r="I41" s="1295">
        <v>69702156</v>
      </c>
      <c r="K41" s="2008">
        <f t="shared" si="0"/>
        <v>0</v>
      </c>
    </row>
    <row r="42" spans="2:11" s="1295" customFormat="1" ht="15.6" customHeight="1" x14ac:dyDescent="0.25">
      <c r="B42" s="1319"/>
      <c r="C42" s="1320"/>
      <c r="D42" s="1321"/>
      <c r="E42" s="1302"/>
      <c r="F42" s="1335"/>
      <c r="G42" s="1335"/>
      <c r="K42" s="2008"/>
    </row>
    <row r="43" spans="2:11" s="1295" customFormat="1" ht="15" customHeight="1" x14ac:dyDescent="0.2">
      <c r="B43" s="1309"/>
      <c r="C43" s="1310" t="s">
        <v>846</v>
      </c>
      <c r="D43" s="1311"/>
      <c r="E43" s="1312" t="s">
        <v>826</v>
      </c>
      <c r="F43" s="1313">
        <v>0</v>
      </c>
      <c r="G43" s="1313">
        <v>0</v>
      </c>
      <c r="K43" s="2008"/>
    </row>
    <row r="44" spans="2:11" s="1295" customFormat="1" ht="15" x14ac:dyDescent="0.2">
      <c r="B44" s="1309"/>
      <c r="C44" s="1310"/>
      <c r="D44" s="1311"/>
      <c r="E44" s="1312" t="s">
        <v>827</v>
      </c>
      <c r="F44" s="1313">
        <v>7299516</v>
      </c>
      <c r="G44" s="1313">
        <v>6477567</v>
      </c>
      <c r="K44" s="2008"/>
    </row>
    <row r="45" spans="2:11" s="1295" customFormat="1" ht="16.5" customHeight="1" x14ac:dyDescent="0.25">
      <c r="B45" s="1314" t="s">
        <v>847</v>
      </c>
      <c r="C45" s="1315" t="s">
        <v>848</v>
      </c>
      <c r="D45" s="1316"/>
      <c r="E45" s="1317" t="s">
        <v>829</v>
      </c>
      <c r="F45" s="1318">
        <f>SUM(F43:F44)</f>
        <v>7299516</v>
      </c>
      <c r="G45" s="1318">
        <f>SUM(G43:G44)</f>
        <v>6477567</v>
      </c>
      <c r="I45" s="1295">
        <v>6477567</v>
      </c>
      <c r="K45" s="2008">
        <f t="shared" si="0"/>
        <v>0</v>
      </c>
    </row>
    <row r="46" spans="2:11" s="1295" customFormat="1" ht="15.6" customHeight="1" x14ac:dyDescent="0.25">
      <c r="B46" s="1319"/>
      <c r="C46" s="1320"/>
      <c r="D46" s="1321"/>
      <c r="E46" s="1302"/>
      <c r="F46" s="1322"/>
      <c r="G46" s="1322"/>
      <c r="K46" s="2008"/>
    </row>
    <row r="47" spans="2:11" s="1295" customFormat="1" ht="15.75" customHeight="1" x14ac:dyDescent="0.2">
      <c r="B47" s="1309"/>
      <c r="C47" s="1310" t="s">
        <v>849</v>
      </c>
      <c r="D47" s="1311"/>
      <c r="E47" s="1312" t="s">
        <v>826</v>
      </c>
      <c r="F47" s="1313">
        <v>0</v>
      </c>
      <c r="G47" s="1313">
        <v>0</v>
      </c>
      <c r="K47" s="2008"/>
    </row>
    <row r="48" spans="2:11" s="1295" customFormat="1" ht="15" x14ac:dyDescent="0.2">
      <c r="B48" s="1309"/>
      <c r="C48" s="1310"/>
      <c r="D48" s="1311"/>
      <c r="E48" s="1312" t="s">
        <v>827</v>
      </c>
      <c r="F48" s="1313">
        <v>0</v>
      </c>
      <c r="G48" s="1313">
        <v>0</v>
      </c>
      <c r="K48" s="2008"/>
    </row>
    <row r="49" spans="2:11" s="1295" customFormat="1" ht="16.5" customHeight="1" x14ac:dyDescent="0.25">
      <c r="B49" s="1314" t="s">
        <v>850</v>
      </c>
      <c r="C49" s="1315" t="s">
        <v>849</v>
      </c>
      <c r="D49" s="1316"/>
      <c r="E49" s="1317" t="s">
        <v>829</v>
      </c>
      <c r="F49" s="1332">
        <f>SUM(F48:F48)</f>
        <v>0</v>
      </c>
      <c r="G49" s="1332">
        <f>SUM(G48:G48)</f>
        <v>0</v>
      </c>
      <c r="K49" s="2008">
        <f t="shared" si="0"/>
        <v>0</v>
      </c>
    </row>
    <row r="50" spans="2:11" s="1295" customFormat="1" ht="15.6" customHeight="1" x14ac:dyDescent="0.25">
      <c r="B50" s="1319"/>
      <c r="C50" s="1320"/>
      <c r="D50" s="1321"/>
      <c r="E50" s="1302"/>
      <c r="F50" s="1333"/>
      <c r="G50" s="1333"/>
      <c r="K50" s="2008"/>
    </row>
    <row r="51" spans="2:11" s="1295" customFormat="1" ht="15.75" customHeight="1" x14ac:dyDescent="0.2">
      <c r="B51" s="1309"/>
      <c r="C51" s="1324" t="s">
        <v>851</v>
      </c>
      <c r="D51" s="1311"/>
      <c r="E51" s="1312" t="s">
        <v>826</v>
      </c>
      <c r="F51" s="1331">
        <f>F43+F47</f>
        <v>0</v>
      </c>
      <c r="G51" s="1331">
        <f>G43+G47</f>
        <v>0</v>
      </c>
      <c r="K51" s="2008"/>
    </row>
    <row r="52" spans="2:11" s="1295" customFormat="1" ht="15.75" x14ac:dyDescent="0.25">
      <c r="B52" s="1309"/>
      <c r="C52" s="1320"/>
      <c r="D52" s="1311"/>
      <c r="E52" s="1312" t="s">
        <v>827</v>
      </c>
      <c r="F52" s="1331">
        <f>F44+F48</f>
        <v>7299516</v>
      </c>
      <c r="G52" s="1331">
        <f>G44+G48</f>
        <v>6477567</v>
      </c>
      <c r="K52" s="2008"/>
    </row>
    <row r="53" spans="2:11" s="1295" customFormat="1" ht="16.5" customHeight="1" thickBot="1" x14ac:dyDescent="0.3">
      <c r="B53" s="1325" t="s">
        <v>852</v>
      </c>
      <c r="C53" s="1326" t="s">
        <v>851</v>
      </c>
      <c r="D53" s="1327"/>
      <c r="E53" s="1328" t="s">
        <v>829</v>
      </c>
      <c r="F53" s="1334">
        <f>SUM(F51:F52)</f>
        <v>7299516</v>
      </c>
      <c r="G53" s="1334">
        <f>SUM(G51:G52)</f>
        <v>6477567</v>
      </c>
      <c r="I53" s="1295">
        <v>6477567</v>
      </c>
      <c r="K53" s="2008">
        <f t="shared" si="0"/>
        <v>0</v>
      </c>
    </row>
    <row r="54" spans="2:11" s="1295" customFormat="1" ht="15.6" customHeight="1" x14ac:dyDescent="0.25">
      <c r="B54" s="1319"/>
      <c r="C54" s="1320"/>
      <c r="D54" s="1321"/>
      <c r="E54" s="1302"/>
      <c r="F54" s="1322"/>
      <c r="G54" s="1322"/>
      <c r="K54" s="2008"/>
    </row>
    <row r="55" spans="2:11" s="1295" customFormat="1" ht="16.5" customHeight="1" x14ac:dyDescent="0.2">
      <c r="B55" s="1309"/>
      <c r="C55" s="1310" t="s">
        <v>853</v>
      </c>
      <c r="D55" s="1311"/>
      <c r="E55" s="1312" t="s">
        <v>826</v>
      </c>
      <c r="F55" s="1313">
        <v>0</v>
      </c>
      <c r="G55" s="1313">
        <v>0</v>
      </c>
      <c r="K55" s="2008"/>
    </row>
    <row r="56" spans="2:11" s="1295" customFormat="1" ht="15" x14ac:dyDescent="0.2">
      <c r="B56" s="1309"/>
      <c r="C56" s="1310"/>
      <c r="D56" s="1311"/>
      <c r="E56" s="1312" t="s">
        <v>827</v>
      </c>
      <c r="F56" s="1313">
        <v>811490</v>
      </c>
      <c r="G56" s="1313">
        <v>815869</v>
      </c>
      <c r="K56" s="2008"/>
    </row>
    <row r="57" spans="2:11" s="1295" customFormat="1" ht="38.25" customHeight="1" thickBot="1" x14ac:dyDescent="0.3">
      <c r="B57" s="1336" t="s">
        <v>854</v>
      </c>
      <c r="C57" s="2743" t="s">
        <v>855</v>
      </c>
      <c r="D57" s="2744"/>
      <c r="E57" s="1337" t="s">
        <v>829</v>
      </c>
      <c r="F57" s="1338">
        <f>SUM(F55:F56)</f>
        <v>811490</v>
      </c>
      <c r="G57" s="1338">
        <f>SUM(G55:G56)</f>
        <v>815869</v>
      </c>
      <c r="I57" s="1295">
        <v>815869</v>
      </c>
      <c r="K57" s="2008">
        <f t="shared" si="0"/>
        <v>0</v>
      </c>
    </row>
    <row r="58" spans="2:11" s="1295" customFormat="1" ht="15.6" customHeight="1" x14ac:dyDescent="0.25">
      <c r="B58" s="1339"/>
      <c r="C58" s="1340"/>
      <c r="D58" s="1341"/>
      <c r="E58" s="1298"/>
      <c r="F58" s="1330"/>
      <c r="G58" s="1330"/>
      <c r="K58" s="2008"/>
    </row>
    <row r="59" spans="2:11" s="1295" customFormat="1" ht="15" customHeight="1" x14ac:dyDescent="0.25">
      <c r="B59" s="1309"/>
      <c r="C59" s="2731" t="s">
        <v>856</v>
      </c>
      <c r="D59" s="2745"/>
      <c r="E59" s="1312" t="s">
        <v>826</v>
      </c>
      <c r="F59" s="1331">
        <f>+F19+F39+F51+F55</f>
        <v>5823711</v>
      </c>
      <c r="G59" s="1331">
        <f>+G19+G39+G51+G55</f>
        <v>5788478</v>
      </c>
      <c r="K59" s="2008"/>
    </row>
    <row r="60" spans="2:11" s="1295" customFormat="1" ht="15.75" thickBot="1" x14ac:dyDescent="0.25">
      <c r="B60" s="1342"/>
      <c r="C60" s="1343"/>
      <c r="D60" s="1344"/>
      <c r="E60" s="1345" t="s">
        <v>827</v>
      </c>
      <c r="F60" s="1346">
        <f>+F20+F40+F52+F56</f>
        <v>70956949</v>
      </c>
      <c r="G60" s="1346">
        <f>+G20+G40+G52+G56</f>
        <v>71241719</v>
      </c>
      <c r="K60" s="2008"/>
    </row>
    <row r="61" spans="2:11" s="1295" customFormat="1" ht="39.75" customHeight="1" thickBot="1" x14ac:dyDescent="0.3">
      <c r="B61" s="1347" t="s">
        <v>857</v>
      </c>
      <c r="C61" s="2746" t="s">
        <v>856</v>
      </c>
      <c r="D61" s="2745"/>
      <c r="E61" s="1348" t="s">
        <v>829</v>
      </c>
      <c r="F61" s="1349">
        <f>SUM(F59:F60)</f>
        <v>76780660</v>
      </c>
      <c r="G61" s="1349">
        <f>SUM(G59:G60)</f>
        <v>77030197</v>
      </c>
      <c r="I61" s="1295">
        <v>77030198</v>
      </c>
      <c r="K61" s="2008">
        <f t="shared" si="0"/>
        <v>1</v>
      </c>
    </row>
    <row r="62" spans="2:11" s="1295" customFormat="1" ht="16.5" customHeight="1" x14ac:dyDescent="0.25">
      <c r="B62" s="1297"/>
      <c r="C62" s="1297"/>
      <c r="D62" s="1350"/>
      <c r="E62" s="1298"/>
      <c r="F62" s="1299"/>
      <c r="G62" s="1299"/>
      <c r="K62" s="2008"/>
    </row>
    <row r="63" spans="2:11" s="1295" customFormat="1" ht="15" customHeight="1" x14ac:dyDescent="0.2">
      <c r="B63" s="1309"/>
      <c r="C63" s="1310" t="s">
        <v>858</v>
      </c>
      <c r="D63" s="1311"/>
      <c r="E63" s="1312" t="s">
        <v>826</v>
      </c>
      <c r="F63" s="1331">
        <v>20606</v>
      </c>
      <c r="G63" s="1331">
        <v>22522</v>
      </c>
      <c r="K63" s="2008"/>
    </row>
    <row r="64" spans="2:11" s="1295" customFormat="1" ht="15" x14ac:dyDescent="0.2">
      <c r="B64" s="1351"/>
      <c r="C64" s="1310"/>
      <c r="D64" s="1311"/>
      <c r="E64" s="1312" t="s">
        <v>827</v>
      </c>
      <c r="F64" s="1331">
        <v>0</v>
      </c>
      <c r="G64" s="1331">
        <v>0</v>
      </c>
      <c r="K64" s="2008"/>
    </row>
    <row r="65" spans="2:11" s="1295" customFormat="1" ht="16.5" customHeight="1" thickBot="1" x14ac:dyDescent="0.3">
      <c r="B65" s="1352" t="s">
        <v>859</v>
      </c>
      <c r="C65" s="1326" t="s">
        <v>858</v>
      </c>
      <c r="D65" s="1327"/>
      <c r="E65" s="1328" t="s">
        <v>829</v>
      </c>
      <c r="F65" s="1334">
        <f>SUM(F63:F64)</f>
        <v>20606</v>
      </c>
      <c r="G65" s="1334">
        <f>SUM(G63:G64)</f>
        <v>22522</v>
      </c>
      <c r="I65" s="1295">
        <v>22522</v>
      </c>
      <c r="K65" s="2008">
        <f t="shared" si="0"/>
        <v>0</v>
      </c>
    </row>
    <row r="66" spans="2:11" s="1295" customFormat="1" ht="11.1" customHeight="1" x14ac:dyDescent="0.2">
      <c r="B66" s="1309"/>
      <c r="C66" s="1310"/>
      <c r="D66" s="1311"/>
      <c r="E66" s="1312"/>
      <c r="F66" s="1313"/>
      <c r="G66" s="1313"/>
      <c r="K66" s="2008"/>
    </row>
    <row r="67" spans="2:11" s="1295" customFormat="1" ht="15" x14ac:dyDescent="0.2">
      <c r="B67" s="1309"/>
      <c r="C67" s="1310" t="s">
        <v>860</v>
      </c>
      <c r="D67" s="1311"/>
      <c r="E67" s="1312" t="s">
        <v>826</v>
      </c>
      <c r="F67" s="1313">
        <v>0</v>
      </c>
      <c r="G67" s="1313">
        <v>0</v>
      </c>
      <c r="K67" s="2008"/>
    </row>
    <row r="68" spans="2:11" s="1295" customFormat="1" ht="15" x14ac:dyDescent="0.2">
      <c r="B68" s="1309"/>
      <c r="C68" s="1310"/>
      <c r="D68" s="1311"/>
      <c r="E68" s="1312" t="s">
        <v>827</v>
      </c>
      <c r="F68" s="1313">
        <v>0</v>
      </c>
      <c r="G68" s="1313"/>
      <c r="K68" s="2008"/>
    </row>
    <row r="69" spans="2:11" s="1295" customFormat="1" ht="16.5" customHeight="1" thickBot="1" x14ac:dyDescent="0.3">
      <c r="B69" s="1325" t="s">
        <v>861</v>
      </c>
      <c r="C69" s="1326" t="s">
        <v>862</v>
      </c>
      <c r="D69" s="1327"/>
      <c r="E69" s="1328" t="s">
        <v>829</v>
      </c>
      <c r="F69" s="1329">
        <f>SUM(F67:F68)</f>
        <v>0</v>
      </c>
      <c r="G69" s="1329">
        <f>SUM(G67:G68)</f>
        <v>0</v>
      </c>
      <c r="I69" s="1295">
        <v>0</v>
      </c>
      <c r="K69" s="2008">
        <f t="shared" si="0"/>
        <v>0</v>
      </c>
    </row>
    <row r="70" spans="2:11" s="1295" customFormat="1" ht="15.6" customHeight="1" x14ac:dyDescent="0.25">
      <c r="B70" s="1319"/>
      <c r="C70" s="1320"/>
      <c r="D70" s="1321"/>
      <c r="E70" s="1302"/>
      <c r="F70" s="1322"/>
      <c r="G70" s="1322"/>
      <c r="K70" s="2008"/>
    </row>
    <row r="71" spans="2:11" s="1295" customFormat="1" ht="15" x14ac:dyDescent="0.2">
      <c r="B71" s="1309"/>
      <c r="C71" s="1310" t="s">
        <v>863</v>
      </c>
      <c r="D71" s="1311"/>
      <c r="E71" s="1312" t="s">
        <v>826</v>
      </c>
      <c r="F71" s="1313">
        <f>+F63+F67</f>
        <v>20606</v>
      </c>
      <c r="G71" s="1313">
        <f>+G63+G67</f>
        <v>22522</v>
      </c>
      <c r="K71" s="2008"/>
    </row>
    <row r="72" spans="2:11" s="1295" customFormat="1" ht="15.75" thickBot="1" x14ac:dyDescent="0.25">
      <c r="B72" s="1309"/>
      <c r="C72" s="1310" t="s">
        <v>143</v>
      </c>
      <c r="D72" s="1311"/>
      <c r="E72" s="1312" t="s">
        <v>827</v>
      </c>
      <c r="F72" s="1313">
        <f>+F64+F68</f>
        <v>0</v>
      </c>
      <c r="G72" s="1313">
        <f>+G64+G68</f>
        <v>0</v>
      </c>
      <c r="K72" s="2008"/>
    </row>
    <row r="73" spans="2:11" s="1295" customFormat="1" ht="36.75" customHeight="1" thickBot="1" x14ac:dyDescent="0.3">
      <c r="B73" s="1353" t="s">
        <v>864</v>
      </c>
      <c r="C73" s="2736" t="s">
        <v>865</v>
      </c>
      <c r="D73" s="2737"/>
      <c r="E73" s="1354" t="s">
        <v>829</v>
      </c>
      <c r="F73" s="1355">
        <f>SUM(F71:F72)</f>
        <v>20606</v>
      </c>
      <c r="G73" s="1355">
        <f>SUM(G71:G72)</f>
        <v>22522</v>
      </c>
      <c r="I73" s="1295">
        <v>22522</v>
      </c>
      <c r="K73" s="2008">
        <f t="shared" si="0"/>
        <v>0</v>
      </c>
    </row>
    <row r="74" spans="2:11" s="1361" customFormat="1" ht="30" customHeight="1" x14ac:dyDescent="0.25">
      <c r="B74" s="1356"/>
      <c r="C74" s="1357"/>
      <c r="D74" s="1358"/>
      <c r="E74" s="1359"/>
      <c r="F74" s="1360"/>
      <c r="G74" s="1360"/>
      <c r="K74" s="2008"/>
    </row>
    <row r="75" spans="2:11" s="1361" customFormat="1" ht="30" customHeight="1" thickBot="1" x14ac:dyDescent="0.3">
      <c r="B75" s="1356"/>
      <c r="C75" s="1357"/>
      <c r="D75" s="1358"/>
      <c r="E75" s="1359"/>
      <c r="F75" s="1360"/>
      <c r="G75" s="1360"/>
      <c r="K75" s="2008"/>
    </row>
    <row r="76" spans="2:11" s="1295" customFormat="1" ht="20.25" customHeight="1" x14ac:dyDescent="0.25">
      <c r="B76" s="1297"/>
      <c r="C76" s="2741" t="s">
        <v>51</v>
      </c>
      <c r="D76" s="2742"/>
      <c r="E76" s="1362"/>
      <c r="F76" s="1299" t="s">
        <v>822</v>
      </c>
      <c r="G76" s="1299" t="s">
        <v>1250</v>
      </c>
      <c r="K76" s="2008"/>
    </row>
    <row r="77" spans="2:11" s="1295" customFormat="1" ht="16.5" customHeight="1" x14ac:dyDescent="0.25">
      <c r="B77" s="1300"/>
      <c r="C77" s="1300"/>
      <c r="D77" s="1301"/>
      <c r="E77" s="1363"/>
      <c r="F77" s="1303" t="s">
        <v>823</v>
      </c>
      <c r="G77" s="1303" t="s">
        <v>823</v>
      </c>
      <c r="K77" s="2008"/>
    </row>
    <row r="78" spans="2:11" s="1295" customFormat="1" ht="16.5" customHeight="1" thickBot="1" x14ac:dyDescent="0.3">
      <c r="B78" s="1304"/>
      <c r="C78" s="1304"/>
      <c r="D78" s="1305"/>
      <c r="E78" s="1364"/>
      <c r="F78" s="1307" t="s">
        <v>824</v>
      </c>
      <c r="G78" s="1307" t="s">
        <v>1251</v>
      </c>
      <c r="K78" s="2008"/>
    </row>
    <row r="79" spans="2:11" s="1295" customFormat="1" ht="15.6" customHeight="1" x14ac:dyDescent="0.25">
      <c r="B79" s="1319"/>
      <c r="C79" s="1320"/>
      <c r="D79" s="1321"/>
      <c r="E79" s="1363"/>
      <c r="F79" s="1322"/>
      <c r="G79" s="1322"/>
      <c r="K79" s="2008"/>
    </row>
    <row r="80" spans="2:11" s="1295" customFormat="1" ht="15" x14ac:dyDescent="0.2">
      <c r="B80" s="1309"/>
      <c r="C80" s="1310" t="s">
        <v>866</v>
      </c>
      <c r="D80" s="1311"/>
      <c r="E80" s="1361" t="s">
        <v>826</v>
      </c>
      <c r="F80" s="1313">
        <v>0</v>
      </c>
      <c r="G80" s="1313">
        <v>0</v>
      </c>
      <c r="K80" s="2008"/>
    </row>
    <row r="81" spans="2:11" s="1295" customFormat="1" ht="15" x14ac:dyDescent="0.2">
      <c r="B81" s="1309"/>
      <c r="C81" s="1310"/>
      <c r="D81" s="1311"/>
      <c r="E81" s="1361" t="s">
        <v>827</v>
      </c>
      <c r="F81" s="1313">
        <v>0</v>
      </c>
      <c r="G81" s="1313">
        <v>0</v>
      </c>
      <c r="K81" s="2008"/>
    </row>
    <row r="82" spans="2:11" s="1295" customFormat="1" ht="15.6" customHeight="1" x14ac:dyDescent="0.25">
      <c r="B82" s="1314" t="s">
        <v>867</v>
      </c>
      <c r="C82" s="1315" t="s">
        <v>866</v>
      </c>
      <c r="D82" s="1316"/>
      <c r="E82" s="1365" t="s">
        <v>829</v>
      </c>
      <c r="F82" s="1318">
        <f>SUM(F80:F81)</f>
        <v>0</v>
      </c>
      <c r="G82" s="1318">
        <f>SUM(G80:G81)</f>
        <v>0</v>
      </c>
      <c r="I82" s="1295">
        <v>0</v>
      </c>
      <c r="K82" s="2008">
        <f t="shared" ref="K82:K139" si="1">+I82-G82</f>
        <v>0</v>
      </c>
    </row>
    <row r="83" spans="2:11" s="1295" customFormat="1" ht="11.1" customHeight="1" x14ac:dyDescent="0.2">
      <c r="B83" s="1309"/>
      <c r="C83" s="1310"/>
      <c r="D83" s="1311"/>
      <c r="E83" s="1361"/>
      <c r="F83" s="1313"/>
      <c r="G83" s="1313"/>
      <c r="K83" s="2008"/>
    </row>
    <row r="84" spans="2:11" s="1295" customFormat="1" ht="15" x14ac:dyDescent="0.2">
      <c r="B84" s="1309"/>
      <c r="C84" s="1310" t="s">
        <v>868</v>
      </c>
      <c r="D84" s="1311"/>
      <c r="E84" s="1361" t="s">
        <v>826</v>
      </c>
      <c r="F84" s="1313">
        <v>1074</v>
      </c>
      <c r="G84" s="1313">
        <v>2461</v>
      </c>
      <c r="K84" s="2008"/>
    </row>
    <row r="85" spans="2:11" s="1295" customFormat="1" ht="15" x14ac:dyDescent="0.2">
      <c r="B85" s="1309"/>
      <c r="C85" s="1366"/>
      <c r="D85" s="1311"/>
      <c r="E85" s="1361" t="s">
        <v>827</v>
      </c>
      <c r="F85" s="1313">
        <v>95</v>
      </c>
      <c r="G85" s="1313">
        <f>57</f>
        <v>57</v>
      </c>
      <c r="K85" s="2008"/>
    </row>
    <row r="86" spans="2:11" s="1295" customFormat="1" ht="15.6" customHeight="1" x14ac:dyDescent="0.25">
      <c r="B86" s="1314" t="s">
        <v>869</v>
      </c>
      <c r="C86" s="1367" t="s">
        <v>868</v>
      </c>
      <c r="D86" s="1316"/>
      <c r="E86" s="1365" t="s">
        <v>829</v>
      </c>
      <c r="F86" s="1318">
        <f>SUM(F84:F85)</f>
        <v>1169</v>
      </c>
      <c r="G86" s="1318">
        <f>SUM(G84:G85)</f>
        <v>2518</v>
      </c>
      <c r="I86" s="1295">
        <v>2517</v>
      </c>
      <c r="K86" s="2008">
        <f t="shared" si="1"/>
        <v>-1</v>
      </c>
    </row>
    <row r="87" spans="2:11" s="1295" customFormat="1" ht="11.1" customHeight="1" x14ac:dyDescent="0.2">
      <c r="B87" s="1309"/>
      <c r="C87" s="1310"/>
      <c r="D87" s="1311"/>
      <c r="E87" s="1361"/>
      <c r="F87" s="1313"/>
      <c r="G87" s="1313"/>
      <c r="K87" s="2008"/>
    </row>
    <row r="88" spans="2:11" s="1295" customFormat="1" ht="15" x14ac:dyDescent="0.2">
      <c r="B88" s="1309"/>
      <c r="C88" s="1310" t="s">
        <v>870</v>
      </c>
      <c r="D88" s="1311"/>
      <c r="E88" s="1361" t="s">
        <v>826</v>
      </c>
      <c r="F88" s="1313">
        <v>204584</v>
      </c>
      <c r="G88" s="1313">
        <v>160526</v>
      </c>
      <c r="K88" s="2008"/>
    </row>
    <row r="89" spans="2:11" s="1295" customFormat="1" ht="15" x14ac:dyDescent="0.2">
      <c r="B89" s="1309"/>
      <c r="C89" s="1310"/>
      <c r="D89" s="1311"/>
      <c r="E89" s="1361" t="s">
        <v>827</v>
      </c>
      <c r="F89" s="1313">
        <v>8848900</v>
      </c>
      <c r="G89" s="1313">
        <v>10329849</v>
      </c>
      <c r="K89" s="2008"/>
    </row>
    <row r="90" spans="2:11" s="1295" customFormat="1" ht="15.6" customHeight="1" x14ac:dyDescent="0.25">
      <c r="B90" s="1314" t="s">
        <v>871</v>
      </c>
      <c r="C90" s="1367" t="s">
        <v>870</v>
      </c>
      <c r="D90" s="1316"/>
      <c r="E90" s="1365" t="s">
        <v>829</v>
      </c>
      <c r="F90" s="1318">
        <f>SUM(F88:F89)</f>
        <v>9053484</v>
      </c>
      <c r="G90" s="1318">
        <f>SUM(G88:G89)</f>
        <v>10490375</v>
      </c>
      <c r="I90" s="1295">
        <v>10490375</v>
      </c>
      <c r="K90" s="2008">
        <f t="shared" si="1"/>
        <v>0</v>
      </c>
    </row>
    <row r="91" spans="2:11" s="1295" customFormat="1" ht="11.1" customHeight="1" x14ac:dyDescent="0.2">
      <c r="B91" s="1309"/>
      <c r="C91" s="1310"/>
      <c r="D91" s="1311"/>
      <c r="E91" s="1361"/>
      <c r="F91" s="1313"/>
      <c r="G91" s="1313"/>
      <c r="K91" s="2008"/>
    </row>
    <row r="92" spans="2:11" s="1295" customFormat="1" ht="15" x14ac:dyDescent="0.2">
      <c r="B92" s="1309"/>
      <c r="C92" s="1310" t="s">
        <v>872</v>
      </c>
      <c r="D92" s="1311"/>
      <c r="E92" s="1361" t="s">
        <v>826</v>
      </c>
      <c r="F92" s="1313">
        <v>391</v>
      </c>
      <c r="G92" s="1313">
        <v>0</v>
      </c>
      <c r="K92" s="2008"/>
    </row>
    <row r="93" spans="2:11" s="1295" customFormat="1" ht="15" x14ac:dyDescent="0.2">
      <c r="B93" s="1309"/>
      <c r="C93" s="1310"/>
      <c r="D93" s="1311"/>
      <c r="E93" s="1361" t="s">
        <v>827</v>
      </c>
      <c r="F93" s="1313">
        <v>3985</v>
      </c>
      <c r="G93" s="1313">
        <v>25397</v>
      </c>
      <c r="K93" s="2008"/>
    </row>
    <row r="94" spans="2:11" s="1295" customFormat="1" ht="15.6" customHeight="1" x14ac:dyDescent="0.25">
      <c r="B94" s="1314" t="s">
        <v>873</v>
      </c>
      <c r="C94" s="1367" t="s">
        <v>872</v>
      </c>
      <c r="D94" s="1316"/>
      <c r="E94" s="1365" t="s">
        <v>829</v>
      </c>
      <c r="F94" s="1318">
        <f>SUM(F92:F93)</f>
        <v>4376</v>
      </c>
      <c r="G94" s="1318">
        <f>SUM(G92:G93)</f>
        <v>25397</v>
      </c>
      <c r="I94" s="1295">
        <v>25397</v>
      </c>
      <c r="K94" s="2008">
        <f t="shared" si="1"/>
        <v>0</v>
      </c>
    </row>
    <row r="95" spans="2:11" s="1295" customFormat="1" ht="11.1" customHeight="1" x14ac:dyDescent="0.2">
      <c r="B95" s="1309"/>
      <c r="C95" s="1310"/>
      <c r="D95" s="1311"/>
      <c r="E95" s="1361"/>
      <c r="F95" s="1313"/>
      <c r="G95" s="1313"/>
      <c r="K95" s="2008"/>
    </row>
    <row r="96" spans="2:11" s="1295" customFormat="1" ht="11.1" customHeight="1" x14ac:dyDescent="0.2">
      <c r="B96" s="1309"/>
      <c r="C96" s="1310"/>
      <c r="D96" s="1311"/>
      <c r="E96" s="1361"/>
      <c r="F96" s="1313"/>
      <c r="G96" s="1313"/>
      <c r="K96" s="2008"/>
    </row>
    <row r="97" spans="2:11" s="1295" customFormat="1" ht="15" x14ac:dyDescent="0.2">
      <c r="B97" s="1309"/>
      <c r="C97" s="1310" t="s">
        <v>874</v>
      </c>
      <c r="D97" s="1311"/>
      <c r="E97" s="1361" t="s">
        <v>826</v>
      </c>
      <c r="F97" s="1313">
        <f>+F80+F84+F88+F92</f>
        <v>206049</v>
      </c>
      <c r="G97" s="1313">
        <f>+G80+G84+G88+G92</f>
        <v>162987</v>
      </c>
      <c r="K97" s="2008"/>
    </row>
    <row r="98" spans="2:11" s="1295" customFormat="1" ht="15.75" thickBot="1" x14ac:dyDescent="0.25">
      <c r="B98" s="1309"/>
      <c r="C98" s="1310"/>
      <c r="D98" s="1311"/>
      <c r="E98" s="1361" t="s">
        <v>827</v>
      </c>
      <c r="F98" s="1313">
        <f>F81+F85+F89+F93</f>
        <v>8852980</v>
      </c>
      <c r="G98" s="1313">
        <f>G81+G85+G89+G93</f>
        <v>10355303</v>
      </c>
      <c r="K98" s="2008"/>
    </row>
    <row r="99" spans="2:11" s="1295" customFormat="1" ht="30" customHeight="1" thickBot="1" x14ac:dyDescent="0.3">
      <c r="B99" s="1353" t="s">
        <v>875</v>
      </c>
      <c r="C99" s="2736" t="s">
        <v>874</v>
      </c>
      <c r="D99" s="2737"/>
      <c r="E99" s="1368" t="s">
        <v>829</v>
      </c>
      <c r="F99" s="1355">
        <f>SUM(F97:F98)</f>
        <v>9059029</v>
      </c>
      <c r="G99" s="1355">
        <f>SUM(G97:G98)</f>
        <v>10518290</v>
      </c>
      <c r="I99" s="1295">
        <v>10518290</v>
      </c>
      <c r="K99" s="2008">
        <f t="shared" si="1"/>
        <v>0</v>
      </c>
    </row>
    <row r="100" spans="2:11" s="1295" customFormat="1" ht="15.6" customHeight="1" x14ac:dyDescent="0.25">
      <c r="B100" s="1319"/>
      <c r="C100" s="1320"/>
      <c r="D100" s="1321"/>
      <c r="E100" s="1363"/>
      <c r="F100" s="1322"/>
      <c r="G100" s="1322"/>
      <c r="K100" s="2008"/>
    </row>
    <row r="101" spans="2:11" s="1295" customFormat="1" ht="15" x14ac:dyDescent="0.2">
      <c r="B101" s="1309"/>
      <c r="C101" s="1310" t="s">
        <v>876</v>
      </c>
      <c r="D101" s="1311"/>
      <c r="E101" s="1361" t="s">
        <v>826</v>
      </c>
      <c r="F101" s="1313">
        <v>34605</v>
      </c>
      <c r="G101" s="1313">
        <v>44319</v>
      </c>
      <c r="K101" s="2008"/>
    </row>
    <row r="102" spans="2:11" s="1295" customFormat="1" ht="15" x14ac:dyDescent="0.2">
      <c r="B102" s="1309"/>
      <c r="C102" s="1310"/>
      <c r="D102" s="1311"/>
      <c r="E102" s="1361" t="s">
        <v>827</v>
      </c>
      <c r="F102" s="1313">
        <v>1021734</v>
      </c>
      <c r="G102" s="1313">
        <v>931586</v>
      </c>
      <c r="K102" s="2008"/>
    </row>
    <row r="103" spans="2:11" s="1295" customFormat="1" ht="15.6" customHeight="1" x14ac:dyDescent="0.25">
      <c r="B103" s="1314" t="s">
        <v>877</v>
      </c>
      <c r="C103" s="1367" t="s">
        <v>876</v>
      </c>
      <c r="D103" s="1316"/>
      <c r="E103" s="1365" t="s">
        <v>829</v>
      </c>
      <c r="F103" s="1318">
        <f>SUM(F101:F102)</f>
        <v>1056339</v>
      </c>
      <c r="G103" s="1318">
        <f>SUM(G101:G102)</f>
        <v>975905</v>
      </c>
      <c r="I103" s="1295">
        <v>975905</v>
      </c>
      <c r="K103" s="2008">
        <f t="shared" si="1"/>
        <v>0</v>
      </c>
    </row>
    <row r="104" spans="2:11" s="1295" customFormat="1" ht="12" customHeight="1" x14ac:dyDescent="0.2">
      <c r="B104" s="1309"/>
      <c r="C104" s="1310"/>
      <c r="D104" s="1311"/>
      <c r="E104" s="1361"/>
      <c r="F104" s="1313"/>
      <c r="G104" s="1313"/>
      <c r="K104" s="2008"/>
    </row>
    <row r="105" spans="2:11" s="1295" customFormat="1" ht="15" x14ac:dyDescent="0.2">
      <c r="B105" s="1309"/>
      <c r="C105" s="1310" t="s">
        <v>878</v>
      </c>
      <c r="D105" s="1311"/>
      <c r="E105" s="1361" t="s">
        <v>826</v>
      </c>
      <c r="F105" s="1313">
        <v>1236</v>
      </c>
      <c r="G105" s="1313">
        <f>2408-1</f>
        <v>2407</v>
      </c>
      <c r="K105" s="2008"/>
    </row>
    <row r="106" spans="2:11" s="1295" customFormat="1" ht="15" x14ac:dyDescent="0.2">
      <c r="B106" s="1309"/>
      <c r="C106" s="1366"/>
      <c r="D106" s="1311"/>
      <c r="E106" s="1361" t="s">
        <v>827</v>
      </c>
      <c r="F106" s="1313">
        <v>139959</v>
      </c>
      <c r="G106" s="1313">
        <v>145774</v>
      </c>
      <c r="K106" s="2008"/>
    </row>
    <row r="107" spans="2:11" s="1295" customFormat="1" ht="36.75" customHeight="1" x14ac:dyDescent="0.25">
      <c r="B107" s="1314" t="s">
        <v>879</v>
      </c>
      <c r="C107" s="2733" t="s">
        <v>878</v>
      </c>
      <c r="D107" s="2747"/>
      <c r="E107" s="1365" t="s">
        <v>829</v>
      </c>
      <c r="F107" s="1318">
        <f>SUM(F105:F106)</f>
        <v>141195</v>
      </c>
      <c r="G107" s="1318">
        <f>SUM(G105:G106)</f>
        <v>148181</v>
      </c>
      <c r="I107" s="1295">
        <v>148181</v>
      </c>
      <c r="K107" s="2008">
        <f t="shared" si="1"/>
        <v>0</v>
      </c>
    </row>
    <row r="108" spans="2:11" s="1295" customFormat="1" ht="12" customHeight="1" x14ac:dyDescent="0.2">
      <c r="B108" s="1309"/>
      <c r="C108" s="1310"/>
      <c r="D108" s="1311"/>
      <c r="E108" s="1361"/>
      <c r="F108" s="1313"/>
      <c r="G108" s="1313"/>
      <c r="K108" s="2008"/>
    </row>
    <row r="109" spans="2:11" s="1295" customFormat="1" ht="15" x14ac:dyDescent="0.2">
      <c r="B109" s="1309"/>
      <c r="C109" s="1310" t="s">
        <v>880</v>
      </c>
      <c r="D109" s="1311"/>
      <c r="E109" s="1361" t="s">
        <v>826</v>
      </c>
      <c r="F109" s="1313">
        <v>16255</v>
      </c>
      <c r="G109" s="1313">
        <v>16760</v>
      </c>
      <c r="K109" s="2008"/>
    </row>
    <row r="110" spans="2:11" s="1295" customFormat="1" ht="15" x14ac:dyDescent="0.2">
      <c r="B110" s="1309"/>
      <c r="C110" s="1310"/>
      <c r="D110" s="1311"/>
      <c r="E110" s="1361" t="s">
        <v>827</v>
      </c>
      <c r="F110" s="1313">
        <v>157565</v>
      </c>
      <c r="G110" s="1313">
        <v>175316</v>
      </c>
      <c r="K110" s="2008"/>
    </row>
    <row r="111" spans="2:11" s="1295" customFormat="1" ht="15.6" customHeight="1" x14ac:dyDescent="0.25">
      <c r="B111" s="1314" t="s">
        <v>881</v>
      </c>
      <c r="C111" s="1367" t="s">
        <v>880</v>
      </c>
      <c r="D111" s="1316"/>
      <c r="E111" s="1365" t="s">
        <v>829</v>
      </c>
      <c r="F111" s="1318">
        <f>SUM(F109:F110)</f>
        <v>173820</v>
      </c>
      <c r="G111" s="1318">
        <f>SUM(G109:G110)</f>
        <v>192076</v>
      </c>
      <c r="I111" s="1295">
        <v>192076</v>
      </c>
      <c r="K111" s="2008">
        <f t="shared" si="1"/>
        <v>0</v>
      </c>
    </row>
    <row r="112" spans="2:11" s="1295" customFormat="1" ht="12" customHeight="1" x14ac:dyDescent="0.25">
      <c r="B112" s="1319"/>
      <c r="C112" s="1369"/>
      <c r="D112" s="1321"/>
      <c r="E112" s="1363"/>
      <c r="F112" s="1322"/>
      <c r="G112" s="1322"/>
      <c r="K112" s="2008"/>
    </row>
    <row r="113" spans="2:11" s="1295" customFormat="1" ht="15" x14ac:dyDescent="0.2">
      <c r="B113" s="1309"/>
      <c r="C113" s="1310" t="s">
        <v>882</v>
      </c>
      <c r="D113" s="1311"/>
      <c r="E113" s="1361" t="s">
        <v>826</v>
      </c>
      <c r="F113" s="1313">
        <f>+F101+F105+F109</f>
        <v>52096</v>
      </c>
      <c r="G113" s="1313">
        <f>+G101+G105+G109</f>
        <v>63486</v>
      </c>
      <c r="K113" s="2008"/>
    </row>
    <row r="114" spans="2:11" s="1295" customFormat="1" ht="15.75" thickBot="1" x14ac:dyDescent="0.25">
      <c r="B114" s="1309"/>
      <c r="C114" s="1310"/>
      <c r="D114" s="1311"/>
      <c r="E114" s="1361" t="s">
        <v>827</v>
      </c>
      <c r="F114" s="1313">
        <f>+F102+F106+F110</f>
        <v>1319258</v>
      </c>
      <c r="G114" s="1313">
        <f>+G102+G106+G110</f>
        <v>1252676</v>
      </c>
      <c r="K114" s="2008"/>
    </row>
    <row r="115" spans="2:11" s="1295" customFormat="1" ht="30" customHeight="1" thickBot="1" x14ac:dyDescent="0.3">
      <c r="B115" s="1353" t="s">
        <v>883</v>
      </c>
      <c r="C115" s="2736" t="s">
        <v>882</v>
      </c>
      <c r="D115" s="2737"/>
      <c r="E115" s="1368" t="s">
        <v>829</v>
      </c>
      <c r="F115" s="1355">
        <f>SUM(F113:F114)</f>
        <v>1371354</v>
      </c>
      <c r="G115" s="1355">
        <f>SUM(G113:G114)</f>
        <v>1316162</v>
      </c>
      <c r="I115" s="1295">
        <v>1316162</v>
      </c>
      <c r="K115" s="2008">
        <f t="shared" si="1"/>
        <v>0</v>
      </c>
    </row>
    <row r="116" spans="2:11" s="1295" customFormat="1" ht="12" customHeight="1" x14ac:dyDescent="0.25">
      <c r="B116" s="1347"/>
      <c r="C116" s="1370"/>
      <c r="D116" s="1371"/>
      <c r="E116" s="1359"/>
      <c r="F116" s="1349"/>
      <c r="G116" s="1349"/>
      <c r="K116" s="2008"/>
    </row>
    <row r="117" spans="2:11" s="1295" customFormat="1" ht="15" x14ac:dyDescent="0.2">
      <c r="B117" s="1309"/>
      <c r="C117" s="1310" t="s">
        <v>884</v>
      </c>
      <c r="D117" s="1311"/>
      <c r="E117" s="1361" t="s">
        <v>826</v>
      </c>
      <c r="F117" s="1313">
        <v>62545</v>
      </c>
      <c r="G117" s="1313">
        <v>32756</v>
      </c>
      <c r="K117" s="2008"/>
    </row>
    <row r="118" spans="2:11" s="1295" customFormat="1" ht="15.75" thickBot="1" x14ac:dyDescent="0.25">
      <c r="B118" s="1309"/>
      <c r="C118" s="1310"/>
      <c r="D118" s="1311"/>
      <c r="E118" s="1361" t="s">
        <v>827</v>
      </c>
      <c r="F118" s="1313">
        <v>-114769</v>
      </c>
      <c r="G118" s="1313">
        <f>33126-1</f>
        <v>33125</v>
      </c>
      <c r="K118" s="2008"/>
    </row>
    <row r="119" spans="2:11" s="1295" customFormat="1" ht="30" customHeight="1" thickBot="1" x14ac:dyDescent="0.3">
      <c r="B119" s="1353" t="s">
        <v>885</v>
      </c>
      <c r="C119" s="2736" t="s">
        <v>884</v>
      </c>
      <c r="D119" s="2737"/>
      <c r="E119" s="1368" t="s">
        <v>829</v>
      </c>
      <c r="F119" s="1355">
        <f>SUM(F117:F118)</f>
        <v>-52224</v>
      </c>
      <c r="G119" s="1355">
        <f>SUM(G117:G118)</f>
        <v>65881</v>
      </c>
      <c r="I119" s="1295">
        <v>65882</v>
      </c>
      <c r="K119" s="2008">
        <f t="shared" si="1"/>
        <v>1</v>
      </c>
    </row>
    <row r="120" spans="2:11" s="1295" customFormat="1" ht="15.6" customHeight="1" x14ac:dyDescent="0.25">
      <c r="B120" s="1319"/>
      <c r="C120" s="1320"/>
      <c r="D120" s="1321"/>
      <c r="E120" s="1363"/>
      <c r="F120" s="1322"/>
      <c r="G120" s="1322"/>
      <c r="K120" s="2008"/>
    </row>
    <row r="121" spans="2:11" s="1295" customFormat="1" ht="19.5" customHeight="1" x14ac:dyDescent="0.2">
      <c r="B121" s="1309"/>
      <c r="C121" s="2731" t="s">
        <v>886</v>
      </c>
      <c r="D121" s="2732"/>
      <c r="E121" s="1361" t="s">
        <v>826</v>
      </c>
      <c r="F121" s="1313">
        <v>13085</v>
      </c>
      <c r="G121" s="1313">
        <v>14134</v>
      </c>
      <c r="K121" s="2008"/>
    </row>
    <row r="122" spans="2:11" s="1295" customFormat="1" ht="15" x14ac:dyDescent="0.2">
      <c r="B122" s="1309"/>
      <c r="C122" s="1310" t="s">
        <v>887</v>
      </c>
      <c r="D122" s="1311"/>
      <c r="E122" s="1361" t="s">
        <v>827</v>
      </c>
      <c r="F122" s="1313">
        <v>375007</v>
      </c>
      <c r="G122" s="1313">
        <v>437027</v>
      </c>
      <c r="K122" s="2008"/>
    </row>
    <row r="123" spans="2:11" s="1295" customFormat="1" ht="31.5" customHeight="1" x14ac:dyDescent="0.25">
      <c r="B123" s="1314" t="s">
        <v>888</v>
      </c>
      <c r="C123" s="2733" t="s">
        <v>889</v>
      </c>
      <c r="D123" s="2734"/>
      <c r="E123" s="1365" t="s">
        <v>829</v>
      </c>
      <c r="F123" s="1318">
        <f>SUM(F121:F122)</f>
        <v>388092</v>
      </c>
      <c r="G123" s="1318">
        <f>SUM(G121:G122)</f>
        <v>451161</v>
      </c>
      <c r="I123" s="1295">
        <v>451161</v>
      </c>
      <c r="K123" s="2008">
        <f t="shared" si="1"/>
        <v>0</v>
      </c>
    </row>
    <row r="124" spans="2:11" s="1295" customFormat="1" ht="11.1" customHeight="1" x14ac:dyDescent="0.2">
      <c r="B124" s="1309"/>
      <c r="C124" s="1310"/>
      <c r="D124" s="1311"/>
      <c r="E124" s="1361"/>
      <c r="F124" s="1313"/>
      <c r="G124" s="1313"/>
      <c r="K124" s="2008"/>
    </row>
    <row r="125" spans="2:11" s="1295" customFormat="1" ht="15" x14ac:dyDescent="0.2">
      <c r="B125" s="1309"/>
      <c r="C125" s="1310" t="s">
        <v>890</v>
      </c>
      <c r="D125" s="1311"/>
      <c r="E125" s="1361" t="s">
        <v>826</v>
      </c>
      <c r="F125" s="1313">
        <v>6298</v>
      </c>
      <c r="G125" s="1313">
        <v>3894</v>
      </c>
      <c r="K125" s="2008"/>
    </row>
    <row r="126" spans="2:11" s="1295" customFormat="1" ht="15" x14ac:dyDescent="0.2">
      <c r="B126" s="1309"/>
      <c r="C126" s="1366"/>
      <c r="D126" s="1311"/>
      <c r="E126" s="1361" t="s">
        <v>827</v>
      </c>
      <c r="F126" s="1313">
        <v>4940</v>
      </c>
      <c r="G126" s="1313">
        <v>2764</v>
      </c>
      <c r="K126" s="2008"/>
    </row>
    <row r="127" spans="2:11" s="1295" customFormat="1" ht="34.5" customHeight="1" x14ac:dyDescent="0.25">
      <c r="B127" s="1314" t="s">
        <v>891</v>
      </c>
      <c r="C127" s="2733" t="s">
        <v>890</v>
      </c>
      <c r="D127" s="2735"/>
      <c r="E127" s="1365" t="s">
        <v>829</v>
      </c>
      <c r="F127" s="1318">
        <f>SUM(F125:F126)</f>
        <v>11238</v>
      </c>
      <c r="G127" s="1318">
        <f>SUM(G125:G126)</f>
        <v>6658</v>
      </c>
      <c r="I127" s="1295">
        <v>6658</v>
      </c>
      <c r="K127" s="2008">
        <f t="shared" si="1"/>
        <v>0</v>
      </c>
    </row>
    <row r="128" spans="2:11" s="1295" customFormat="1" ht="11.1" customHeight="1" x14ac:dyDescent="0.2">
      <c r="B128" s="1309"/>
      <c r="C128" s="1310"/>
      <c r="D128" s="1311"/>
      <c r="E128" s="1361"/>
      <c r="F128" s="1313"/>
      <c r="G128" s="1313"/>
      <c r="K128" s="2008"/>
    </row>
    <row r="129" spans="2:11" s="1295" customFormat="1" ht="15" x14ac:dyDescent="0.2">
      <c r="B129" s="1309"/>
      <c r="C129" s="1310" t="s">
        <v>892</v>
      </c>
      <c r="D129" s="1311"/>
      <c r="E129" s="1361" t="s">
        <v>826</v>
      </c>
      <c r="F129" s="1313">
        <v>0</v>
      </c>
      <c r="G129" s="1313">
        <v>0</v>
      </c>
      <c r="K129" s="2008"/>
    </row>
    <row r="130" spans="2:11" s="1295" customFormat="1" ht="15" x14ac:dyDescent="0.2">
      <c r="B130" s="1309"/>
      <c r="C130" s="1310"/>
      <c r="D130" s="1311"/>
      <c r="E130" s="1361" t="s">
        <v>827</v>
      </c>
      <c r="F130" s="1313">
        <v>0</v>
      </c>
      <c r="G130" s="1313">
        <v>0</v>
      </c>
      <c r="K130" s="2008"/>
    </row>
    <row r="131" spans="2:11" s="1295" customFormat="1" ht="15.6" customHeight="1" x14ac:dyDescent="0.25">
      <c r="B131" s="1314" t="s">
        <v>893</v>
      </c>
      <c r="C131" s="1367" t="s">
        <v>892</v>
      </c>
      <c r="D131" s="1316"/>
      <c r="E131" s="1365" t="s">
        <v>829</v>
      </c>
      <c r="F131" s="1318">
        <f>SUM(F129:F130)</f>
        <v>0</v>
      </c>
      <c r="G131" s="1318">
        <f>SUM(G129:G130)</f>
        <v>0</v>
      </c>
      <c r="I131" s="1295">
        <v>0</v>
      </c>
      <c r="K131" s="2008">
        <f t="shared" si="1"/>
        <v>0</v>
      </c>
    </row>
    <row r="132" spans="2:11" s="1295" customFormat="1" ht="15" x14ac:dyDescent="0.2">
      <c r="B132" s="1309"/>
      <c r="C132" s="1310"/>
      <c r="D132" s="1311"/>
      <c r="E132" s="1361"/>
      <c r="F132" s="1313"/>
      <c r="G132" s="1313"/>
      <c r="K132" s="2008"/>
    </row>
    <row r="133" spans="2:11" s="1295" customFormat="1" ht="15" x14ac:dyDescent="0.2">
      <c r="B133" s="1309"/>
      <c r="C133" s="1310" t="s">
        <v>894</v>
      </c>
      <c r="D133" s="1311"/>
      <c r="E133" s="1361" t="s">
        <v>826</v>
      </c>
      <c r="F133" s="1313">
        <f>+F121+F125+F129</f>
        <v>19383</v>
      </c>
      <c r="G133" s="1313">
        <f>+G121+G125+G129</f>
        <v>18028</v>
      </c>
      <c r="K133" s="2008"/>
    </row>
    <row r="134" spans="2:11" s="1295" customFormat="1" ht="15.75" thickBot="1" x14ac:dyDescent="0.25">
      <c r="B134" s="1309"/>
      <c r="C134" s="1310"/>
      <c r="D134" s="1311"/>
      <c r="E134" s="1361" t="s">
        <v>827</v>
      </c>
      <c r="F134" s="1313">
        <f>+F122+F126+F130</f>
        <v>379947</v>
      </c>
      <c r="G134" s="1313">
        <f>+G122+G126+G130</f>
        <v>439791</v>
      </c>
      <c r="K134" s="2008"/>
    </row>
    <row r="135" spans="2:11" s="1295" customFormat="1" ht="30" customHeight="1" thickBot="1" x14ac:dyDescent="0.3">
      <c r="B135" s="1353" t="s">
        <v>895</v>
      </c>
      <c r="C135" s="2736" t="s">
        <v>894</v>
      </c>
      <c r="D135" s="2737"/>
      <c r="E135" s="1368" t="s">
        <v>829</v>
      </c>
      <c r="F135" s="1355">
        <f>SUM(F133:F134)</f>
        <v>399330</v>
      </c>
      <c r="G135" s="1355">
        <f>SUM(G133:G134)</f>
        <v>457819</v>
      </c>
      <c r="I135" s="1295">
        <v>457819</v>
      </c>
      <c r="K135" s="2008">
        <f t="shared" si="1"/>
        <v>0</v>
      </c>
    </row>
    <row r="136" spans="2:11" s="1295" customFormat="1" ht="15" x14ac:dyDescent="0.2">
      <c r="B136" s="1309"/>
      <c r="C136" s="1310"/>
      <c r="D136" s="1311"/>
      <c r="E136" s="1361"/>
      <c r="F136" s="1313"/>
      <c r="G136" s="1313"/>
      <c r="K136" s="2008"/>
    </row>
    <row r="137" spans="2:11" s="1295" customFormat="1" ht="15.75" x14ac:dyDescent="0.25">
      <c r="B137" s="1309"/>
      <c r="C137" s="1320" t="s">
        <v>821</v>
      </c>
      <c r="D137" s="1311"/>
      <c r="E137" s="1361" t="s">
        <v>826</v>
      </c>
      <c r="F137" s="1313">
        <f>+F59+F71+F97+F113+F117+F133</f>
        <v>6184390</v>
      </c>
      <c r="G137" s="1313">
        <f>+G59+G71+G97+G113+G117+G133</f>
        <v>6088257</v>
      </c>
      <c r="K137" s="2008"/>
    </row>
    <row r="138" spans="2:11" s="1295" customFormat="1" ht="15.75" thickBot="1" x14ac:dyDescent="0.25">
      <c r="B138" s="1309"/>
      <c r="C138" s="1310"/>
      <c r="D138" s="1311"/>
      <c r="E138" s="1361" t="s">
        <v>827</v>
      </c>
      <c r="F138" s="1313">
        <f>+F60+F72+F98+F114+F118+F134</f>
        <v>81394365</v>
      </c>
      <c r="G138" s="1313">
        <f>+G60+G72+G98+G114+G118+G134</f>
        <v>83322614</v>
      </c>
      <c r="K138" s="2008"/>
    </row>
    <row r="139" spans="2:11" s="1295" customFormat="1" ht="30" customHeight="1" thickBot="1" x14ac:dyDescent="0.3">
      <c r="B139" s="1353"/>
      <c r="C139" s="2736" t="s">
        <v>896</v>
      </c>
      <c r="D139" s="2737"/>
      <c r="E139" s="1368" t="s">
        <v>829</v>
      </c>
      <c r="F139" s="1355">
        <f>SUM(F137:F138)</f>
        <v>87578755</v>
      </c>
      <c r="G139" s="1355">
        <f>SUM(G137:G138)</f>
        <v>89410871</v>
      </c>
      <c r="I139" s="1295">
        <v>89410871</v>
      </c>
      <c r="K139" s="2008">
        <f t="shared" si="1"/>
        <v>0</v>
      </c>
    </row>
  </sheetData>
  <mergeCells count="17">
    <mergeCell ref="C119:D119"/>
    <mergeCell ref="B4:G4"/>
    <mergeCell ref="B5:G5"/>
    <mergeCell ref="C7:D7"/>
    <mergeCell ref="C57:D57"/>
    <mergeCell ref="C59:D59"/>
    <mergeCell ref="C61:D61"/>
    <mergeCell ref="C73:D73"/>
    <mergeCell ref="C76:D76"/>
    <mergeCell ref="C99:D99"/>
    <mergeCell ref="C107:D107"/>
    <mergeCell ref="C115:D115"/>
    <mergeCell ref="C121:D121"/>
    <mergeCell ref="C123:D123"/>
    <mergeCell ref="C127:D127"/>
    <mergeCell ref="C135:D135"/>
    <mergeCell ref="C139:D139"/>
  </mergeCells>
  <printOptions horizontalCentered="1" verticalCentered="1"/>
  <pageMargins left="0.19685039370078741" right="0.19685039370078741" top="0.27559055118110237" bottom="0.23622047244094491" header="0.27559055118110237" footer="0.23622047244094491"/>
  <pageSetup paperSize="9" scale="70" orientation="portrait" r:id="rId1"/>
  <headerFooter alignWithMargins="0">
    <oddHeader xml:space="preserve">&amp;R&amp;"Arial CE,Félkövér"&amp;11 &amp;12 23. melléklet a …../2019. (…….) önkormányzati rendelethez </oddHeader>
  </headerFooter>
  <rowBreaks count="1" manualBreakCount="1">
    <brk id="74" min="1" max="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N88"/>
  <sheetViews>
    <sheetView zoomScale="85" zoomScaleNormal="85" zoomScaleSheetLayoutView="75" workbookViewId="0">
      <selection activeCell="F4" sqref="F4"/>
    </sheetView>
  </sheetViews>
  <sheetFormatPr defaultColWidth="10.6640625" defaultRowHeight="14.25" x14ac:dyDescent="0.2"/>
  <cols>
    <col min="1" max="1" width="10.6640625" style="1374"/>
    <col min="2" max="2" width="7.6640625" style="1373" customWidth="1"/>
    <col min="3" max="3" width="10.6640625" style="1374" customWidth="1"/>
    <col min="4" max="4" width="69.83203125" style="1374" customWidth="1"/>
    <col min="5" max="5" width="30.33203125" style="1374" customWidth="1"/>
    <col min="6" max="7" width="21.5" style="1374" customWidth="1"/>
    <col min="8" max="8" width="10.6640625" style="1374"/>
    <col min="9" max="9" width="14.83203125" style="1374" customWidth="1"/>
    <col min="10" max="16384" width="10.6640625" style="1374"/>
  </cols>
  <sheetData>
    <row r="1" spans="2:11" ht="15.75" x14ac:dyDescent="0.25">
      <c r="F1" s="1375"/>
      <c r="G1" s="1375"/>
      <c r="H1" s="1375"/>
      <c r="I1" s="1375"/>
    </row>
    <row r="2" spans="2:11" ht="17.25" customHeight="1" x14ac:dyDescent="0.25">
      <c r="B2" s="2738" t="s">
        <v>1252</v>
      </c>
      <c r="C2" s="2738"/>
      <c r="D2" s="2738"/>
      <c r="E2" s="2738"/>
      <c r="F2" s="2738"/>
      <c r="G2" s="2738"/>
    </row>
    <row r="3" spans="2:11" ht="20.25" customHeight="1" x14ac:dyDescent="0.25">
      <c r="B3" s="2752" t="s">
        <v>897</v>
      </c>
      <c r="C3" s="2752"/>
      <c r="D3" s="2752"/>
      <c r="E3" s="2752"/>
      <c r="F3" s="2752"/>
      <c r="G3" s="2752"/>
    </row>
    <row r="4" spans="2:11" ht="15.75" thickBot="1" x14ac:dyDescent="0.3">
      <c r="B4" s="1376"/>
      <c r="C4" s="1376"/>
      <c r="D4" s="1376"/>
      <c r="E4" s="1376"/>
      <c r="F4" s="1377"/>
      <c r="G4" s="1377" t="s">
        <v>34</v>
      </c>
    </row>
    <row r="5" spans="2:11" ht="20.25" customHeight="1" x14ac:dyDescent="0.25">
      <c r="B5" s="1378"/>
      <c r="C5" s="2753" t="s">
        <v>51</v>
      </c>
      <c r="D5" s="2754"/>
      <c r="E5" s="1379"/>
      <c r="F5" s="1380" t="s">
        <v>822</v>
      </c>
      <c r="G5" s="1380" t="s">
        <v>1250</v>
      </c>
    </row>
    <row r="6" spans="2:11" ht="19.5" customHeight="1" x14ac:dyDescent="0.25">
      <c r="B6" s="1381"/>
      <c r="C6" s="1381"/>
      <c r="D6" s="1382"/>
      <c r="E6" s="1383"/>
      <c r="F6" s="1384" t="s">
        <v>823</v>
      </c>
      <c r="G6" s="1384" t="s">
        <v>823</v>
      </c>
    </row>
    <row r="7" spans="2:11" ht="16.5" customHeight="1" thickBot="1" x14ac:dyDescent="0.3">
      <c r="B7" s="1385"/>
      <c r="C7" s="1385"/>
      <c r="D7" s="1386"/>
      <c r="E7" s="1387"/>
      <c r="F7" s="1388" t="s">
        <v>824</v>
      </c>
      <c r="G7" s="1388" t="s">
        <v>1251</v>
      </c>
    </row>
    <row r="8" spans="2:11" ht="20.25" customHeight="1" x14ac:dyDescent="0.25">
      <c r="B8" s="1389"/>
      <c r="C8" s="1390"/>
      <c r="D8" s="1391"/>
      <c r="E8" s="1383"/>
      <c r="F8" s="1392"/>
      <c r="G8" s="1392"/>
    </row>
    <row r="9" spans="2:11" x14ac:dyDescent="0.2">
      <c r="B9" s="1393"/>
      <c r="C9" s="1394" t="s">
        <v>898</v>
      </c>
      <c r="D9" s="1395"/>
      <c r="E9" s="1396" t="s">
        <v>826</v>
      </c>
      <c r="F9" s="1397">
        <v>11929473</v>
      </c>
      <c r="G9" s="1397">
        <v>11929473</v>
      </c>
    </row>
    <row r="10" spans="2:11" x14ac:dyDescent="0.2">
      <c r="B10" s="1393"/>
      <c r="C10" s="1394"/>
      <c r="D10" s="1395"/>
      <c r="E10" s="1396" t="s">
        <v>827</v>
      </c>
      <c r="F10" s="1397">
        <v>86560778</v>
      </c>
      <c r="G10" s="1397">
        <v>86560778</v>
      </c>
    </row>
    <row r="11" spans="2:11" ht="19.5" customHeight="1" x14ac:dyDescent="0.25">
      <c r="B11" s="1398" t="s">
        <v>899</v>
      </c>
      <c r="C11" s="1399" t="s">
        <v>898</v>
      </c>
      <c r="D11" s="1400"/>
      <c r="E11" s="1401" t="s">
        <v>829</v>
      </c>
      <c r="F11" s="1402">
        <f>SUM(F9:F10)</f>
        <v>98490251</v>
      </c>
      <c r="G11" s="1402">
        <f>SUM(G9:G10)</f>
        <v>98490251</v>
      </c>
      <c r="I11" s="1374">
        <v>98490251</v>
      </c>
      <c r="K11" s="1413">
        <f>+I11-G11</f>
        <v>0</v>
      </c>
    </row>
    <row r="12" spans="2:11" ht="15.75" customHeight="1" x14ac:dyDescent="0.2">
      <c r="B12" s="1393"/>
      <c r="C12" s="1394"/>
      <c r="D12" s="1395"/>
      <c r="E12" s="1396"/>
      <c r="F12" s="1397"/>
      <c r="G12" s="1397"/>
      <c r="K12" s="1413"/>
    </row>
    <row r="13" spans="2:11" x14ac:dyDescent="0.2">
      <c r="B13" s="1393"/>
      <c r="C13" s="1394" t="s">
        <v>900</v>
      </c>
      <c r="D13" s="1395"/>
      <c r="E13" s="1396" t="s">
        <v>826</v>
      </c>
      <c r="F13" s="1397">
        <v>-2468422</v>
      </c>
      <c r="G13" s="1397">
        <v>-2468422</v>
      </c>
      <c r="K13" s="1413"/>
    </row>
    <row r="14" spans="2:11" x14ac:dyDescent="0.2">
      <c r="B14" s="1393"/>
      <c r="C14" s="1403"/>
      <c r="D14" s="1395"/>
      <c r="E14" s="1396" t="s">
        <v>827</v>
      </c>
      <c r="F14" s="1397">
        <v>-21477</v>
      </c>
      <c r="G14" s="1397">
        <v>216342</v>
      </c>
      <c r="K14" s="1413"/>
    </row>
    <row r="15" spans="2:11" ht="20.25" customHeight="1" x14ac:dyDescent="0.25">
      <c r="B15" s="1398" t="s">
        <v>901</v>
      </c>
      <c r="C15" s="1399" t="s">
        <v>900</v>
      </c>
      <c r="D15" s="1400"/>
      <c r="E15" s="1401" t="s">
        <v>829</v>
      </c>
      <c r="F15" s="1402">
        <f>SUM(F13:F14)</f>
        <v>-2489899</v>
      </c>
      <c r="G15" s="1402">
        <f>SUM(G13:G14)</f>
        <v>-2252080</v>
      </c>
      <c r="I15" s="1374">
        <v>-2252080</v>
      </c>
      <c r="K15" s="1413">
        <f t="shared" ref="K15:K72" si="0">+I15-G15</f>
        <v>0</v>
      </c>
    </row>
    <row r="16" spans="2:11" x14ac:dyDescent="0.2">
      <c r="B16" s="1393"/>
      <c r="C16" s="1394"/>
      <c r="D16" s="1395"/>
      <c r="E16" s="1396"/>
      <c r="F16" s="1397"/>
      <c r="G16" s="1397"/>
      <c r="K16" s="1413"/>
    </row>
    <row r="17" spans="2:11" ht="15" customHeight="1" x14ac:dyDescent="0.2">
      <c r="B17" s="1393"/>
      <c r="C17" s="1394" t="s">
        <v>902</v>
      </c>
      <c r="D17" s="1395"/>
      <c r="E17" s="1396" t="s">
        <v>826</v>
      </c>
      <c r="F17" s="1397">
        <v>150025</v>
      </c>
      <c r="G17" s="1397">
        <v>150025</v>
      </c>
      <c r="K17" s="1413"/>
    </row>
    <row r="18" spans="2:11" ht="15.75" customHeight="1" x14ac:dyDescent="0.2">
      <c r="B18" s="1393"/>
      <c r="C18" s="1394"/>
      <c r="D18" s="1395"/>
      <c r="E18" s="1396" t="s">
        <v>827</v>
      </c>
      <c r="F18" s="1397">
        <v>771117</v>
      </c>
      <c r="G18" s="1397">
        <v>771117</v>
      </c>
      <c r="K18" s="1413"/>
    </row>
    <row r="19" spans="2:11" ht="18.75" customHeight="1" x14ac:dyDescent="0.25">
      <c r="B19" s="1398" t="s">
        <v>903</v>
      </c>
      <c r="C19" s="1399" t="s">
        <v>902</v>
      </c>
      <c r="D19" s="1400"/>
      <c r="E19" s="1401" t="s">
        <v>829</v>
      </c>
      <c r="F19" s="1402">
        <f>SUM(F17:F18)</f>
        <v>921142</v>
      </c>
      <c r="G19" s="1402">
        <f>SUM(G17:G18)</f>
        <v>921142</v>
      </c>
      <c r="I19" s="1374">
        <v>921142</v>
      </c>
      <c r="K19" s="1413">
        <f t="shared" si="0"/>
        <v>0</v>
      </c>
    </row>
    <row r="20" spans="2:11" x14ac:dyDescent="0.2">
      <c r="B20" s="1393"/>
      <c r="C20" s="1394"/>
      <c r="D20" s="1395"/>
      <c r="E20" s="1396"/>
      <c r="F20" s="1397"/>
      <c r="G20" s="1397"/>
      <c r="K20" s="1413"/>
    </row>
    <row r="21" spans="2:11" x14ac:dyDescent="0.2">
      <c r="B21" s="1393"/>
      <c r="C21" s="1394" t="s">
        <v>904</v>
      </c>
      <c r="D21" s="1395"/>
      <c r="E21" s="1396" t="s">
        <v>826</v>
      </c>
      <c r="F21" s="1397">
        <v>-4289330</v>
      </c>
      <c r="G21" s="1397">
        <v>-4050102</v>
      </c>
      <c r="K21" s="1413"/>
    </row>
    <row r="22" spans="2:11" x14ac:dyDescent="0.2">
      <c r="B22" s="1393"/>
      <c r="C22" s="1394"/>
      <c r="D22" s="1395"/>
      <c r="E22" s="1396" t="s">
        <v>827</v>
      </c>
      <c r="F22" s="1397">
        <v>-16967006</v>
      </c>
      <c r="G22" s="1397">
        <v>-18067568</v>
      </c>
      <c r="K22" s="1413"/>
    </row>
    <row r="23" spans="2:11" ht="18.75" customHeight="1" x14ac:dyDescent="0.25">
      <c r="B23" s="1398" t="s">
        <v>905</v>
      </c>
      <c r="C23" s="1399" t="s">
        <v>904</v>
      </c>
      <c r="D23" s="1400"/>
      <c r="E23" s="1401" t="s">
        <v>829</v>
      </c>
      <c r="F23" s="1402">
        <f>SUM(F21:F22)</f>
        <v>-21256336</v>
      </c>
      <c r="G23" s="1402">
        <f>SUM(G21:G22)</f>
        <v>-22117670</v>
      </c>
      <c r="I23" s="1374">
        <v>-22117669</v>
      </c>
      <c r="K23" s="1413">
        <f t="shared" si="0"/>
        <v>1</v>
      </c>
    </row>
    <row r="24" spans="2:11" x14ac:dyDescent="0.2">
      <c r="B24" s="1393"/>
      <c r="C24" s="1394"/>
      <c r="D24" s="1395"/>
      <c r="E24" s="1396"/>
      <c r="F24" s="1397"/>
      <c r="G24" s="1397"/>
      <c r="K24" s="1413"/>
    </row>
    <row r="25" spans="2:11" ht="15" customHeight="1" x14ac:dyDescent="0.2">
      <c r="B25" s="1393"/>
      <c r="C25" s="1394" t="s">
        <v>906</v>
      </c>
      <c r="D25" s="1395"/>
      <c r="E25" s="1396" t="s">
        <v>826</v>
      </c>
      <c r="F25" s="1397">
        <v>0</v>
      </c>
      <c r="G25" s="1397">
        <v>0</v>
      </c>
      <c r="K25" s="1413"/>
    </row>
    <row r="26" spans="2:11" ht="10.5" customHeight="1" x14ac:dyDescent="0.2">
      <c r="B26" s="1393"/>
      <c r="C26" s="1394"/>
      <c r="D26" s="1395"/>
      <c r="E26" s="1396" t="s">
        <v>827</v>
      </c>
      <c r="F26" s="1397">
        <v>0</v>
      </c>
      <c r="G26" s="1397">
        <v>0</v>
      </c>
      <c r="K26" s="1413"/>
    </row>
    <row r="27" spans="2:11" ht="19.5" customHeight="1" x14ac:dyDescent="0.25">
      <c r="B27" s="1398" t="s">
        <v>907</v>
      </c>
      <c r="C27" s="1399" t="s">
        <v>906</v>
      </c>
      <c r="D27" s="1400"/>
      <c r="E27" s="1401" t="s">
        <v>829</v>
      </c>
      <c r="F27" s="1402">
        <f>SUM(F25:F26)</f>
        <v>0</v>
      </c>
      <c r="G27" s="1402">
        <f>SUM(G25:G26)</f>
        <v>0</v>
      </c>
      <c r="K27" s="1413">
        <f t="shared" si="0"/>
        <v>0</v>
      </c>
    </row>
    <row r="28" spans="2:11" x14ac:dyDescent="0.2">
      <c r="B28" s="1393"/>
      <c r="C28" s="1394"/>
      <c r="D28" s="1395"/>
      <c r="E28" s="1396"/>
      <c r="F28" s="1397"/>
      <c r="G28" s="1397"/>
      <c r="K28" s="1413"/>
    </row>
    <row r="29" spans="2:11" x14ac:dyDescent="0.2">
      <c r="B29" s="1393"/>
      <c r="C29" s="1394" t="s">
        <v>908</v>
      </c>
      <c r="D29" s="1395"/>
      <c r="E29" s="1396" t="s">
        <v>826</v>
      </c>
      <c r="F29" s="1397">
        <v>239229</v>
      </c>
      <c r="G29" s="1397">
        <v>-184163</v>
      </c>
      <c r="K29" s="1413"/>
    </row>
    <row r="30" spans="2:11" x14ac:dyDescent="0.2">
      <c r="B30" s="1393"/>
      <c r="C30" s="1394"/>
      <c r="D30" s="1395"/>
      <c r="E30" s="1396" t="s">
        <v>827</v>
      </c>
      <c r="F30" s="1397">
        <v>-1100562</v>
      </c>
      <c r="G30" s="1397">
        <v>-99521</v>
      </c>
      <c r="K30" s="1413"/>
    </row>
    <row r="31" spans="2:11" ht="20.25" customHeight="1" x14ac:dyDescent="0.25">
      <c r="B31" s="1398" t="s">
        <v>909</v>
      </c>
      <c r="C31" s="1399" t="s">
        <v>908</v>
      </c>
      <c r="D31" s="1400"/>
      <c r="E31" s="1401" t="s">
        <v>829</v>
      </c>
      <c r="F31" s="1402">
        <f>SUM(F29:F30)</f>
        <v>-861333</v>
      </c>
      <c r="G31" s="1402">
        <f>SUM(G29:G30)</f>
        <v>-283684</v>
      </c>
      <c r="I31" s="1374">
        <v>-283684</v>
      </c>
      <c r="K31" s="1413">
        <f t="shared" si="0"/>
        <v>0</v>
      </c>
    </row>
    <row r="32" spans="2:11" ht="15" customHeight="1" x14ac:dyDescent="0.25">
      <c r="B32" s="1389"/>
      <c r="C32" s="1404"/>
      <c r="D32" s="1391"/>
      <c r="E32" s="1383"/>
      <c r="F32" s="1392"/>
      <c r="G32" s="1392"/>
      <c r="K32" s="1413"/>
    </row>
    <row r="33" spans="2:11" x14ac:dyDescent="0.2">
      <c r="B33" s="1393"/>
      <c r="C33" s="1394" t="s">
        <v>910</v>
      </c>
      <c r="D33" s="1395"/>
      <c r="E33" s="1396" t="s">
        <v>826</v>
      </c>
      <c r="F33" s="1397">
        <f>+F9+F13+F17+F21+F25+F29</f>
        <v>5560975</v>
      </c>
      <c r="G33" s="1397">
        <f>+G9+G13+G17+G21+G25+G29</f>
        <v>5376811</v>
      </c>
      <c r="H33" s="1374" t="s">
        <v>1286</v>
      </c>
      <c r="K33" s="1413"/>
    </row>
    <row r="34" spans="2:11" ht="15" thickBot="1" x14ac:dyDescent="0.25">
      <c r="B34" s="1393"/>
      <c r="C34" s="1394"/>
      <c r="D34" s="1395"/>
      <c r="E34" s="1396" t="s">
        <v>827</v>
      </c>
      <c r="F34" s="1397">
        <f>+F10+F14+F18+F22+F26+F30</f>
        <v>69242850</v>
      </c>
      <c r="G34" s="1397">
        <f>+G10+G14+G18+G22+G26+G30</f>
        <v>69381148</v>
      </c>
      <c r="K34" s="1413"/>
    </row>
    <row r="35" spans="2:11" ht="24" customHeight="1" thickBot="1" x14ac:dyDescent="0.3">
      <c r="B35" s="1405" t="s">
        <v>911</v>
      </c>
      <c r="C35" s="2750" t="s">
        <v>912</v>
      </c>
      <c r="D35" s="2751"/>
      <c r="E35" s="1406" t="s">
        <v>829</v>
      </c>
      <c r="F35" s="1407">
        <f>SUM(F33:F34)</f>
        <v>74803825</v>
      </c>
      <c r="G35" s="1407">
        <f>SUM(G33:G34)</f>
        <v>74757959</v>
      </c>
      <c r="I35" s="1374">
        <v>74757959</v>
      </c>
      <c r="K35" s="1413">
        <f t="shared" si="0"/>
        <v>0</v>
      </c>
    </row>
    <row r="36" spans="2:11" ht="15" x14ac:dyDescent="0.25">
      <c r="B36" s="1389"/>
      <c r="C36" s="1390"/>
      <c r="D36" s="1391"/>
      <c r="E36" s="1383"/>
      <c r="F36" s="1392"/>
      <c r="G36" s="1392"/>
      <c r="K36" s="1413"/>
    </row>
    <row r="37" spans="2:11" ht="12" customHeight="1" x14ac:dyDescent="0.2">
      <c r="B37" s="1393"/>
      <c r="C37" s="1394" t="s">
        <v>913</v>
      </c>
      <c r="D37" s="1395"/>
      <c r="E37" s="1396" t="s">
        <v>826</v>
      </c>
      <c r="F37" s="1397">
        <v>114508</v>
      </c>
      <c r="G37" s="1397">
        <v>87034</v>
      </c>
      <c r="K37" s="1413"/>
    </row>
    <row r="38" spans="2:11" ht="12" customHeight="1" x14ac:dyDescent="0.2">
      <c r="B38" s="1393"/>
      <c r="C38" s="1394"/>
      <c r="D38" s="1395"/>
      <c r="E38" s="1396" t="s">
        <v>827</v>
      </c>
      <c r="F38" s="1397">
        <v>412857</v>
      </c>
      <c r="G38" s="1397">
        <v>500068</v>
      </c>
      <c r="K38" s="1413"/>
    </row>
    <row r="39" spans="2:11" ht="21" customHeight="1" x14ac:dyDescent="0.25">
      <c r="B39" s="1398" t="s">
        <v>914</v>
      </c>
      <c r="C39" s="1399" t="s">
        <v>913</v>
      </c>
      <c r="D39" s="1400"/>
      <c r="E39" s="1401" t="s">
        <v>829</v>
      </c>
      <c r="F39" s="1402">
        <f>SUM(F37:F38)</f>
        <v>527365</v>
      </c>
      <c r="G39" s="1402">
        <f>SUM(G37:G38)</f>
        <v>587102</v>
      </c>
      <c r="I39" s="1374">
        <v>587103</v>
      </c>
      <c r="K39" s="1413">
        <f t="shared" si="0"/>
        <v>1</v>
      </c>
    </row>
    <row r="40" spans="2:11" ht="12.75" customHeight="1" x14ac:dyDescent="0.2">
      <c r="B40" s="1393"/>
      <c r="C40" s="1394"/>
      <c r="D40" s="1395"/>
      <c r="E40" s="1396"/>
      <c r="F40" s="1397"/>
      <c r="G40" s="1397"/>
      <c r="K40" s="1413"/>
    </row>
    <row r="41" spans="2:11" x14ac:dyDescent="0.2">
      <c r="B41" s="1393"/>
      <c r="C41" s="1394" t="s">
        <v>915</v>
      </c>
      <c r="D41" s="1395"/>
      <c r="E41" s="1396" t="s">
        <v>826</v>
      </c>
      <c r="F41" s="1397">
        <v>14001</v>
      </c>
      <c r="G41" s="1397">
        <v>14977</v>
      </c>
      <c r="K41" s="1413"/>
    </row>
    <row r="42" spans="2:11" x14ac:dyDescent="0.2">
      <c r="B42" s="1393"/>
      <c r="C42" s="1403"/>
      <c r="D42" s="1395"/>
      <c r="E42" s="1396" t="s">
        <v>827</v>
      </c>
      <c r="F42" s="1397">
        <v>96631</v>
      </c>
      <c r="G42" s="1397">
        <v>93155</v>
      </c>
      <c r="K42" s="1413"/>
    </row>
    <row r="43" spans="2:11" ht="16.5" customHeight="1" x14ac:dyDescent="0.25">
      <c r="B43" s="1398" t="s">
        <v>916</v>
      </c>
      <c r="C43" s="1399" t="s">
        <v>915</v>
      </c>
      <c r="D43" s="1400"/>
      <c r="E43" s="1401" t="s">
        <v>829</v>
      </c>
      <c r="F43" s="1402">
        <f>SUM(F41:F42)</f>
        <v>110632</v>
      </c>
      <c r="G43" s="1402">
        <f>SUM(G41:G42)</f>
        <v>108132</v>
      </c>
      <c r="I43" s="1374">
        <v>108132</v>
      </c>
      <c r="K43" s="1413">
        <f t="shared" si="0"/>
        <v>0</v>
      </c>
    </row>
    <row r="44" spans="2:11" x14ac:dyDescent="0.2">
      <c r="B44" s="1393"/>
      <c r="C44" s="1394"/>
      <c r="D44" s="1395"/>
      <c r="E44" s="1396"/>
      <c r="F44" s="1397"/>
      <c r="G44" s="1397"/>
      <c r="K44" s="1413"/>
    </row>
    <row r="45" spans="2:11" ht="15" customHeight="1" x14ac:dyDescent="0.2">
      <c r="B45" s="1393"/>
      <c r="C45" s="1394" t="s">
        <v>917</v>
      </c>
      <c r="D45" s="1395"/>
      <c r="E45" s="1396" t="s">
        <v>826</v>
      </c>
      <c r="F45" s="1397">
        <v>20151</v>
      </c>
      <c r="G45" s="1397">
        <v>6756</v>
      </c>
      <c r="K45" s="1413"/>
    </row>
    <row r="46" spans="2:11" ht="12.75" customHeight="1" x14ac:dyDescent="0.2">
      <c r="B46" s="1393"/>
      <c r="C46" s="1394"/>
      <c r="D46" s="1395"/>
      <c r="E46" s="1396" t="s">
        <v>827</v>
      </c>
      <c r="F46" s="1397">
        <v>434329</v>
      </c>
      <c r="G46" s="1397">
        <v>358740</v>
      </c>
      <c r="K46" s="1413"/>
    </row>
    <row r="47" spans="2:11" ht="17.25" customHeight="1" x14ac:dyDescent="0.25">
      <c r="B47" s="1398" t="s">
        <v>918</v>
      </c>
      <c r="C47" s="1399" t="s">
        <v>917</v>
      </c>
      <c r="D47" s="1400"/>
      <c r="E47" s="1401" t="s">
        <v>829</v>
      </c>
      <c r="F47" s="1402">
        <f>SUM(F45:F46)</f>
        <v>454480</v>
      </c>
      <c r="G47" s="1402">
        <f>SUM(G45:G46)</f>
        <v>365496</v>
      </c>
      <c r="I47" s="1374">
        <v>365496</v>
      </c>
      <c r="K47" s="1413">
        <f t="shared" si="0"/>
        <v>0</v>
      </c>
    </row>
    <row r="48" spans="2:11" ht="15" x14ac:dyDescent="0.25">
      <c r="B48" s="1389"/>
      <c r="C48" s="1404"/>
      <c r="D48" s="1391"/>
      <c r="E48" s="1383"/>
      <c r="F48" s="1392"/>
      <c r="G48" s="1392"/>
      <c r="K48" s="1413"/>
    </row>
    <row r="49" spans="2:14" x14ac:dyDescent="0.2">
      <c r="B49" s="1393"/>
      <c r="C49" s="1394" t="s">
        <v>919</v>
      </c>
      <c r="D49" s="1395"/>
      <c r="E49" s="1396" t="s">
        <v>826</v>
      </c>
      <c r="F49" s="1397">
        <f>+F37+F41+F45</f>
        <v>148660</v>
      </c>
      <c r="G49" s="1397">
        <f>+G37+G41+G45</f>
        <v>108767</v>
      </c>
      <c r="H49" s="1374" t="s">
        <v>1286</v>
      </c>
      <c r="K49" s="1413"/>
    </row>
    <row r="50" spans="2:14" ht="15" thickBot="1" x14ac:dyDescent="0.25">
      <c r="B50" s="1393"/>
      <c r="C50" s="1394"/>
      <c r="D50" s="1395"/>
      <c r="E50" s="1396" t="s">
        <v>827</v>
      </c>
      <c r="F50" s="1397">
        <f>+F38+F42+F46</f>
        <v>943817</v>
      </c>
      <c r="G50" s="1397">
        <f>+G38+G42+G46</f>
        <v>951963</v>
      </c>
      <c r="K50" s="1413"/>
    </row>
    <row r="51" spans="2:14" ht="21.75" customHeight="1" thickBot="1" x14ac:dyDescent="0.3">
      <c r="B51" s="1405" t="s">
        <v>920</v>
      </c>
      <c r="C51" s="2750" t="s">
        <v>919</v>
      </c>
      <c r="D51" s="2751"/>
      <c r="E51" s="1406" t="s">
        <v>829</v>
      </c>
      <c r="F51" s="1407">
        <f>SUM(F49:F50)</f>
        <v>1092477</v>
      </c>
      <c r="G51" s="1407">
        <f>SUM(G49:G50)</f>
        <v>1060730</v>
      </c>
      <c r="H51" s="1396"/>
      <c r="I51" s="1396">
        <v>1060730</v>
      </c>
      <c r="J51" s="1396"/>
      <c r="K51" s="1413">
        <f t="shared" si="0"/>
        <v>0</v>
      </c>
      <c r="L51" s="1396"/>
      <c r="M51" s="1396"/>
      <c r="N51" s="1396"/>
    </row>
    <row r="52" spans="2:14" ht="12.75" customHeight="1" x14ac:dyDescent="0.25">
      <c r="B52" s="1408"/>
      <c r="C52" s="1409"/>
      <c r="D52" s="1410"/>
      <c r="E52" s="1411"/>
      <c r="F52" s="1412"/>
      <c r="G52" s="1412"/>
      <c r="H52" s="1396"/>
      <c r="I52" s="1396"/>
      <c r="J52" s="1396"/>
      <c r="K52" s="1413"/>
      <c r="L52" s="1396"/>
      <c r="M52" s="1396"/>
      <c r="N52" s="1396"/>
    </row>
    <row r="53" spans="2:14" ht="12.75" customHeight="1" x14ac:dyDescent="0.25">
      <c r="B53" s="1408"/>
      <c r="C53" s="1409"/>
      <c r="D53" s="1410"/>
      <c r="E53" s="1411"/>
      <c r="F53" s="1412"/>
      <c r="G53" s="1412"/>
      <c r="H53" s="1396"/>
      <c r="I53" s="1396"/>
      <c r="J53" s="1396"/>
      <c r="K53" s="1413"/>
      <c r="L53" s="1396"/>
      <c r="M53" s="1396"/>
      <c r="N53" s="1396"/>
    </row>
    <row r="54" spans="2:14" ht="12" customHeight="1" x14ac:dyDescent="0.2">
      <c r="B54" s="1393"/>
      <c r="C54" s="1394" t="s">
        <v>921</v>
      </c>
      <c r="D54" s="1395"/>
      <c r="E54" s="1396" t="s">
        <v>826</v>
      </c>
      <c r="F54" s="1397">
        <v>0</v>
      </c>
      <c r="G54" s="1397">
        <v>0</v>
      </c>
      <c r="H54" s="1396"/>
      <c r="I54" s="1396"/>
      <c r="J54" s="1396"/>
      <c r="K54" s="1413"/>
      <c r="L54" s="1396"/>
      <c r="M54" s="1396"/>
      <c r="N54" s="1396"/>
    </row>
    <row r="55" spans="2:14" ht="12" customHeight="1" thickBot="1" x14ac:dyDescent="0.25">
      <c r="B55" s="1393"/>
      <c r="C55" s="1394"/>
      <c r="D55" s="1395"/>
      <c r="E55" s="1396" t="s">
        <v>827</v>
      </c>
      <c r="F55" s="1397">
        <v>0</v>
      </c>
      <c r="G55" s="1397"/>
      <c r="H55" s="1396"/>
      <c r="I55" s="1396"/>
      <c r="J55" s="1396"/>
      <c r="K55" s="1413"/>
      <c r="L55" s="1396"/>
      <c r="M55" s="1396"/>
      <c r="N55" s="1396"/>
    </row>
    <row r="56" spans="2:14" ht="35.25" customHeight="1" thickBot="1" x14ac:dyDescent="0.3">
      <c r="B56" s="1405" t="s">
        <v>922</v>
      </c>
      <c r="C56" s="2750" t="s">
        <v>921</v>
      </c>
      <c r="D56" s="2751"/>
      <c r="E56" s="1406" t="s">
        <v>829</v>
      </c>
      <c r="F56" s="1407">
        <f>SUM(F54:F55)</f>
        <v>0</v>
      </c>
      <c r="G56" s="1407">
        <f>SUM(G54:G55)</f>
        <v>0</v>
      </c>
      <c r="H56" s="1396"/>
      <c r="I56" s="1396">
        <v>0</v>
      </c>
      <c r="J56" s="1396"/>
      <c r="K56" s="1413">
        <f t="shared" si="0"/>
        <v>0</v>
      </c>
      <c r="L56" s="1396"/>
      <c r="M56" s="1396"/>
      <c r="N56" s="1396"/>
    </row>
    <row r="57" spans="2:14" ht="12" customHeight="1" x14ac:dyDescent="0.25">
      <c r="B57" s="1389"/>
      <c r="C57" s="1390"/>
      <c r="D57" s="1391"/>
      <c r="E57" s="1383"/>
      <c r="F57" s="1392"/>
      <c r="G57" s="1392"/>
      <c r="K57" s="1413"/>
    </row>
    <row r="58" spans="2:14" ht="15" customHeight="1" x14ac:dyDescent="0.2">
      <c r="B58" s="1393"/>
      <c r="C58" s="1394" t="s">
        <v>923</v>
      </c>
      <c r="D58" s="1395"/>
      <c r="E58" s="1396" t="s">
        <v>826</v>
      </c>
      <c r="F58" s="1397">
        <v>22993</v>
      </c>
      <c r="G58" s="1397">
        <v>23069</v>
      </c>
      <c r="H58" s="1396"/>
      <c r="I58" s="1396"/>
      <c r="J58" s="1396"/>
      <c r="K58" s="1413"/>
      <c r="L58" s="1396"/>
      <c r="M58" s="1396"/>
    </row>
    <row r="59" spans="2:14" ht="12.75" customHeight="1" x14ac:dyDescent="0.2">
      <c r="B59" s="1393"/>
      <c r="C59" s="1394"/>
      <c r="D59" s="1395"/>
      <c r="E59" s="1396" t="s">
        <v>827</v>
      </c>
      <c r="F59" s="1397">
        <v>96506</v>
      </c>
      <c r="G59" s="1397">
        <v>76628</v>
      </c>
      <c r="K59" s="1413"/>
    </row>
    <row r="60" spans="2:14" ht="30.75" customHeight="1" x14ac:dyDescent="0.25">
      <c r="B60" s="1398" t="s">
        <v>924</v>
      </c>
      <c r="C60" s="2748" t="s">
        <v>925</v>
      </c>
      <c r="D60" s="2749"/>
      <c r="E60" s="1401" t="s">
        <v>829</v>
      </c>
      <c r="F60" s="1402">
        <f>SUM(F58:F59)</f>
        <v>119499</v>
      </c>
      <c r="G60" s="1402">
        <f>SUM(G58:G59)</f>
        <v>99697</v>
      </c>
      <c r="I60" s="1374">
        <v>99697</v>
      </c>
      <c r="K60" s="1413">
        <f t="shared" si="0"/>
        <v>0</v>
      </c>
    </row>
    <row r="61" spans="2:14" x14ac:dyDescent="0.2">
      <c r="B61" s="1393"/>
      <c r="C61" s="1394"/>
      <c r="D61" s="1395"/>
      <c r="E61" s="1396"/>
      <c r="F61" s="1397"/>
      <c r="G61" s="1397"/>
      <c r="K61" s="1413"/>
    </row>
    <row r="62" spans="2:14" x14ac:dyDescent="0.2">
      <c r="B62" s="1393"/>
      <c r="C62" s="1394" t="s">
        <v>890</v>
      </c>
      <c r="D62" s="1395"/>
      <c r="E62" s="1396" t="s">
        <v>826</v>
      </c>
      <c r="F62" s="1397">
        <v>451426</v>
      </c>
      <c r="G62" s="1397">
        <v>578798</v>
      </c>
      <c r="K62" s="1413"/>
    </row>
    <row r="63" spans="2:14" x14ac:dyDescent="0.2">
      <c r="B63" s="1393"/>
      <c r="C63" s="1403"/>
      <c r="D63" s="1395"/>
      <c r="E63" s="1396" t="s">
        <v>827</v>
      </c>
      <c r="F63" s="1397">
        <v>228972</v>
      </c>
      <c r="G63" s="1397">
        <v>261289</v>
      </c>
      <c r="K63" s="1413"/>
    </row>
    <row r="64" spans="2:14" ht="19.5" customHeight="1" x14ac:dyDescent="0.25">
      <c r="B64" s="1398" t="s">
        <v>926</v>
      </c>
      <c r="C64" s="1399" t="s">
        <v>927</v>
      </c>
      <c r="D64" s="1400"/>
      <c r="E64" s="1401" t="s">
        <v>829</v>
      </c>
      <c r="F64" s="1402">
        <f>SUM(F62:F63)</f>
        <v>680398</v>
      </c>
      <c r="G64" s="1402">
        <f>SUM(G62:G63)</f>
        <v>840087</v>
      </c>
      <c r="I64" s="1374">
        <v>840088</v>
      </c>
      <c r="K64" s="1413">
        <f t="shared" si="0"/>
        <v>1</v>
      </c>
    </row>
    <row r="65" spans="2:11" ht="12.75" customHeight="1" x14ac:dyDescent="0.2">
      <c r="B65" s="1393"/>
      <c r="C65" s="1394"/>
      <c r="D65" s="1395"/>
      <c r="E65" s="1396"/>
      <c r="F65" s="1397"/>
      <c r="G65" s="1397"/>
      <c r="K65" s="1413"/>
    </row>
    <row r="66" spans="2:11" x14ac:dyDescent="0.2">
      <c r="B66" s="1393"/>
      <c r="C66" s="1394" t="s">
        <v>928</v>
      </c>
      <c r="D66" s="1395"/>
      <c r="E66" s="1396" t="s">
        <v>826</v>
      </c>
      <c r="F66" s="1397">
        <v>335</v>
      </c>
      <c r="G66" s="1397">
        <v>812</v>
      </c>
      <c r="K66" s="1413"/>
    </row>
    <row r="67" spans="2:11" x14ac:dyDescent="0.2">
      <c r="B67" s="1393"/>
      <c r="C67" s="1394"/>
      <c r="D67" s="1395"/>
      <c r="E67" s="1396" t="s">
        <v>827</v>
      </c>
      <c r="F67" s="1397">
        <v>10882221</v>
      </c>
      <c r="G67" s="1397">
        <v>12651586</v>
      </c>
      <c r="K67" s="1413"/>
    </row>
    <row r="68" spans="2:11" ht="16.5" customHeight="1" x14ac:dyDescent="0.25">
      <c r="B68" s="1398" t="s">
        <v>929</v>
      </c>
      <c r="C68" s="1399" t="s">
        <v>928</v>
      </c>
      <c r="D68" s="1400"/>
      <c r="E68" s="1401" t="s">
        <v>829</v>
      </c>
      <c r="F68" s="1402">
        <f>SUM(F66:F67)</f>
        <v>10882556</v>
      </c>
      <c r="G68" s="1402">
        <f>SUM(G66:G67)</f>
        <v>12652398</v>
      </c>
      <c r="I68" s="1374">
        <v>12652398</v>
      </c>
      <c r="K68" s="1413">
        <f t="shared" si="0"/>
        <v>0</v>
      </c>
    </row>
    <row r="69" spans="2:11" x14ac:dyDescent="0.2">
      <c r="B69" s="1393"/>
      <c r="C69" s="1394"/>
      <c r="D69" s="1395"/>
      <c r="E69" s="1396"/>
      <c r="F69" s="1397"/>
      <c r="G69" s="1397"/>
      <c r="K69" s="1413"/>
    </row>
    <row r="70" spans="2:11" ht="15" customHeight="1" x14ac:dyDescent="0.2">
      <c r="B70" s="1393"/>
      <c r="C70" s="1394" t="s">
        <v>930</v>
      </c>
      <c r="D70" s="1395"/>
      <c r="E70" s="1396" t="s">
        <v>826</v>
      </c>
      <c r="F70" s="1397">
        <f>+F58+F62+F66</f>
        <v>474754</v>
      </c>
      <c r="G70" s="1397">
        <f>+G58+G62+G66</f>
        <v>602679</v>
      </c>
      <c r="K70" s="1413"/>
    </row>
    <row r="71" spans="2:11" ht="15" thickBot="1" x14ac:dyDescent="0.25">
      <c r="B71" s="1393"/>
      <c r="C71" s="1394"/>
      <c r="D71" s="1395"/>
      <c r="E71" s="1396" t="s">
        <v>827</v>
      </c>
      <c r="F71" s="1397">
        <f>+F59+F63+F67</f>
        <v>11207699</v>
      </c>
      <c r="G71" s="1397">
        <f>+G59+G63+G67</f>
        <v>12989503</v>
      </c>
      <c r="K71" s="1413"/>
    </row>
    <row r="72" spans="2:11" ht="24.75" customHeight="1" thickBot="1" x14ac:dyDescent="0.3">
      <c r="B72" s="1405" t="s">
        <v>931</v>
      </c>
      <c r="C72" s="2750" t="s">
        <v>932</v>
      </c>
      <c r="D72" s="2751"/>
      <c r="E72" s="1406" t="s">
        <v>829</v>
      </c>
      <c r="F72" s="1407">
        <f>SUM(F70:F71)</f>
        <v>11682453</v>
      </c>
      <c r="G72" s="1407">
        <f>SUM(G70:G71)</f>
        <v>13592182</v>
      </c>
      <c r="I72" s="1374">
        <v>13592182</v>
      </c>
      <c r="K72" s="1413">
        <f t="shared" si="0"/>
        <v>0</v>
      </c>
    </row>
    <row r="73" spans="2:11" x14ac:dyDescent="0.2">
      <c r="B73" s="1393"/>
      <c r="C73" s="1394"/>
      <c r="D73" s="1395"/>
      <c r="E73" s="1396"/>
      <c r="F73" s="1397"/>
      <c r="G73" s="1397"/>
      <c r="K73" s="1413"/>
    </row>
    <row r="74" spans="2:11" ht="15" x14ac:dyDescent="0.25">
      <c r="B74" s="1393"/>
      <c r="C74" s="1390" t="s">
        <v>897</v>
      </c>
      <c r="D74" s="1395"/>
      <c r="E74" s="1396" t="s">
        <v>826</v>
      </c>
      <c r="F74" s="1397">
        <f>+F33+F49+F54+F70</f>
        <v>6184389</v>
      </c>
      <c r="G74" s="1397">
        <f>+G33+G49+G54+G70</f>
        <v>6088257</v>
      </c>
      <c r="K74" s="1413"/>
    </row>
    <row r="75" spans="2:11" ht="15" thickBot="1" x14ac:dyDescent="0.25">
      <c r="B75" s="1393"/>
      <c r="C75" s="1394"/>
      <c r="D75" s="1395"/>
      <c r="E75" s="1396" t="s">
        <v>827</v>
      </c>
      <c r="F75" s="1397">
        <f>+F34+F50+F55+F71</f>
        <v>81394366</v>
      </c>
      <c r="G75" s="1397">
        <f>+G34+G50+G55+G71</f>
        <v>83322614</v>
      </c>
      <c r="K75" s="1413"/>
    </row>
    <row r="76" spans="2:11" ht="24.75" customHeight="1" thickBot="1" x14ac:dyDescent="0.3">
      <c r="B76" s="1405"/>
      <c r="C76" s="2750" t="s">
        <v>933</v>
      </c>
      <c r="D76" s="2751"/>
      <c r="E76" s="1406" t="s">
        <v>829</v>
      </c>
      <c r="F76" s="1407">
        <f>SUM(F74:F75)</f>
        <v>87578755</v>
      </c>
      <c r="G76" s="1407">
        <f>SUM(G74:G75)</f>
        <v>89410871</v>
      </c>
      <c r="I76" s="1374">
        <v>89410871</v>
      </c>
      <c r="K76" s="1413">
        <f t="shared" ref="K76" si="1">+I76-G76</f>
        <v>0</v>
      </c>
    </row>
    <row r="77" spans="2:11" ht="12.75" customHeight="1" x14ac:dyDescent="0.2"/>
    <row r="78" spans="2:11" x14ac:dyDescent="0.2">
      <c r="F78" s="1413">
        <f>+'23 eszközök'!F139</f>
        <v>87578755</v>
      </c>
      <c r="G78" s="1413">
        <f>+'23 eszközök'!G139</f>
        <v>89410871</v>
      </c>
    </row>
    <row r="79" spans="2:11" x14ac:dyDescent="0.2">
      <c r="F79" s="1413">
        <f>+F76-F78</f>
        <v>0</v>
      </c>
      <c r="G79" s="1413">
        <f>+G76-G78</f>
        <v>0</v>
      </c>
    </row>
    <row r="82" spans="8:8" ht="15" customHeight="1" x14ac:dyDescent="0.2"/>
    <row r="83" spans="8:8" ht="12" customHeight="1" x14ac:dyDescent="0.2"/>
    <row r="84" spans="8:8" x14ac:dyDescent="0.2">
      <c r="H84" s="1413"/>
    </row>
    <row r="85" spans="8:8" x14ac:dyDescent="0.2">
      <c r="H85" s="1413"/>
    </row>
    <row r="86" spans="8:8" x14ac:dyDescent="0.2">
      <c r="H86" s="1413"/>
    </row>
    <row r="88" spans="8:8" ht="21" customHeight="1" x14ac:dyDescent="0.2"/>
  </sheetData>
  <mergeCells count="9">
    <mergeCell ref="C60:D60"/>
    <mergeCell ref="C72:D72"/>
    <mergeCell ref="C76:D76"/>
    <mergeCell ref="B2:G2"/>
    <mergeCell ref="B3:G3"/>
    <mergeCell ref="C5:D5"/>
    <mergeCell ref="C35:D35"/>
    <mergeCell ref="C51:D51"/>
    <mergeCell ref="C56:D56"/>
  </mergeCells>
  <printOptions horizontalCentered="1" verticalCentered="1"/>
  <pageMargins left="0.19685039370078741" right="0.19685039370078741" top="0.39370078740157483" bottom="0.35433070866141736" header="0.15748031496062992" footer="0.31496062992125984"/>
  <pageSetup paperSize="9" scale="69" orientation="portrait" r:id="rId1"/>
  <headerFooter alignWithMargins="0">
    <oddHeader>&amp;R&amp;"Arial CE,Félkövér"&amp;13 24. melléklet a …../2019. (…….) önkormányzati rendelethez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3:L204"/>
  <sheetViews>
    <sheetView zoomScale="75" zoomScaleNormal="75" workbookViewId="0">
      <selection activeCell="B5" sqref="B5:F5"/>
    </sheetView>
  </sheetViews>
  <sheetFormatPr defaultColWidth="12" defaultRowHeight="15" x14ac:dyDescent="0.2"/>
  <cols>
    <col min="1" max="1" width="5.33203125" style="1414" customWidth="1"/>
    <col min="2" max="2" width="44" style="1414" customWidth="1"/>
    <col min="3" max="3" width="13.1640625" style="1439" customWidth="1"/>
    <col min="4" max="4" width="63.5" style="1414" customWidth="1"/>
    <col min="5" max="5" width="13.1640625" style="1439" customWidth="1"/>
    <col min="6" max="6" width="15.6640625" style="1414" customWidth="1"/>
    <col min="7" max="16384" width="12" style="1414"/>
  </cols>
  <sheetData>
    <row r="3" spans="2:6" ht="18.75" customHeight="1" x14ac:dyDescent="0.25">
      <c r="B3" s="2756" t="s">
        <v>784</v>
      </c>
      <c r="C3" s="2756"/>
      <c r="D3" s="2756"/>
      <c r="E3" s="2756"/>
      <c r="F3" s="2756"/>
    </row>
    <row r="4" spans="2:6" ht="24" customHeight="1" x14ac:dyDescent="0.2">
      <c r="B4" s="2757" t="s">
        <v>1789</v>
      </c>
      <c r="C4" s="2757"/>
      <c r="D4" s="2757"/>
      <c r="E4" s="2757"/>
      <c r="F4" s="2757"/>
    </row>
    <row r="5" spans="2:6" s="1415" customFormat="1" ht="24" customHeight="1" x14ac:dyDescent="0.25">
      <c r="B5" s="2758" t="s">
        <v>934</v>
      </c>
      <c r="C5" s="2758"/>
      <c r="D5" s="2758"/>
      <c r="E5" s="2758"/>
      <c r="F5" s="2758"/>
    </row>
    <row r="6" spans="2:6" x14ac:dyDescent="0.2">
      <c r="B6" s="2758" t="s">
        <v>935</v>
      </c>
      <c r="C6" s="2758"/>
      <c r="D6" s="2758"/>
      <c r="E6" s="2758"/>
      <c r="F6" s="2758"/>
    </row>
    <row r="7" spans="2:6" x14ac:dyDescent="0.2">
      <c r="B7" s="2758" t="s">
        <v>936</v>
      </c>
      <c r="C7" s="2758"/>
      <c r="D7" s="2758"/>
      <c r="E7" s="2758"/>
      <c r="F7" s="2758"/>
    </row>
    <row r="8" spans="2:6" ht="15.75" thickBot="1" x14ac:dyDescent="0.25">
      <c r="B8" s="2755" t="s">
        <v>937</v>
      </c>
      <c r="C8" s="2755"/>
      <c r="D8" s="2755"/>
      <c r="E8" s="2755"/>
      <c r="F8" s="2755"/>
    </row>
    <row r="9" spans="2:6" ht="42" customHeight="1" thickBot="1" x14ac:dyDescent="0.3">
      <c r="B9" s="1416" t="s">
        <v>938</v>
      </c>
      <c r="C9" s="1417" t="s">
        <v>939</v>
      </c>
      <c r="D9" s="1418" t="s">
        <v>940</v>
      </c>
      <c r="E9" s="1419" t="s">
        <v>941</v>
      </c>
      <c r="F9" s="1420" t="s">
        <v>942</v>
      </c>
    </row>
    <row r="10" spans="2:6" ht="24.75" customHeight="1" x14ac:dyDescent="0.25">
      <c r="B10" s="1421" t="s">
        <v>943</v>
      </c>
      <c r="C10" s="1422"/>
      <c r="D10" s="1423"/>
      <c r="E10" s="1424"/>
      <c r="F10" s="1425"/>
    </row>
    <row r="11" spans="2:6" x14ac:dyDescent="0.2">
      <c r="B11" s="1426" t="s">
        <v>944</v>
      </c>
      <c r="C11" s="1427">
        <v>50846</v>
      </c>
      <c r="D11" s="1428" t="s">
        <v>945</v>
      </c>
      <c r="E11" s="1429">
        <v>28873</v>
      </c>
      <c r="F11" s="1425"/>
    </row>
    <row r="12" spans="2:6" x14ac:dyDescent="0.2">
      <c r="B12" s="1426"/>
      <c r="C12" s="1427"/>
      <c r="D12" s="1428" t="s">
        <v>946</v>
      </c>
      <c r="E12" s="1429">
        <v>14078</v>
      </c>
      <c r="F12" s="1425"/>
    </row>
    <row r="13" spans="2:6" x14ac:dyDescent="0.2">
      <c r="B13" s="1426"/>
      <c r="C13" s="1427"/>
      <c r="D13" s="1428" t="s">
        <v>947</v>
      </c>
      <c r="E13" s="1429">
        <v>4524</v>
      </c>
      <c r="F13" s="1425"/>
    </row>
    <row r="14" spans="2:6" x14ac:dyDescent="0.2">
      <c r="B14" s="1426"/>
      <c r="C14" s="1430"/>
      <c r="D14" s="1428" t="s">
        <v>948</v>
      </c>
      <c r="E14" s="1429">
        <v>1135</v>
      </c>
      <c r="F14" s="1425"/>
    </row>
    <row r="15" spans="2:6" x14ac:dyDescent="0.2">
      <c r="B15" s="1426"/>
      <c r="C15" s="1430"/>
      <c r="D15" s="1428" t="s">
        <v>949</v>
      </c>
      <c r="E15" s="1429">
        <v>1500</v>
      </c>
      <c r="F15" s="1425"/>
    </row>
    <row r="16" spans="2:6" x14ac:dyDescent="0.2">
      <c r="B16" s="1426"/>
      <c r="C16" s="1427"/>
      <c r="D16" s="1428" t="s">
        <v>950</v>
      </c>
      <c r="E16" s="1429">
        <v>736</v>
      </c>
      <c r="F16" s="1425"/>
    </row>
    <row r="17" spans="2:9" s="1415" customFormat="1" ht="23.25" customHeight="1" thickBot="1" x14ac:dyDescent="0.3">
      <c r="B17" s="1431"/>
      <c r="C17" s="1432">
        <f>SUM(C11:C16)</f>
        <v>50846</v>
      </c>
      <c r="D17" s="1433"/>
      <c r="E17" s="1434">
        <f>SUM(E11:E16)</f>
        <v>50846</v>
      </c>
      <c r="F17" s="1435">
        <f>C17-E17</f>
        <v>0</v>
      </c>
    </row>
    <row r="18" spans="2:9" s="1415" customFormat="1" ht="19.5" customHeight="1" x14ac:dyDescent="0.25">
      <c r="B18" s="1421" t="s">
        <v>951</v>
      </c>
      <c r="C18" s="1430"/>
      <c r="D18" s="1423"/>
      <c r="E18" s="1424"/>
      <c r="F18" s="1436"/>
      <c r="I18" s="1414"/>
    </row>
    <row r="19" spans="2:9" x14ac:dyDescent="0.2">
      <c r="B19" s="1426" t="s">
        <v>952</v>
      </c>
      <c r="C19" s="1427">
        <v>488825</v>
      </c>
      <c r="D19" s="1428" t="s">
        <v>953</v>
      </c>
      <c r="E19" s="1429">
        <v>32035</v>
      </c>
      <c r="F19" s="1425"/>
    </row>
    <row r="20" spans="2:9" x14ac:dyDescent="0.2">
      <c r="B20" s="1426" t="s">
        <v>95</v>
      </c>
      <c r="C20" s="1430"/>
      <c r="D20" s="1428" t="s">
        <v>954</v>
      </c>
      <c r="E20" s="1429">
        <v>4070</v>
      </c>
      <c r="F20" s="1425"/>
      <c r="I20" s="1414" t="s">
        <v>95</v>
      </c>
    </row>
    <row r="21" spans="2:9" x14ac:dyDescent="0.2">
      <c r="B21" s="1426" t="s">
        <v>95</v>
      </c>
      <c r="C21" s="1430" t="s">
        <v>95</v>
      </c>
      <c r="D21" s="1428" t="s">
        <v>955</v>
      </c>
      <c r="E21" s="1429">
        <v>47933</v>
      </c>
      <c r="F21" s="1425"/>
    </row>
    <row r="22" spans="2:9" x14ac:dyDescent="0.2">
      <c r="B22" s="1426"/>
      <c r="C22" s="1427"/>
      <c r="D22" s="1428" t="s">
        <v>956</v>
      </c>
      <c r="E22" s="1429">
        <v>1982</v>
      </c>
      <c r="F22" s="1425"/>
    </row>
    <row r="23" spans="2:9" x14ac:dyDescent="0.2">
      <c r="B23" s="1426"/>
      <c r="C23" s="1427"/>
      <c r="D23" s="1428" t="s">
        <v>957</v>
      </c>
      <c r="E23" s="1429">
        <v>6481</v>
      </c>
      <c r="F23" s="1425"/>
    </row>
    <row r="24" spans="2:9" x14ac:dyDescent="0.2">
      <c r="B24" s="1426"/>
      <c r="C24" s="1430"/>
      <c r="D24" s="1428" t="s">
        <v>958</v>
      </c>
      <c r="E24" s="1429">
        <v>6222</v>
      </c>
      <c r="F24" s="1425"/>
    </row>
    <row r="25" spans="2:9" x14ac:dyDescent="0.2">
      <c r="B25" s="1426"/>
      <c r="C25" s="1427"/>
      <c r="D25" s="1428" t="s">
        <v>959</v>
      </c>
      <c r="E25" s="1429">
        <v>9089</v>
      </c>
      <c r="F25" s="1425"/>
    </row>
    <row r="26" spans="2:9" x14ac:dyDescent="0.2">
      <c r="B26" s="1426"/>
      <c r="C26" s="1430"/>
      <c r="D26" s="1428" t="s">
        <v>960</v>
      </c>
      <c r="E26" s="1429">
        <v>538</v>
      </c>
      <c r="F26" s="1425"/>
    </row>
    <row r="27" spans="2:9" x14ac:dyDescent="0.2">
      <c r="B27" s="1426"/>
      <c r="C27" s="1430"/>
      <c r="D27" s="1428" t="s">
        <v>961</v>
      </c>
      <c r="E27" s="1429">
        <v>729</v>
      </c>
      <c r="F27" s="1425"/>
    </row>
    <row r="28" spans="2:9" x14ac:dyDescent="0.2">
      <c r="B28" s="1426"/>
      <c r="C28" s="1430"/>
      <c r="D28" s="1428" t="s">
        <v>962</v>
      </c>
      <c r="E28" s="1429">
        <f>450+21863</f>
        <v>22313</v>
      </c>
      <c r="F28" s="1425"/>
    </row>
    <row r="29" spans="2:9" x14ac:dyDescent="0.2">
      <c r="B29" s="1426"/>
      <c r="C29" s="1430"/>
      <c r="D29" s="1428" t="s">
        <v>963</v>
      </c>
      <c r="E29" s="1429">
        <v>22728</v>
      </c>
      <c r="F29" s="1425"/>
    </row>
    <row r="30" spans="2:9" x14ac:dyDescent="0.2">
      <c r="B30" s="1426"/>
      <c r="C30" s="1430"/>
      <c r="D30" s="1428" t="s">
        <v>964</v>
      </c>
      <c r="E30" s="1429">
        <v>17603</v>
      </c>
      <c r="F30" s="1425"/>
    </row>
    <row r="31" spans="2:9" x14ac:dyDescent="0.2">
      <c r="B31" s="1426"/>
      <c r="C31" s="1427"/>
      <c r="D31" s="1428" t="s">
        <v>965</v>
      </c>
      <c r="E31" s="1429">
        <v>1126</v>
      </c>
      <c r="F31" s="1425"/>
    </row>
    <row r="32" spans="2:9" x14ac:dyDescent="0.2">
      <c r="B32" s="1426"/>
      <c r="C32" s="1427"/>
      <c r="D32" s="1428" t="s">
        <v>966</v>
      </c>
      <c r="E32" s="1429">
        <v>10907</v>
      </c>
      <c r="F32" s="1425"/>
    </row>
    <row r="33" spans="2:7" x14ac:dyDescent="0.2">
      <c r="B33" s="1426"/>
      <c r="C33" s="1430"/>
      <c r="D33" s="1428" t="s">
        <v>967</v>
      </c>
      <c r="E33" s="1429">
        <v>30809</v>
      </c>
      <c r="F33" s="1425"/>
    </row>
    <row r="34" spans="2:7" s="1415" customFormat="1" ht="24.75" customHeight="1" thickBot="1" x14ac:dyDescent="0.3">
      <c r="B34" s="1431"/>
      <c r="C34" s="1432">
        <f>SUM(C19:C31)</f>
        <v>488825</v>
      </c>
      <c r="D34" s="1433"/>
      <c r="E34" s="1434">
        <f>SUM(E19:E33)</f>
        <v>214565</v>
      </c>
      <c r="F34" s="1435">
        <f>C34-E34</f>
        <v>274260</v>
      </c>
      <c r="G34" s="1415" t="s">
        <v>95</v>
      </c>
    </row>
    <row r="35" spans="2:7" ht="18.75" customHeight="1" x14ac:dyDescent="0.25">
      <c r="B35" s="1421" t="s">
        <v>968</v>
      </c>
      <c r="C35" s="1437"/>
      <c r="D35" s="1428"/>
      <c r="E35" s="1429"/>
      <c r="F35" s="1438"/>
    </row>
    <row r="36" spans="2:7" x14ac:dyDescent="0.2">
      <c r="B36" s="1426" t="s">
        <v>969</v>
      </c>
      <c r="C36" s="1427">
        <v>493187</v>
      </c>
      <c r="D36" s="1428" t="s">
        <v>970</v>
      </c>
      <c r="E36" s="1429">
        <v>9851</v>
      </c>
      <c r="F36" s="1425"/>
      <c r="G36" s="1414" t="s">
        <v>95</v>
      </c>
    </row>
    <row r="37" spans="2:7" x14ac:dyDescent="0.2">
      <c r="B37" s="1426" t="s">
        <v>971</v>
      </c>
      <c r="C37" s="1427">
        <v>-28127</v>
      </c>
      <c r="D37" s="1428" t="s">
        <v>972</v>
      </c>
      <c r="E37" s="1429">
        <v>19307</v>
      </c>
      <c r="F37" s="1425"/>
    </row>
    <row r="38" spans="2:7" x14ac:dyDescent="0.2">
      <c r="B38" s="1426" t="s">
        <v>95</v>
      </c>
      <c r="C38" s="1430" t="s">
        <v>95</v>
      </c>
      <c r="D38" s="1428" t="s">
        <v>973</v>
      </c>
      <c r="E38" s="1429">
        <v>15266</v>
      </c>
      <c r="F38" s="1425"/>
      <c r="G38" s="1414" t="s">
        <v>95</v>
      </c>
    </row>
    <row r="39" spans="2:7" x14ac:dyDescent="0.2">
      <c r="B39" s="1426"/>
      <c r="C39" s="1430"/>
      <c r="D39" s="1428" t="s">
        <v>974</v>
      </c>
      <c r="E39" s="1429">
        <v>30965</v>
      </c>
      <c r="F39" s="1425"/>
      <c r="G39" s="1439" t="s">
        <v>95</v>
      </c>
    </row>
    <row r="40" spans="2:7" x14ac:dyDescent="0.2">
      <c r="B40" s="1426"/>
      <c r="C40" s="1430"/>
      <c r="D40" s="1428" t="s">
        <v>958</v>
      </c>
      <c r="E40" s="1429">
        <v>113</v>
      </c>
      <c r="F40" s="1425"/>
    </row>
    <row r="41" spans="2:7" x14ac:dyDescent="0.2">
      <c r="B41" s="1426"/>
      <c r="C41" s="1430"/>
      <c r="D41" s="1428" t="s">
        <v>975</v>
      </c>
      <c r="E41" s="1429">
        <f>18500+69022</f>
        <v>87522</v>
      </c>
      <c r="F41" s="1425"/>
    </row>
    <row r="42" spans="2:7" x14ac:dyDescent="0.2">
      <c r="B42" s="1426"/>
      <c r="C42" s="1430"/>
      <c r="D42" s="1428" t="s">
        <v>976</v>
      </c>
      <c r="E42" s="1429">
        <f>26681+18717</f>
        <v>45398</v>
      </c>
      <c r="F42" s="1425"/>
    </row>
    <row r="43" spans="2:7" x14ac:dyDescent="0.2">
      <c r="B43" s="1426"/>
      <c r="C43" s="1430"/>
      <c r="D43" s="1428" t="s">
        <v>962</v>
      </c>
      <c r="E43" s="1429">
        <f>200+41364+3500</f>
        <v>45064</v>
      </c>
      <c r="F43" s="1425"/>
    </row>
    <row r="44" spans="2:7" x14ac:dyDescent="0.2">
      <c r="B44" s="1426"/>
      <c r="C44" s="1430"/>
      <c r="D44" s="1428" t="s">
        <v>963</v>
      </c>
      <c r="E44" s="1429">
        <v>44264</v>
      </c>
      <c r="F44" s="1425"/>
    </row>
    <row r="45" spans="2:7" x14ac:dyDescent="0.2">
      <c r="B45" s="1426"/>
      <c r="C45" s="1430"/>
      <c r="D45" s="1428" t="s">
        <v>977</v>
      </c>
      <c r="E45" s="1429">
        <f>24875+383+1163</f>
        <v>26421</v>
      </c>
      <c r="F45" s="1425"/>
    </row>
    <row r="46" spans="2:7" x14ac:dyDescent="0.2">
      <c r="B46" s="1426"/>
      <c r="C46" s="1430"/>
      <c r="D46" s="1428" t="s">
        <v>978</v>
      </c>
      <c r="E46" s="1429">
        <v>960</v>
      </c>
      <c r="F46" s="1425"/>
    </row>
    <row r="47" spans="2:7" x14ac:dyDescent="0.2">
      <c r="B47" s="1426"/>
      <c r="C47" s="1430"/>
      <c r="D47" s="1428" t="s">
        <v>979</v>
      </c>
      <c r="E47" s="1429">
        <v>4527</v>
      </c>
      <c r="F47" s="1425"/>
    </row>
    <row r="48" spans="2:7" s="1415" customFormat="1" ht="21.75" customHeight="1" thickBot="1" x14ac:dyDescent="0.3">
      <c r="B48" s="1431"/>
      <c r="C48" s="1432">
        <f>SUM(C36:C47)</f>
        <v>465060</v>
      </c>
      <c r="D48" s="1433"/>
      <c r="E48" s="1434">
        <f>SUM(E36:E47)</f>
        <v>329658</v>
      </c>
      <c r="F48" s="1435">
        <f>F34+C48-E48</f>
        <v>409662</v>
      </c>
      <c r="G48" s="1440" t="s">
        <v>95</v>
      </c>
    </row>
    <row r="49" spans="2:7" ht="15.95" customHeight="1" x14ac:dyDescent="0.25">
      <c r="B49" s="1421" t="s">
        <v>980</v>
      </c>
      <c r="C49" s="1429"/>
      <c r="D49" s="1441" t="s">
        <v>981</v>
      </c>
      <c r="E49" s="1429">
        <v>133269</v>
      </c>
      <c r="F49" s="1425"/>
      <c r="G49" s="1414" t="s">
        <v>95</v>
      </c>
    </row>
    <row r="50" spans="2:7" ht="15.95" customHeight="1" x14ac:dyDescent="0.2">
      <c r="B50" s="1426" t="s">
        <v>969</v>
      </c>
      <c r="C50" s="1427">
        <v>193170</v>
      </c>
      <c r="D50" s="1428" t="s">
        <v>982</v>
      </c>
      <c r="E50" s="1429">
        <v>525</v>
      </c>
      <c r="F50" s="1425"/>
      <c r="G50" s="1439" t="s">
        <v>95</v>
      </c>
    </row>
    <row r="51" spans="2:7" ht="15.95" customHeight="1" x14ac:dyDescent="0.2">
      <c r="B51" s="1426" t="s">
        <v>971</v>
      </c>
      <c r="C51" s="1427">
        <v>-4770</v>
      </c>
      <c r="D51" s="1428" t="s">
        <v>983</v>
      </c>
      <c r="E51" s="1429">
        <v>140734</v>
      </c>
      <c r="F51" s="1425"/>
    </row>
    <row r="52" spans="2:7" ht="15.95" customHeight="1" x14ac:dyDescent="0.2">
      <c r="B52" s="1426"/>
      <c r="C52" s="1430"/>
      <c r="D52" s="1428" t="s">
        <v>984</v>
      </c>
      <c r="E52" s="1429">
        <v>406</v>
      </c>
      <c r="F52" s="1425"/>
    </row>
    <row r="53" spans="2:7" ht="15.95" customHeight="1" x14ac:dyDescent="0.2">
      <c r="B53" s="1426" t="s">
        <v>985</v>
      </c>
      <c r="C53" s="1427">
        <v>5312</v>
      </c>
      <c r="D53" s="1428" t="s">
        <v>986</v>
      </c>
      <c r="E53" s="1429">
        <v>375</v>
      </c>
      <c r="F53" s="1425"/>
    </row>
    <row r="54" spans="2:7" ht="15.95" customHeight="1" x14ac:dyDescent="0.2">
      <c r="B54" s="1426"/>
      <c r="C54" s="1430"/>
      <c r="D54" s="1428" t="s">
        <v>987</v>
      </c>
      <c r="E54" s="1429">
        <f>10759+332</f>
        <v>11091</v>
      </c>
      <c r="F54" s="1425"/>
    </row>
    <row r="55" spans="2:7" ht="15.95" customHeight="1" x14ac:dyDescent="0.2">
      <c r="B55" s="1426"/>
      <c r="C55" s="1430"/>
      <c r="D55" s="1428" t="s">
        <v>988</v>
      </c>
      <c r="E55" s="1429">
        <v>4187</v>
      </c>
      <c r="F55" s="1425"/>
    </row>
    <row r="56" spans="2:7" ht="15.95" customHeight="1" x14ac:dyDescent="0.2">
      <c r="B56" s="1426"/>
      <c r="C56" s="1430"/>
      <c r="D56" s="1428" t="s">
        <v>989</v>
      </c>
      <c r="E56" s="1429">
        <v>128635</v>
      </c>
      <c r="F56" s="1425"/>
    </row>
    <row r="57" spans="2:7" ht="20.100000000000001" customHeight="1" thickBot="1" x14ac:dyDescent="0.3">
      <c r="B57" s="1431"/>
      <c r="C57" s="1432">
        <f>SUM(C50:C56)</f>
        <v>193712</v>
      </c>
      <c r="D57" s="1433"/>
      <c r="E57" s="1434">
        <f>SUM(E49:E56)</f>
        <v>419222</v>
      </c>
      <c r="F57" s="1435">
        <f>F48+C57-E57</f>
        <v>184152</v>
      </c>
    </row>
    <row r="58" spans="2:7" ht="15.95" customHeight="1" x14ac:dyDescent="0.25">
      <c r="B58" s="1421" t="s">
        <v>990</v>
      </c>
      <c r="C58" s="1429"/>
      <c r="D58" s="1441" t="s">
        <v>991</v>
      </c>
      <c r="E58" s="1429">
        <v>4152</v>
      </c>
      <c r="F58" s="1438" t="s">
        <v>95</v>
      </c>
    </row>
    <row r="59" spans="2:7" ht="15.95" customHeight="1" x14ac:dyDescent="0.2">
      <c r="B59" s="1426" t="s">
        <v>969</v>
      </c>
      <c r="C59" s="1442">
        <v>200124</v>
      </c>
      <c r="D59" s="1428" t="s">
        <v>992</v>
      </c>
      <c r="E59" s="1429">
        <v>1408</v>
      </c>
      <c r="F59" s="1425"/>
    </row>
    <row r="60" spans="2:7" ht="15.95" customHeight="1" x14ac:dyDescent="0.2">
      <c r="B60" s="1426" t="s">
        <v>971</v>
      </c>
      <c r="C60" s="1442">
        <v>-345</v>
      </c>
      <c r="D60" s="1428" t="s">
        <v>983</v>
      </c>
      <c r="E60" s="1429">
        <v>65692</v>
      </c>
      <c r="F60" s="1425"/>
    </row>
    <row r="61" spans="2:7" ht="15.95" customHeight="1" x14ac:dyDescent="0.2">
      <c r="B61" s="1426" t="s">
        <v>95</v>
      </c>
      <c r="C61" s="1442"/>
      <c r="D61" s="1428" t="s">
        <v>993</v>
      </c>
      <c r="E61" s="1429">
        <v>14958</v>
      </c>
      <c r="F61" s="1425"/>
    </row>
    <row r="62" spans="2:7" ht="15.95" customHeight="1" x14ac:dyDescent="0.2">
      <c r="B62" s="1443" t="s">
        <v>985</v>
      </c>
      <c r="C62" s="1442">
        <v>5731</v>
      </c>
      <c r="D62" s="1428" t="s">
        <v>994</v>
      </c>
      <c r="E62" s="1429">
        <v>12874</v>
      </c>
      <c r="F62" s="1425"/>
    </row>
    <row r="63" spans="2:7" ht="15.95" customHeight="1" x14ac:dyDescent="0.2">
      <c r="B63" s="1426" t="s">
        <v>95</v>
      </c>
      <c r="C63" s="1442"/>
      <c r="D63" s="1428" t="s">
        <v>995</v>
      </c>
      <c r="E63" s="1429">
        <v>20264</v>
      </c>
      <c r="F63" s="1425"/>
    </row>
    <row r="64" spans="2:7" ht="15.95" customHeight="1" x14ac:dyDescent="0.2">
      <c r="B64" s="1426"/>
      <c r="C64" s="1442"/>
      <c r="D64" s="1428" t="s">
        <v>996</v>
      </c>
      <c r="E64" s="1429">
        <v>66482</v>
      </c>
      <c r="F64" s="1425"/>
    </row>
    <row r="65" spans="2:7" ht="20.100000000000001" customHeight="1" thickBot="1" x14ac:dyDescent="0.3">
      <c r="B65" s="1431"/>
      <c r="C65" s="1444">
        <f>SUM(C58:C64)</f>
        <v>205510</v>
      </c>
      <c r="D65" s="1433"/>
      <c r="E65" s="1434">
        <f>SUM(E58:E64)</f>
        <v>185830</v>
      </c>
      <c r="F65" s="1435">
        <f>F57+C65-E65</f>
        <v>203832</v>
      </c>
    </row>
    <row r="66" spans="2:7" ht="15.95" customHeight="1" x14ac:dyDescent="0.25">
      <c r="B66" s="1421" t="s">
        <v>997</v>
      </c>
      <c r="C66" s="1445"/>
      <c r="D66" s="1441" t="s">
        <v>996</v>
      </c>
      <c r="E66" s="1429">
        <f>44950+117070</f>
        <v>162020</v>
      </c>
      <c r="F66" s="1425"/>
    </row>
    <row r="67" spans="2:7" ht="15.95" customHeight="1" x14ac:dyDescent="0.2">
      <c r="B67" s="1426" t="s">
        <v>998</v>
      </c>
      <c r="C67" s="1442">
        <v>141152</v>
      </c>
      <c r="D67" s="1428" t="s">
        <v>983</v>
      </c>
      <c r="E67" s="1429">
        <v>66926</v>
      </c>
      <c r="F67" s="1425"/>
    </row>
    <row r="68" spans="2:7" ht="15.95" customHeight="1" x14ac:dyDescent="0.2">
      <c r="B68" s="1426" t="s">
        <v>999</v>
      </c>
      <c r="C68" s="1442">
        <v>93279</v>
      </c>
      <c r="D68" s="1428" t="s">
        <v>1000</v>
      </c>
      <c r="E68" s="1429">
        <v>17229</v>
      </c>
      <c r="F68" s="1425"/>
    </row>
    <row r="69" spans="2:7" ht="15.95" customHeight="1" x14ac:dyDescent="0.2">
      <c r="B69" s="1426"/>
      <c r="C69" s="1442"/>
      <c r="D69" s="1428" t="s">
        <v>1001</v>
      </c>
      <c r="E69" s="1429">
        <f>4000+842+8600+169+10926</f>
        <v>24537</v>
      </c>
      <c r="F69" s="1425"/>
    </row>
    <row r="70" spans="2:7" ht="20.100000000000001" customHeight="1" thickBot="1" x14ac:dyDescent="0.3">
      <c r="B70" s="1431"/>
      <c r="C70" s="1444">
        <f>SUM(C67:C69)</f>
        <v>234431</v>
      </c>
      <c r="D70" s="1433"/>
      <c r="E70" s="1434">
        <f>SUM(E66:E69)</f>
        <v>270712</v>
      </c>
      <c r="F70" s="1435">
        <f>F65+C70-E70</f>
        <v>167551</v>
      </c>
    </row>
    <row r="71" spans="2:7" s="1415" customFormat="1" ht="37.5" customHeight="1" thickBot="1" x14ac:dyDescent="0.3">
      <c r="B71" s="1416" t="s">
        <v>938</v>
      </c>
      <c r="C71" s="1417" t="s">
        <v>939</v>
      </c>
      <c r="D71" s="1418" t="s">
        <v>940</v>
      </c>
      <c r="E71" s="1419" t="s">
        <v>941</v>
      </c>
      <c r="F71" s="1420" t="s">
        <v>942</v>
      </c>
      <c r="G71" s="1440"/>
    </row>
    <row r="72" spans="2:7" ht="15.95" customHeight="1" x14ac:dyDescent="0.25">
      <c r="B72" s="1446" t="s">
        <v>1002</v>
      </c>
      <c r="C72" s="1447"/>
      <c r="D72" s="1448" t="s">
        <v>996</v>
      </c>
      <c r="E72" s="1449">
        <v>139680</v>
      </c>
      <c r="F72" s="1450"/>
    </row>
    <row r="73" spans="2:7" ht="15.95" customHeight="1" x14ac:dyDescent="0.2">
      <c r="B73" s="1426" t="s">
        <v>998</v>
      </c>
      <c r="C73" s="1442">
        <v>133061</v>
      </c>
      <c r="D73" s="1428" t="s">
        <v>1003</v>
      </c>
      <c r="E73" s="1429">
        <v>1612</v>
      </c>
      <c r="F73" s="1425"/>
    </row>
    <row r="74" spans="2:7" ht="15.95" customHeight="1" x14ac:dyDescent="0.2">
      <c r="B74" s="1426"/>
      <c r="C74" s="1442"/>
      <c r="D74" s="1428" t="s">
        <v>983</v>
      </c>
      <c r="E74" s="1429">
        <f>14300+69001</f>
        <v>83301</v>
      </c>
      <c r="F74" s="1425"/>
    </row>
    <row r="75" spans="2:7" ht="15.95" customHeight="1" x14ac:dyDescent="0.2">
      <c r="B75" s="1426" t="s">
        <v>999</v>
      </c>
      <c r="C75" s="1442">
        <v>116625</v>
      </c>
      <c r="D75" s="1428" t="s">
        <v>1000</v>
      </c>
      <c r="E75" s="1429">
        <v>14221</v>
      </c>
      <c r="F75" s="1425"/>
    </row>
    <row r="76" spans="2:7" x14ac:dyDescent="0.2">
      <c r="B76" s="1426"/>
      <c r="C76" s="1442"/>
      <c r="D76" s="1428" t="s">
        <v>1001</v>
      </c>
      <c r="E76" s="1429">
        <v>9144</v>
      </c>
      <c r="F76" s="1425"/>
    </row>
    <row r="77" spans="2:7" ht="20.100000000000001" customHeight="1" thickBot="1" x14ac:dyDescent="0.3">
      <c r="B77" s="1431"/>
      <c r="C77" s="1444">
        <f>SUM(C73:C76)</f>
        <v>249686</v>
      </c>
      <c r="D77" s="1433"/>
      <c r="E77" s="1434">
        <f>SUM(E72:E76)</f>
        <v>247958</v>
      </c>
      <c r="F77" s="1435">
        <f>F70+C77-E77</f>
        <v>169279</v>
      </c>
    </row>
    <row r="78" spans="2:7" ht="15.95" customHeight="1" x14ac:dyDescent="0.25">
      <c r="B78" s="1446" t="s">
        <v>1004</v>
      </c>
      <c r="C78" s="1447"/>
      <c r="D78" s="1448" t="s">
        <v>996</v>
      </c>
      <c r="E78" s="1449">
        <v>96430</v>
      </c>
      <c r="F78" s="1450"/>
    </row>
    <row r="79" spans="2:7" ht="15.95" customHeight="1" x14ac:dyDescent="0.2">
      <c r="B79" s="1426" t="s">
        <v>998</v>
      </c>
      <c r="C79" s="1442">
        <v>83899</v>
      </c>
      <c r="D79" s="1428" t="s">
        <v>1003</v>
      </c>
      <c r="E79" s="1429">
        <v>1263</v>
      </c>
      <c r="F79" s="1425"/>
    </row>
    <row r="80" spans="2:7" ht="15.95" customHeight="1" x14ac:dyDescent="0.2">
      <c r="B80" s="1426"/>
      <c r="C80" s="1442"/>
      <c r="D80" s="1428" t="s">
        <v>1005</v>
      </c>
      <c r="E80" s="1429">
        <v>53368</v>
      </c>
      <c r="F80" s="1425"/>
    </row>
    <row r="81" spans="2:12" ht="15.95" customHeight="1" x14ac:dyDescent="0.2">
      <c r="B81" s="1426" t="s">
        <v>999</v>
      </c>
      <c r="C81" s="1442">
        <v>117221</v>
      </c>
      <c r="D81" s="1428" t="s">
        <v>1006</v>
      </c>
      <c r="E81" s="1429">
        <v>81240</v>
      </c>
      <c r="F81" s="1425"/>
    </row>
    <row r="82" spans="2:12" ht="15.95" customHeight="1" x14ac:dyDescent="0.2">
      <c r="B82" s="1451"/>
      <c r="C82" s="1442"/>
      <c r="D82" s="1428" t="s">
        <v>1000</v>
      </c>
      <c r="E82" s="1429">
        <v>15709</v>
      </c>
      <c r="F82" s="1425"/>
    </row>
    <row r="83" spans="2:12" ht="15.95" customHeight="1" x14ac:dyDescent="0.2">
      <c r="B83" s="1426"/>
      <c r="C83" s="1442"/>
      <c r="D83" s="1428" t="s">
        <v>1007</v>
      </c>
      <c r="E83" s="1429">
        <v>5701</v>
      </c>
      <c r="F83" s="1425"/>
    </row>
    <row r="84" spans="2:12" ht="20.100000000000001" customHeight="1" thickBot="1" x14ac:dyDescent="0.3">
      <c r="B84" s="1431"/>
      <c r="C84" s="1444">
        <f>SUM(C79:C83)</f>
        <v>201120</v>
      </c>
      <c r="D84" s="1433"/>
      <c r="E84" s="1434">
        <f>SUM(E78:E83)</f>
        <v>253711</v>
      </c>
      <c r="F84" s="1435">
        <f>F77+C84-E84</f>
        <v>116688</v>
      </c>
    </row>
    <row r="85" spans="2:12" ht="15.95" customHeight="1" x14ac:dyDescent="0.25">
      <c r="B85" s="1446" t="s">
        <v>1008</v>
      </c>
      <c r="C85" s="1447"/>
      <c r="D85" s="1448" t="s">
        <v>996</v>
      </c>
      <c r="E85" s="1449">
        <v>107592</v>
      </c>
      <c r="F85" s="1450"/>
    </row>
    <row r="86" spans="2:12" ht="15.95" customHeight="1" x14ac:dyDescent="0.2">
      <c r="B86" s="1426" t="s">
        <v>998</v>
      </c>
      <c r="C86" s="1442">
        <f>47847+375359</f>
        <v>423206</v>
      </c>
      <c r="D86" s="1428" t="s">
        <v>1003</v>
      </c>
      <c r="E86" s="1429">
        <v>1085</v>
      </c>
      <c r="F86" s="1425"/>
      <c r="H86" s="1428"/>
      <c r="I86" s="1428"/>
      <c r="J86" s="1428"/>
      <c r="K86" s="1428"/>
      <c r="L86" s="1428"/>
    </row>
    <row r="87" spans="2:12" ht="15.95" customHeight="1" x14ac:dyDescent="0.2">
      <c r="B87" s="1426"/>
      <c r="C87" s="1442"/>
      <c r="D87" s="1428" t="s">
        <v>1005</v>
      </c>
      <c r="E87" s="1429">
        <v>55184</v>
      </c>
      <c r="F87" s="1425"/>
      <c r="H87" s="1428"/>
      <c r="I87" s="1428"/>
      <c r="J87" s="1428"/>
      <c r="K87" s="1428"/>
      <c r="L87" s="1428"/>
    </row>
    <row r="88" spans="2:12" ht="15.95" customHeight="1" x14ac:dyDescent="0.2">
      <c r="B88" s="1426" t="s">
        <v>999</v>
      </c>
      <c r="C88" s="1442">
        <v>156276</v>
      </c>
      <c r="D88" s="1428" t="s">
        <v>1009</v>
      </c>
      <c r="E88" s="1429">
        <f>385641+36610-220707</f>
        <v>201544</v>
      </c>
      <c r="F88" s="1425"/>
      <c r="H88" s="1428"/>
      <c r="I88" s="1428"/>
      <c r="J88" s="1428"/>
      <c r="K88" s="1428"/>
      <c r="L88" s="1428"/>
    </row>
    <row r="89" spans="2:12" ht="15.95" customHeight="1" x14ac:dyDescent="0.2">
      <c r="B89" s="1426"/>
      <c r="C89" s="1445"/>
      <c r="D89" s="1452" t="s">
        <v>1000</v>
      </c>
      <c r="E89" s="1429">
        <v>10566</v>
      </c>
      <c r="F89" s="1425"/>
      <c r="H89" s="1428"/>
      <c r="I89" s="1428"/>
      <c r="J89" s="1428"/>
      <c r="K89" s="1428"/>
      <c r="L89" s="1428"/>
    </row>
    <row r="90" spans="2:12" ht="15.95" customHeight="1" x14ac:dyDescent="0.2">
      <c r="B90" s="1426"/>
      <c r="C90" s="1442"/>
      <c r="D90" s="1428" t="s">
        <v>1007</v>
      </c>
      <c r="E90" s="1429">
        <v>5926</v>
      </c>
      <c r="F90" s="1425"/>
      <c r="H90" s="1428"/>
      <c r="I90" s="1428"/>
      <c r="J90" s="1428"/>
      <c r="K90" s="1428"/>
      <c r="L90" s="1428"/>
    </row>
    <row r="91" spans="2:12" ht="20.100000000000001" customHeight="1" thickBot="1" x14ac:dyDescent="0.3">
      <c r="B91" s="1431"/>
      <c r="C91" s="1444">
        <f>SUM(C86:C90)</f>
        <v>579482</v>
      </c>
      <c r="D91" s="1433"/>
      <c r="E91" s="1434">
        <f>SUM(E85:E90)</f>
        <v>381897</v>
      </c>
      <c r="F91" s="1435">
        <f>F84+C91-E91</f>
        <v>314273</v>
      </c>
      <c r="H91" s="1428"/>
      <c r="I91" s="1428"/>
      <c r="J91" s="1428"/>
      <c r="K91" s="1428"/>
      <c r="L91" s="1428"/>
    </row>
    <row r="92" spans="2:12" ht="15.95" customHeight="1" x14ac:dyDescent="0.25">
      <c r="B92" s="1421" t="s">
        <v>1010</v>
      </c>
      <c r="C92" s="1442"/>
      <c r="D92" s="1428" t="s">
        <v>996</v>
      </c>
      <c r="E92" s="1429">
        <v>90541</v>
      </c>
      <c r="F92" s="1425"/>
      <c r="H92" s="1428"/>
      <c r="I92" s="1428"/>
      <c r="J92" s="1428"/>
      <c r="K92" s="1428"/>
      <c r="L92" s="1428"/>
    </row>
    <row r="93" spans="2:12" ht="15.95" customHeight="1" x14ac:dyDescent="0.2">
      <c r="B93" s="1426" t="s">
        <v>998</v>
      </c>
      <c r="C93" s="1442"/>
      <c r="D93" s="1428" t="s">
        <v>1003</v>
      </c>
      <c r="E93" s="1429">
        <v>1085</v>
      </c>
      <c r="F93" s="1425"/>
      <c r="H93" s="1428"/>
      <c r="I93" s="1428"/>
      <c r="J93" s="1428"/>
      <c r="K93" s="1428"/>
      <c r="L93" s="1428"/>
    </row>
    <row r="94" spans="2:12" ht="15.95" customHeight="1" x14ac:dyDescent="0.2">
      <c r="B94" s="1426"/>
      <c r="C94" s="1442"/>
      <c r="D94" s="1428" t="s">
        <v>1005</v>
      </c>
      <c r="E94" s="1429">
        <v>31851</v>
      </c>
      <c r="F94" s="1425"/>
      <c r="H94" s="1428"/>
      <c r="I94" s="1428"/>
      <c r="J94" s="1428"/>
      <c r="K94" s="1428"/>
      <c r="L94" s="1428"/>
    </row>
    <row r="95" spans="2:12" ht="15.95" customHeight="1" x14ac:dyDescent="0.2">
      <c r="B95" s="1426" t="s">
        <v>999</v>
      </c>
      <c r="C95" s="1442">
        <v>144167</v>
      </c>
      <c r="D95" s="1428" t="s">
        <v>1009</v>
      </c>
      <c r="E95" s="1429">
        <v>53846</v>
      </c>
      <c r="F95" s="1425"/>
      <c r="H95" s="1428"/>
      <c r="I95" s="1428"/>
      <c r="J95" s="1428"/>
      <c r="K95" s="1428"/>
      <c r="L95" s="1428"/>
    </row>
    <row r="96" spans="2:12" ht="15.95" customHeight="1" x14ac:dyDescent="0.2">
      <c r="B96" s="1451"/>
      <c r="C96" s="1442"/>
      <c r="D96" s="1428" t="s">
        <v>1000</v>
      </c>
      <c r="E96" s="1429">
        <v>635</v>
      </c>
      <c r="F96" s="1425"/>
      <c r="H96" s="1428"/>
      <c r="I96" s="1428"/>
      <c r="J96" s="1428"/>
      <c r="K96" s="1428"/>
      <c r="L96" s="1428"/>
    </row>
    <row r="97" spans="2:12" ht="15.95" customHeight="1" x14ac:dyDescent="0.2">
      <c r="B97" s="1426"/>
      <c r="C97" s="1442"/>
      <c r="D97" s="1428" t="s">
        <v>1007</v>
      </c>
      <c r="E97" s="1429"/>
      <c r="F97" s="1425"/>
      <c r="H97" s="1428"/>
      <c r="I97" s="1428"/>
      <c r="J97" s="1428"/>
      <c r="K97" s="1428"/>
      <c r="L97" s="1428"/>
    </row>
    <row r="98" spans="2:12" ht="20.100000000000001" customHeight="1" thickBot="1" x14ac:dyDescent="0.3">
      <c r="B98" s="1431"/>
      <c r="C98" s="1444">
        <f>SUM(C93:C97)</f>
        <v>144167</v>
      </c>
      <c r="D98" s="1433"/>
      <c r="E98" s="1434">
        <f>SUM(E92:E97)</f>
        <v>177958</v>
      </c>
      <c r="F98" s="1435">
        <f>F91+C98-E98</f>
        <v>280482</v>
      </c>
      <c r="H98" s="1428"/>
      <c r="I98" s="1428"/>
      <c r="J98" s="1428"/>
      <c r="K98" s="1428"/>
      <c r="L98" s="1428"/>
    </row>
    <row r="99" spans="2:12" ht="15.95" customHeight="1" x14ac:dyDescent="0.25">
      <c r="B99" s="1421" t="s">
        <v>1011</v>
      </c>
      <c r="C99" s="1442"/>
      <c r="D99" s="1428" t="s">
        <v>996</v>
      </c>
      <c r="E99" s="1429">
        <v>65050</v>
      </c>
      <c r="F99" s="1425"/>
      <c r="H99" s="1428"/>
      <c r="I99" s="1428"/>
      <c r="J99" s="1428"/>
      <c r="K99" s="1428"/>
      <c r="L99" s="1428"/>
    </row>
    <row r="100" spans="2:12" ht="15.95" customHeight="1" x14ac:dyDescent="0.2">
      <c r="B100" s="1426" t="s">
        <v>998</v>
      </c>
      <c r="C100" s="1442"/>
      <c r="D100" s="1428" t="s">
        <v>1003</v>
      </c>
      <c r="E100" s="1429">
        <v>1085</v>
      </c>
      <c r="F100" s="1425"/>
      <c r="H100" s="1428"/>
      <c r="I100" s="1428"/>
      <c r="J100" s="1428"/>
      <c r="K100" s="1428"/>
      <c r="L100" s="1428"/>
    </row>
    <row r="101" spans="2:12" ht="15.95" customHeight="1" x14ac:dyDescent="0.2">
      <c r="B101" s="1426"/>
      <c r="C101" s="1442"/>
      <c r="D101" s="1428" t="s">
        <v>1005</v>
      </c>
      <c r="E101" s="1429">
        <v>65231</v>
      </c>
      <c r="F101" s="1425"/>
      <c r="H101" s="1428"/>
      <c r="I101" s="1428"/>
      <c r="J101" s="1428"/>
      <c r="K101" s="1428"/>
      <c r="L101" s="1428"/>
    </row>
    <row r="102" spans="2:12" ht="15.95" customHeight="1" x14ac:dyDescent="0.2">
      <c r="B102" s="1426" t="s">
        <v>999</v>
      </c>
      <c r="C102" s="1442">
        <v>117418</v>
      </c>
      <c r="D102" s="1428" t="s">
        <v>1012</v>
      </c>
      <c r="E102" s="1429">
        <v>87849</v>
      </c>
      <c r="F102" s="1425"/>
      <c r="H102" s="1428"/>
      <c r="I102" s="1428"/>
      <c r="J102" s="1428"/>
      <c r="K102" s="1428"/>
      <c r="L102" s="1428"/>
    </row>
    <row r="103" spans="2:12" ht="15.95" customHeight="1" x14ac:dyDescent="0.2">
      <c r="B103" s="1451"/>
      <c r="C103" s="1442"/>
      <c r="D103" s="1428" t="s">
        <v>1013</v>
      </c>
      <c r="E103" s="1428">
        <v>4500</v>
      </c>
      <c r="F103" s="1425"/>
      <c r="H103" s="1428"/>
      <c r="I103" s="1428"/>
      <c r="J103" s="1428"/>
      <c r="K103" s="1428"/>
      <c r="L103" s="1428"/>
    </row>
    <row r="104" spans="2:12" ht="15.95" customHeight="1" x14ac:dyDescent="0.2">
      <c r="B104" s="1426"/>
      <c r="C104" s="1442"/>
      <c r="D104" s="1452" t="s">
        <v>1000</v>
      </c>
      <c r="E104" s="1429">
        <v>638</v>
      </c>
      <c r="F104" s="1425"/>
      <c r="H104" s="1428"/>
      <c r="I104" s="1428"/>
      <c r="J104" s="1428"/>
      <c r="K104" s="1428"/>
      <c r="L104" s="1428"/>
    </row>
    <row r="105" spans="2:12" ht="15.95" customHeight="1" x14ac:dyDescent="0.25">
      <c r="B105" s="1426"/>
      <c r="C105" s="1442"/>
      <c r="D105" s="1246" t="s">
        <v>1014</v>
      </c>
      <c r="E105" s="1424">
        <v>9971</v>
      </c>
      <c r="F105" s="1425"/>
      <c r="H105" s="1428"/>
      <c r="I105" s="1428"/>
      <c r="J105" s="1428"/>
      <c r="K105" s="1428"/>
      <c r="L105" s="1428"/>
    </row>
    <row r="106" spans="2:12" ht="20.100000000000001" customHeight="1" thickBot="1" x14ac:dyDescent="0.3">
      <c r="B106" s="1431"/>
      <c r="C106" s="1444">
        <f>SUM(C100:C105)</f>
        <v>117418</v>
      </c>
      <c r="D106" s="1433"/>
      <c r="E106" s="1434">
        <f>SUM(E99:E105)</f>
        <v>234324</v>
      </c>
      <c r="F106" s="1435">
        <f>F98+C106-E106</f>
        <v>163576</v>
      </c>
      <c r="H106" s="1428"/>
      <c r="I106" s="1428"/>
      <c r="J106" s="1428"/>
      <c r="K106" s="1428"/>
      <c r="L106" s="1428"/>
    </row>
    <row r="107" spans="2:12" ht="15.95" customHeight="1" x14ac:dyDescent="0.25">
      <c r="B107" s="1421" t="s">
        <v>1015</v>
      </c>
      <c r="C107" s="1442"/>
      <c r="D107" s="1428" t="s">
        <v>996</v>
      </c>
      <c r="E107" s="1429">
        <v>85080</v>
      </c>
      <c r="F107" s="1425"/>
      <c r="H107" s="1428"/>
      <c r="I107" s="1428"/>
      <c r="J107" s="1428"/>
      <c r="K107" s="1428"/>
      <c r="L107" s="1428"/>
    </row>
    <row r="108" spans="2:12" ht="15.95" customHeight="1" x14ac:dyDescent="0.2">
      <c r="B108" s="1426" t="s">
        <v>998</v>
      </c>
      <c r="C108" s="1442">
        <v>22826</v>
      </c>
      <c r="D108" s="1428" t="s">
        <v>1003</v>
      </c>
      <c r="E108" s="1429">
        <v>1085</v>
      </c>
      <c r="F108" s="1425"/>
      <c r="H108" s="1428"/>
      <c r="I108" s="1428"/>
      <c r="J108" s="1428"/>
      <c r="K108" s="1428"/>
      <c r="L108" s="1428"/>
    </row>
    <row r="109" spans="2:12" ht="15.95" customHeight="1" x14ac:dyDescent="0.2">
      <c r="B109" s="1426"/>
      <c r="C109" s="1442"/>
      <c r="D109" s="1428" t="s">
        <v>1005</v>
      </c>
      <c r="E109" s="1429">
        <v>53128</v>
      </c>
      <c r="F109" s="1425"/>
      <c r="H109" s="1428"/>
      <c r="I109" s="1428"/>
      <c r="J109" s="1428"/>
      <c r="K109" s="1428"/>
      <c r="L109" s="1428"/>
    </row>
    <row r="110" spans="2:12" ht="15.95" customHeight="1" x14ac:dyDescent="0.2">
      <c r="B110" s="1426" t="s">
        <v>999</v>
      </c>
      <c r="C110" s="1442">
        <v>114943</v>
      </c>
      <c r="D110" s="1428" t="s">
        <v>1016</v>
      </c>
      <c r="E110" s="1429">
        <v>4849</v>
      </c>
      <c r="F110" s="1425"/>
      <c r="H110" s="1428"/>
      <c r="I110" s="1428"/>
      <c r="J110" s="1428"/>
      <c r="K110" s="1428"/>
      <c r="L110" s="1428"/>
    </row>
    <row r="111" spans="2:12" ht="15.95" customHeight="1" x14ac:dyDescent="0.2">
      <c r="B111" s="1451"/>
      <c r="C111" s="1442"/>
      <c r="D111" s="1428" t="s">
        <v>1013</v>
      </c>
      <c r="E111" s="1429">
        <f>26500+42546</f>
        <v>69046</v>
      </c>
      <c r="F111" s="1425"/>
      <c r="H111" s="1428"/>
      <c r="I111" s="1428"/>
      <c r="J111" s="1428"/>
      <c r="K111" s="1428"/>
      <c r="L111" s="1428"/>
    </row>
    <row r="112" spans="2:12" ht="15.95" customHeight="1" x14ac:dyDescent="0.2">
      <c r="B112" s="1426"/>
      <c r="C112" s="1442"/>
      <c r="D112" s="1428" t="s">
        <v>1017</v>
      </c>
      <c r="E112" s="1429">
        <v>792</v>
      </c>
      <c r="F112" s="1425"/>
      <c r="H112" s="1428"/>
      <c r="I112" s="1428"/>
      <c r="J112" s="1428"/>
      <c r="K112" s="1428"/>
      <c r="L112" s="1428"/>
    </row>
    <row r="113" spans="2:12" ht="15.95" customHeight="1" x14ac:dyDescent="0.25">
      <c r="B113" s="1426"/>
      <c r="C113" s="1442"/>
      <c r="D113" s="1246" t="s">
        <v>1014</v>
      </c>
      <c r="E113" s="1424">
        <f>113+4233</f>
        <v>4346</v>
      </c>
      <c r="F113" s="1425"/>
      <c r="H113" s="1428"/>
      <c r="I113" s="1428"/>
      <c r="J113" s="1428"/>
      <c r="K113" s="1428"/>
      <c r="L113" s="1428"/>
    </row>
    <row r="114" spans="2:12" ht="20.100000000000001" customHeight="1" thickBot="1" x14ac:dyDescent="0.3">
      <c r="B114" s="1431"/>
      <c r="C114" s="1444">
        <f>SUM(C108:C113)</f>
        <v>137769</v>
      </c>
      <c r="D114" s="1433"/>
      <c r="E114" s="1434">
        <f>SUM(E107:E113)</f>
        <v>218326</v>
      </c>
      <c r="F114" s="1435">
        <f>F106+C114-E114</f>
        <v>83019</v>
      </c>
      <c r="H114" s="1428"/>
      <c r="I114" s="1428"/>
      <c r="J114" s="1428"/>
      <c r="K114" s="1428"/>
      <c r="L114" s="1428"/>
    </row>
    <row r="115" spans="2:12" ht="15.75" x14ac:dyDescent="0.25">
      <c r="B115" s="1421" t="s">
        <v>1018</v>
      </c>
      <c r="C115" s="1442"/>
      <c r="D115" s="1428" t="s">
        <v>996</v>
      </c>
      <c r="E115" s="1429">
        <v>68260</v>
      </c>
      <c r="F115" s="1425"/>
      <c r="H115" s="1428"/>
      <c r="I115" s="1428"/>
      <c r="J115" s="1428"/>
      <c r="K115" s="1428"/>
      <c r="L115" s="1428"/>
    </row>
    <row r="116" spans="2:12" x14ac:dyDescent="0.2">
      <c r="B116" s="1426" t="s">
        <v>998</v>
      </c>
      <c r="C116" s="1453"/>
      <c r="D116" s="1428" t="s">
        <v>1003</v>
      </c>
      <c r="E116" s="1454">
        <v>1085</v>
      </c>
      <c r="F116" s="1425"/>
    </row>
    <row r="117" spans="2:12" x14ac:dyDescent="0.2">
      <c r="B117" s="1426"/>
      <c r="C117" s="1442"/>
      <c r="D117" s="1428" t="s">
        <v>1005</v>
      </c>
      <c r="E117" s="1429">
        <v>34439</v>
      </c>
      <c r="F117" s="1425"/>
    </row>
    <row r="118" spans="2:12" x14ac:dyDescent="0.2">
      <c r="B118" s="1426" t="s">
        <v>999</v>
      </c>
      <c r="C118" s="1442">
        <v>109083</v>
      </c>
      <c r="D118" s="1428" t="s">
        <v>1013</v>
      </c>
      <c r="E118" s="1429">
        <f>18655+679</f>
        <v>19334</v>
      </c>
      <c r="F118" s="1425"/>
    </row>
    <row r="119" spans="2:12" x14ac:dyDescent="0.2">
      <c r="B119" s="1451"/>
      <c r="C119" s="1442"/>
      <c r="D119" s="1428" t="s">
        <v>1017</v>
      </c>
      <c r="E119" s="1429">
        <v>526</v>
      </c>
      <c r="F119" s="1425"/>
    </row>
    <row r="120" spans="2:12" ht="15.75" x14ac:dyDescent="0.25">
      <c r="B120" s="1426"/>
      <c r="C120" s="1442"/>
      <c r="D120" s="1246" t="s">
        <v>1014</v>
      </c>
      <c r="E120" s="1424">
        <v>81239</v>
      </c>
      <c r="F120" s="1425"/>
    </row>
    <row r="121" spans="2:12" ht="16.5" thickBot="1" x14ac:dyDescent="0.3">
      <c r="B121" s="1431"/>
      <c r="C121" s="1444">
        <f>SUM(C116:C120)</f>
        <v>109083</v>
      </c>
      <c r="D121" s="1433"/>
      <c r="E121" s="1434">
        <f>SUM(E115:E120)</f>
        <v>204883</v>
      </c>
      <c r="F121" s="1435">
        <f>F114+C121-E121</f>
        <v>-12781</v>
      </c>
    </row>
    <row r="122" spans="2:12" ht="15.75" x14ac:dyDescent="0.25">
      <c r="B122" s="1421" t="s">
        <v>1019</v>
      </c>
      <c r="C122" s="1442"/>
      <c r="D122" s="1428" t="s">
        <v>996</v>
      </c>
      <c r="E122" s="1429">
        <v>13900</v>
      </c>
      <c r="F122" s="1425"/>
    </row>
    <row r="123" spans="2:12" x14ac:dyDescent="0.2">
      <c r="B123" s="1426" t="s">
        <v>998</v>
      </c>
      <c r="C123" s="1453"/>
      <c r="D123" s="1428" t="s">
        <v>1003</v>
      </c>
      <c r="E123" s="1454">
        <v>1085</v>
      </c>
      <c r="F123" s="1425"/>
    </row>
    <row r="124" spans="2:12" x14ac:dyDescent="0.2">
      <c r="B124" s="1426"/>
      <c r="C124" s="1442"/>
      <c r="D124" s="1428" t="s">
        <v>1005</v>
      </c>
      <c r="E124" s="1429">
        <v>18194</v>
      </c>
      <c r="F124" s="1425"/>
    </row>
    <row r="125" spans="2:12" x14ac:dyDescent="0.2">
      <c r="B125" s="1426" t="s">
        <v>999</v>
      </c>
      <c r="C125" s="1442">
        <v>97239</v>
      </c>
      <c r="D125" s="1428" t="s">
        <v>1013</v>
      </c>
      <c r="E125" s="1429">
        <v>14103</v>
      </c>
      <c r="F125" s="1425"/>
    </row>
    <row r="126" spans="2:12" x14ac:dyDescent="0.2">
      <c r="B126" s="1451"/>
      <c r="C126" s="1442"/>
      <c r="D126" s="1428" t="s">
        <v>1017</v>
      </c>
      <c r="E126" s="1429">
        <v>206</v>
      </c>
      <c r="F126" s="1425"/>
      <c r="G126" s="1455"/>
    </row>
    <row r="127" spans="2:12" ht="15.75" x14ac:dyDescent="0.25">
      <c r="B127" s="1426"/>
      <c r="C127" s="1442"/>
      <c r="D127" s="1246" t="s">
        <v>1014</v>
      </c>
      <c r="E127" s="1424">
        <f>205083+3377</f>
        <v>208460</v>
      </c>
      <c r="F127" s="1425"/>
    </row>
    <row r="128" spans="2:12" ht="16.5" thickBot="1" x14ac:dyDescent="0.3">
      <c r="B128" s="1431"/>
      <c r="C128" s="1444">
        <f>SUM(C123:C127)</f>
        <v>97239</v>
      </c>
      <c r="D128" s="1433"/>
      <c r="E128" s="1434">
        <f>SUM(E122:E127)</f>
        <v>255948</v>
      </c>
      <c r="F128" s="1435">
        <f>F121+C128-E128</f>
        <v>-171490</v>
      </c>
    </row>
    <row r="129" spans="2:7" ht="15.75" x14ac:dyDescent="0.25">
      <c r="B129" s="1421" t="s">
        <v>1020</v>
      </c>
      <c r="C129" s="1442"/>
      <c r="D129" s="1428" t="s">
        <v>996</v>
      </c>
      <c r="E129" s="1429">
        <v>1100</v>
      </c>
      <c r="F129" s="1425"/>
    </row>
    <row r="130" spans="2:7" x14ac:dyDescent="0.2">
      <c r="B130" s="1426" t="s">
        <v>998</v>
      </c>
      <c r="C130" s="1453"/>
      <c r="D130" s="1428" t="s">
        <v>1021</v>
      </c>
      <c r="E130" s="1429">
        <v>17241</v>
      </c>
      <c r="F130" s="1425"/>
    </row>
    <row r="131" spans="2:7" ht="30" x14ac:dyDescent="0.2">
      <c r="B131" s="1426"/>
      <c r="C131" s="1442"/>
      <c r="D131" s="1456" t="s">
        <v>1022</v>
      </c>
      <c r="E131" s="1429">
        <v>52</v>
      </c>
      <c r="F131" s="1425"/>
    </row>
    <row r="132" spans="2:7" x14ac:dyDescent="0.2">
      <c r="B132" s="1426" t="s">
        <v>999</v>
      </c>
      <c r="C132" s="1457">
        <v>82793</v>
      </c>
      <c r="D132" s="1428" t="s">
        <v>1017</v>
      </c>
      <c r="E132" s="1429">
        <v>658</v>
      </c>
      <c r="F132" s="1425"/>
    </row>
    <row r="133" spans="2:7" ht="15.75" x14ac:dyDescent="0.25">
      <c r="B133" s="1451"/>
      <c r="C133" s="1442"/>
      <c r="D133" s="1246" t="s">
        <v>1014</v>
      </c>
      <c r="E133" s="1424">
        <f>1029+305355</f>
        <v>306384</v>
      </c>
      <c r="F133" s="1425"/>
    </row>
    <row r="134" spans="2:7" ht="16.5" thickBot="1" x14ac:dyDescent="0.3">
      <c r="B134" s="1431"/>
      <c r="C134" s="1444">
        <f>SUM(C130:C133)</f>
        <v>82793</v>
      </c>
      <c r="D134" s="1433"/>
      <c r="E134" s="1434">
        <f>SUM(E129:E133)</f>
        <v>325435</v>
      </c>
      <c r="F134" s="1435">
        <f>F128+C134-E134</f>
        <v>-414132</v>
      </c>
    </row>
    <row r="135" spans="2:7" ht="15.75" x14ac:dyDescent="0.25">
      <c r="B135" s="1421" t="s">
        <v>1023</v>
      </c>
      <c r="C135" s="1442"/>
      <c r="D135" s="1428" t="s">
        <v>996</v>
      </c>
      <c r="E135" s="1429"/>
      <c r="F135" s="1425"/>
    </row>
    <row r="136" spans="2:7" x14ac:dyDescent="0.2">
      <c r="B136" s="1426" t="s">
        <v>998</v>
      </c>
      <c r="C136" s="1453"/>
      <c r="D136" s="1428" t="s">
        <v>1021</v>
      </c>
      <c r="E136" s="1429">
        <v>15156</v>
      </c>
      <c r="F136" s="1425"/>
    </row>
    <row r="137" spans="2:7" ht="30" x14ac:dyDescent="0.2">
      <c r="B137" s="1426"/>
      <c r="C137" s="1442"/>
      <c r="D137" s="1456" t="s">
        <v>1022</v>
      </c>
      <c r="E137" s="1429">
        <v>2076</v>
      </c>
      <c r="F137" s="1425"/>
    </row>
    <row r="138" spans="2:7" x14ac:dyDescent="0.2">
      <c r="B138" s="1426" t="s">
        <v>999</v>
      </c>
      <c r="C138" s="1457">
        <v>70598</v>
      </c>
      <c r="D138" s="1428" t="s">
        <v>1017</v>
      </c>
      <c r="E138" s="1429">
        <v>39</v>
      </c>
      <c r="F138" s="1425"/>
    </row>
    <row r="139" spans="2:7" ht="15.75" x14ac:dyDescent="0.25">
      <c r="B139" s="1451"/>
      <c r="C139" s="1442"/>
      <c r="D139" s="1246" t="s">
        <v>1014</v>
      </c>
      <c r="E139" s="1424">
        <f>861+4013+59376+1135</f>
        <v>65385</v>
      </c>
      <c r="F139" s="1425"/>
    </row>
    <row r="140" spans="2:7" ht="16.5" thickBot="1" x14ac:dyDescent="0.3">
      <c r="B140" s="1431"/>
      <c r="C140" s="1444">
        <f>SUM(C136:C138)</f>
        <v>70598</v>
      </c>
      <c r="D140" s="1433"/>
      <c r="E140" s="1434">
        <f>SUM(E135:E139)</f>
        <v>82656</v>
      </c>
      <c r="F140" s="1435">
        <f>F134+C140-E140</f>
        <v>-426190</v>
      </c>
    </row>
    <row r="141" spans="2:7" ht="15.75" x14ac:dyDescent="0.25">
      <c r="B141" s="1421" t="s">
        <v>1024</v>
      </c>
      <c r="C141" s="1442"/>
      <c r="D141" s="1428" t="s">
        <v>996</v>
      </c>
      <c r="E141" s="1429"/>
      <c r="F141" s="1425"/>
    </row>
    <row r="142" spans="2:7" x14ac:dyDescent="0.2">
      <c r="B142" s="1426" t="s">
        <v>998</v>
      </c>
      <c r="C142" s="1453"/>
      <c r="D142" s="1428" t="s">
        <v>1021</v>
      </c>
      <c r="E142" s="1429"/>
      <c r="F142" s="1425"/>
    </row>
    <row r="143" spans="2:7" ht="30" x14ac:dyDescent="0.2">
      <c r="B143" s="1426"/>
      <c r="C143" s="1442"/>
      <c r="D143" s="1456" t="s">
        <v>1022</v>
      </c>
      <c r="E143" s="1429">
        <v>1845</v>
      </c>
      <c r="F143" s="1425"/>
      <c r="G143" s="1455"/>
    </row>
    <row r="144" spans="2:7" x14ac:dyDescent="0.2">
      <c r="B144" s="1426" t="s">
        <v>999</v>
      </c>
      <c r="C144" s="1457">
        <v>58874</v>
      </c>
      <c r="D144" s="1428" t="s">
        <v>1017</v>
      </c>
      <c r="E144" s="1429">
        <v>73</v>
      </c>
      <c r="F144" s="1425"/>
    </row>
    <row r="145" spans="2:9" ht="15.75" x14ac:dyDescent="0.25">
      <c r="B145" s="1451"/>
      <c r="C145" s="1442"/>
      <c r="D145" s="1246" t="s">
        <v>1014</v>
      </c>
      <c r="E145" s="1424">
        <v>0</v>
      </c>
      <c r="F145" s="1425"/>
    </row>
    <row r="146" spans="2:9" ht="16.5" thickBot="1" x14ac:dyDescent="0.3">
      <c r="B146" s="1431"/>
      <c r="C146" s="1444">
        <f>SUM(C142:C144)</f>
        <v>58874</v>
      </c>
      <c r="D146" s="1433"/>
      <c r="E146" s="1434">
        <f>SUM(E141:E145)</f>
        <v>1918</v>
      </c>
      <c r="F146" s="1435">
        <f>F140+C146-E146</f>
        <v>-369234</v>
      </c>
      <c r="G146"/>
      <c r="H146"/>
      <c r="I146"/>
    </row>
    <row r="147" spans="2:9" ht="15.75" x14ac:dyDescent="0.25">
      <c r="B147" s="1421" t="s">
        <v>1025</v>
      </c>
      <c r="C147" s="1442"/>
      <c r="D147" s="1428"/>
      <c r="E147" s="1429"/>
      <c r="F147" s="1425"/>
      <c r="G147"/>
      <c r="H147"/>
      <c r="I147"/>
    </row>
    <row r="148" spans="2:9" ht="15.75" x14ac:dyDescent="0.25">
      <c r="B148" s="1426" t="s">
        <v>998</v>
      </c>
      <c r="C148" s="1453"/>
      <c r="D148" s="1428" t="s">
        <v>1026</v>
      </c>
      <c r="E148" s="1429">
        <v>49982</v>
      </c>
      <c r="F148" s="1425"/>
      <c r="G148" s="1458"/>
      <c r="H148"/>
      <c r="I148"/>
    </row>
    <row r="149" spans="2:9" x14ac:dyDescent="0.2">
      <c r="B149" s="1426"/>
      <c r="C149" s="1442"/>
      <c r="D149" s="1456" t="s">
        <v>1027</v>
      </c>
      <c r="E149" s="1429">
        <v>19718</v>
      </c>
      <c r="F149" s="1425"/>
      <c r="G149"/>
      <c r="H149"/>
      <c r="I149"/>
    </row>
    <row r="150" spans="2:9" ht="15.75" x14ac:dyDescent="0.25">
      <c r="B150" s="1426" t="s">
        <v>999</v>
      </c>
      <c r="C150" s="1457">
        <v>62648</v>
      </c>
      <c r="D150" s="1428" t="s">
        <v>1017</v>
      </c>
      <c r="E150" s="1429"/>
      <c r="F150" s="1425"/>
      <c r="G150" s="1458"/>
      <c r="H150"/>
      <c r="I150"/>
    </row>
    <row r="151" spans="2:9" ht="15.75" x14ac:dyDescent="0.25">
      <c r="B151" s="1451"/>
      <c r="C151" s="1442"/>
      <c r="D151" s="1246" t="s">
        <v>1014</v>
      </c>
      <c r="E151" s="1424">
        <v>0</v>
      </c>
      <c r="F151" s="1425"/>
      <c r="G151"/>
      <c r="H151"/>
      <c r="I151"/>
    </row>
    <row r="152" spans="2:9" ht="16.5" thickBot="1" x14ac:dyDescent="0.3">
      <c r="B152" s="1431"/>
      <c r="C152" s="1444">
        <f>SUM(C148:C150)</f>
        <v>62648</v>
      </c>
      <c r="D152" s="1433"/>
      <c r="E152" s="1434">
        <f>SUM(E147:E151)</f>
        <v>69700</v>
      </c>
      <c r="F152" s="1435">
        <f>F146+C152-E152</f>
        <v>-376286</v>
      </c>
      <c r="G152"/>
      <c r="H152"/>
      <c r="I152"/>
    </row>
    <row r="153" spans="2:9" ht="15.75" x14ac:dyDescent="0.25">
      <c r="B153" s="1446" t="s">
        <v>1028</v>
      </c>
      <c r="C153" s="1447"/>
      <c r="D153" s="1448"/>
      <c r="E153" s="1449"/>
      <c r="F153" s="1450"/>
      <c r="G153"/>
      <c r="H153"/>
      <c r="I153"/>
    </row>
    <row r="154" spans="2:9" x14ac:dyDescent="0.2">
      <c r="B154" s="1426" t="s">
        <v>998</v>
      </c>
      <c r="C154" s="1453">
        <v>26046</v>
      </c>
      <c r="D154" s="1456" t="s">
        <v>1027</v>
      </c>
      <c r="E154" s="1429">
        <v>19764</v>
      </c>
      <c r="F154" s="1425"/>
      <c r="G154"/>
      <c r="H154"/>
      <c r="I154"/>
    </row>
    <row r="155" spans="2:9" x14ac:dyDescent="0.2">
      <c r="B155" s="1426"/>
      <c r="C155" s="1442"/>
      <c r="D155" s="1459" t="s">
        <v>1014</v>
      </c>
      <c r="E155" s="1429">
        <v>4</v>
      </c>
      <c r="F155" s="1425"/>
      <c r="G155"/>
      <c r="H155"/>
      <c r="I155"/>
    </row>
    <row r="156" spans="2:9" x14ac:dyDescent="0.2">
      <c r="B156" s="1426" t="s">
        <v>999</v>
      </c>
      <c r="C156" s="1457">
        <v>50065</v>
      </c>
      <c r="D156" s="1428" t="s">
        <v>1029</v>
      </c>
      <c r="E156" s="1429">
        <v>2366</v>
      </c>
      <c r="F156" s="1425"/>
      <c r="G156"/>
      <c r="H156"/>
      <c r="I156"/>
    </row>
    <row r="157" spans="2:9" ht="15.75" x14ac:dyDescent="0.25">
      <c r="B157" s="1451"/>
      <c r="C157" s="1442"/>
      <c r="D157" s="1246"/>
      <c r="E157" s="1424"/>
      <c r="F157" s="1425"/>
      <c r="G157"/>
      <c r="H157"/>
      <c r="I157"/>
    </row>
    <row r="158" spans="2:9" ht="16.5" thickBot="1" x14ac:dyDescent="0.3">
      <c r="B158" s="1431"/>
      <c r="C158" s="1444">
        <f>SUM(C154:C157)</f>
        <v>76111</v>
      </c>
      <c r="D158" s="1433"/>
      <c r="E158" s="1434">
        <f>SUM(E154:E157)</f>
        <v>22134</v>
      </c>
      <c r="F158" s="1435">
        <f>+F152+C158-E158</f>
        <v>-322309</v>
      </c>
      <c r="G158"/>
      <c r="H158"/>
      <c r="I158"/>
    </row>
    <row r="159" spans="2:9" ht="15.75" x14ac:dyDescent="0.25">
      <c r="B159" s="1446" t="s">
        <v>1030</v>
      </c>
      <c r="C159" s="1460"/>
      <c r="D159" s="1448"/>
      <c r="E159" s="1449"/>
      <c r="F159" s="1461"/>
      <c r="G159"/>
      <c r="H159"/>
      <c r="I159"/>
    </row>
    <row r="160" spans="2:9" ht="15.75" x14ac:dyDescent="0.25">
      <c r="B160" s="1426" t="s">
        <v>998</v>
      </c>
      <c r="C160" s="1462">
        <v>74316</v>
      </c>
      <c r="D160" s="1456" t="s">
        <v>1027</v>
      </c>
      <c r="E160" s="1429">
        <v>23662</v>
      </c>
      <c r="F160" s="1463"/>
      <c r="G160"/>
      <c r="H160"/>
      <c r="I160"/>
    </row>
    <row r="161" spans="2:9" ht="15.75" x14ac:dyDescent="0.25">
      <c r="B161" s="1426"/>
      <c r="C161" s="1464"/>
      <c r="D161" s="1459" t="s">
        <v>1014</v>
      </c>
      <c r="E161" s="1429">
        <v>1948</v>
      </c>
      <c r="F161" s="1463"/>
      <c r="G161"/>
      <c r="H161"/>
      <c r="I161"/>
    </row>
    <row r="162" spans="2:9" ht="15.75" x14ac:dyDescent="0.25">
      <c r="B162" s="1426" t="s">
        <v>999</v>
      </c>
      <c r="C162" s="67">
        <v>40185</v>
      </c>
      <c r="D162" s="1428" t="s">
        <v>1029</v>
      </c>
      <c r="E162" s="1429">
        <v>1953</v>
      </c>
      <c r="F162" s="1463"/>
      <c r="G162"/>
      <c r="H162"/>
      <c r="I162"/>
    </row>
    <row r="163" spans="2:9" ht="15.75" x14ac:dyDescent="0.25">
      <c r="B163" s="1465"/>
      <c r="C163" s="1466"/>
      <c r="D163" s="1467"/>
      <c r="E163" s="1468"/>
      <c r="F163" s="1469"/>
      <c r="G163"/>
      <c r="H163"/>
      <c r="I163"/>
    </row>
    <row r="164" spans="2:9" ht="16.5" thickBot="1" x14ac:dyDescent="0.3">
      <c r="B164" s="1470"/>
      <c r="C164" s="1471">
        <f>SUM(C160:C163)</f>
        <v>114501</v>
      </c>
      <c r="D164" s="1472"/>
      <c r="E164" s="1473">
        <f>SUM(E160:E163)</f>
        <v>27563</v>
      </c>
      <c r="F164" s="1474">
        <f>+F158+C164-E164</f>
        <v>-235371</v>
      </c>
      <c r="G164"/>
      <c r="H164"/>
      <c r="I164"/>
    </row>
    <row r="165" spans="2:9" ht="15.75" x14ac:dyDescent="0.25">
      <c r="B165" s="1446" t="s">
        <v>1031</v>
      </c>
      <c r="C165" s="1460"/>
      <c r="D165" s="1448"/>
      <c r="E165" s="1449"/>
      <c r="F165" s="1461"/>
      <c r="G165"/>
      <c r="H165"/>
      <c r="I165"/>
    </row>
    <row r="166" spans="2:9" ht="15.75" x14ac:dyDescent="0.25">
      <c r="B166" s="1426" t="s">
        <v>998</v>
      </c>
      <c r="C166" s="1462">
        <v>78723</v>
      </c>
      <c r="D166" s="1475" t="s">
        <v>1027</v>
      </c>
      <c r="E166" s="1454">
        <v>29980</v>
      </c>
      <c r="F166" s="1463"/>
      <c r="G166"/>
      <c r="H166"/>
      <c r="I166"/>
    </row>
    <row r="167" spans="2:9" ht="15.75" x14ac:dyDescent="0.25">
      <c r="B167" s="1426"/>
      <c r="C167" s="1462"/>
      <c r="D167" s="130" t="s">
        <v>1014</v>
      </c>
      <c r="E167" s="1454">
        <v>3028</v>
      </c>
      <c r="F167" s="1463"/>
      <c r="G167"/>
      <c r="H167"/>
      <c r="I167"/>
    </row>
    <row r="168" spans="2:9" ht="15.75" x14ac:dyDescent="0.25">
      <c r="B168" s="1426" t="s">
        <v>999</v>
      </c>
      <c r="C168" s="67">
        <v>31847</v>
      </c>
      <c r="D168" s="1476" t="s">
        <v>1029</v>
      </c>
      <c r="E168" s="1454">
        <v>1895</v>
      </c>
      <c r="F168" s="1463"/>
      <c r="G168"/>
      <c r="H168"/>
      <c r="I168"/>
    </row>
    <row r="169" spans="2:9" ht="15.75" x14ac:dyDescent="0.25">
      <c r="B169" s="1426"/>
      <c r="C169" s="67"/>
      <c r="D169" s="1476" t="s">
        <v>1032</v>
      </c>
      <c r="E169" s="1454">
        <v>25575</v>
      </c>
      <c r="F169" s="1463"/>
      <c r="G169"/>
      <c r="H169"/>
      <c r="I169"/>
    </row>
    <row r="170" spans="2:9" ht="15.75" x14ac:dyDescent="0.25">
      <c r="B170" s="1426"/>
      <c r="C170" s="67"/>
      <c r="D170" s="1476" t="s">
        <v>1033</v>
      </c>
      <c r="E170" s="1454">
        <v>16000</v>
      </c>
      <c r="F170" s="1463"/>
      <c r="G170"/>
      <c r="H170"/>
      <c r="I170"/>
    </row>
    <row r="171" spans="2:9" ht="15.75" x14ac:dyDescent="0.25">
      <c r="B171" s="1465"/>
      <c r="C171" s="1477"/>
      <c r="D171" s="1467"/>
      <c r="E171" s="1478"/>
      <c r="F171" s="1469"/>
      <c r="G171"/>
      <c r="H171"/>
      <c r="I171"/>
    </row>
    <row r="172" spans="2:9" ht="16.5" thickBot="1" x14ac:dyDescent="0.3">
      <c r="B172" s="1470"/>
      <c r="C172" s="1479">
        <f>SUM(C166:C171)</f>
        <v>110570</v>
      </c>
      <c r="D172" s="1480"/>
      <c r="E172" s="1481">
        <f>SUM(E166:E171)</f>
        <v>76478</v>
      </c>
      <c r="F172" s="1474">
        <f>+F164+C172-E172</f>
        <v>-201279</v>
      </c>
      <c r="G172"/>
      <c r="H172"/>
      <c r="I172"/>
    </row>
    <row r="173" spans="2:9" ht="15.75" x14ac:dyDescent="0.25">
      <c r="B173" s="1446" t="s">
        <v>1034</v>
      </c>
      <c r="C173" s="1482"/>
      <c r="D173" s="1483"/>
      <c r="E173" s="1484"/>
      <c r="F173" s="1461"/>
      <c r="G173"/>
      <c r="H173"/>
      <c r="I173"/>
    </row>
    <row r="174" spans="2:9" ht="15.75" x14ac:dyDescent="0.25">
      <c r="B174" s="1426" t="s">
        <v>998</v>
      </c>
      <c r="C174" s="1462">
        <v>55643</v>
      </c>
      <c r="D174" s="1475" t="s">
        <v>1027</v>
      </c>
      <c r="E174" s="1454">
        <v>29995</v>
      </c>
      <c r="F174" s="1463"/>
      <c r="G174"/>
      <c r="H174"/>
      <c r="I174"/>
    </row>
    <row r="175" spans="2:9" ht="15.75" x14ac:dyDescent="0.25">
      <c r="B175" s="1426"/>
      <c r="C175" s="1462"/>
      <c r="D175" s="130" t="s">
        <v>1014</v>
      </c>
      <c r="E175" s="1454">
        <v>128</v>
      </c>
      <c r="F175" s="1463"/>
      <c r="G175"/>
      <c r="H175"/>
      <c r="I175"/>
    </row>
    <row r="176" spans="2:9" ht="15.75" x14ac:dyDescent="0.25">
      <c r="B176" s="1426" t="s">
        <v>999</v>
      </c>
      <c r="C176" s="67">
        <v>27450</v>
      </c>
      <c r="D176" s="1476" t="s">
        <v>1029</v>
      </c>
      <c r="E176" s="1454">
        <v>1837</v>
      </c>
      <c r="F176" s="1463"/>
      <c r="G176"/>
      <c r="H176"/>
      <c r="I176"/>
    </row>
    <row r="177" spans="2:9" ht="15.75" x14ac:dyDescent="0.25">
      <c r="B177" s="1426"/>
      <c r="C177" s="67"/>
      <c r="D177" s="1476" t="s">
        <v>1032</v>
      </c>
      <c r="E177" s="1454">
        <v>111151</v>
      </c>
      <c r="F177" s="1463"/>
      <c r="G177"/>
      <c r="H177"/>
      <c r="I177"/>
    </row>
    <row r="178" spans="2:9" ht="15.75" x14ac:dyDescent="0.25">
      <c r="B178" s="1426"/>
      <c r="C178" s="1485"/>
      <c r="D178" s="1428"/>
      <c r="E178" s="1486"/>
      <c r="F178" s="1463"/>
      <c r="G178"/>
      <c r="H178"/>
      <c r="I178"/>
    </row>
    <row r="179" spans="2:9" ht="15.75" x14ac:dyDescent="0.25">
      <c r="B179" s="1465"/>
      <c r="C179" s="1466"/>
      <c r="D179" s="1467"/>
      <c r="E179" s="1468"/>
      <c r="F179" s="1469"/>
      <c r="G179"/>
      <c r="H179"/>
      <c r="I179"/>
    </row>
    <row r="180" spans="2:9" ht="16.5" thickBot="1" x14ac:dyDescent="0.3">
      <c r="B180" s="1470"/>
      <c r="C180" s="1471">
        <f>SUM(C174:C179)</f>
        <v>83093</v>
      </c>
      <c r="D180" s="1472"/>
      <c r="E180" s="1473">
        <f>SUM(E174:E179)</f>
        <v>143111</v>
      </c>
      <c r="F180" s="1474">
        <f>+F172+C180-E180</f>
        <v>-261297</v>
      </c>
      <c r="G180"/>
      <c r="H180"/>
      <c r="I180"/>
    </row>
    <row r="181" spans="2:9" ht="15.75" x14ac:dyDescent="0.25">
      <c r="B181" s="1446" t="s">
        <v>1035</v>
      </c>
      <c r="C181" s="1482"/>
      <c r="D181" s="1483"/>
      <c r="E181" s="1484"/>
      <c r="F181" s="1461"/>
      <c r="G181"/>
      <c r="H181"/>
      <c r="I181"/>
    </row>
    <row r="182" spans="2:9" ht="15.75" x14ac:dyDescent="0.25">
      <c r="B182" s="1426" t="s">
        <v>998</v>
      </c>
      <c r="C182" s="1462">
        <v>83142</v>
      </c>
      <c r="D182" s="1475" t="s">
        <v>1027</v>
      </c>
      <c r="E182" s="1454">
        <v>33745</v>
      </c>
      <c r="F182" s="1463"/>
      <c r="G182"/>
      <c r="H182"/>
      <c r="I182"/>
    </row>
    <row r="183" spans="2:9" ht="15.75" x14ac:dyDescent="0.25">
      <c r="B183" s="1426"/>
      <c r="C183" s="1462"/>
      <c r="D183" s="130" t="s">
        <v>1014</v>
      </c>
      <c r="E183" s="1454">
        <v>0</v>
      </c>
      <c r="F183" s="1463"/>
      <c r="G183"/>
      <c r="H183"/>
      <c r="I183"/>
    </row>
    <row r="184" spans="2:9" ht="15.75" x14ac:dyDescent="0.25">
      <c r="B184" s="1426" t="s">
        <v>999</v>
      </c>
      <c r="C184" s="67">
        <v>23910</v>
      </c>
      <c r="D184" s="1476" t="s">
        <v>1029</v>
      </c>
      <c r="E184" s="1454">
        <v>1779</v>
      </c>
      <c r="F184" s="1463"/>
      <c r="G184"/>
      <c r="H184"/>
      <c r="I184"/>
    </row>
    <row r="185" spans="2:9" ht="15.75" x14ac:dyDescent="0.25">
      <c r="B185" s="1426"/>
      <c r="C185" s="67"/>
      <c r="D185" s="1476" t="s">
        <v>1032</v>
      </c>
      <c r="E185" s="1454">
        <v>24603</v>
      </c>
      <c r="F185" s="1463"/>
      <c r="G185"/>
      <c r="H185"/>
      <c r="I185"/>
    </row>
    <row r="186" spans="2:9" ht="15.75" x14ac:dyDescent="0.25">
      <c r="B186" s="1426"/>
      <c r="C186" s="1485"/>
      <c r="D186" s="1428"/>
      <c r="E186" s="1486"/>
      <c r="F186" s="1463"/>
      <c r="G186"/>
      <c r="H186"/>
      <c r="I186"/>
    </row>
    <row r="187" spans="2:9" ht="15.75" x14ac:dyDescent="0.25">
      <c r="B187" s="1465"/>
      <c r="C187" s="1466"/>
      <c r="D187" s="1467"/>
      <c r="E187" s="1468"/>
      <c r="F187" s="1469"/>
      <c r="G187"/>
      <c r="H187"/>
      <c r="I187"/>
    </row>
    <row r="188" spans="2:9" ht="16.5" thickBot="1" x14ac:dyDescent="0.3">
      <c r="B188" s="1470"/>
      <c r="C188" s="1471">
        <f>SUM(C182:C187)</f>
        <v>107052</v>
      </c>
      <c r="D188" s="1472"/>
      <c r="E188" s="1473">
        <f>SUM(E182:E187)</f>
        <v>60127</v>
      </c>
      <c r="F188" s="1474">
        <f>+F180+C188-E188</f>
        <v>-214372</v>
      </c>
      <c r="G188"/>
      <c r="H188"/>
      <c r="I188"/>
    </row>
    <row r="189" spans="2:9" ht="15.75" x14ac:dyDescent="0.25">
      <c r="B189" s="1446" t="s">
        <v>810</v>
      </c>
      <c r="C189" s="1482"/>
      <c r="D189" s="1483"/>
      <c r="E189" s="1484"/>
      <c r="F189" s="1461"/>
      <c r="G189"/>
      <c r="H189"/>
      <c r="I189"/>
    </row>
    <row r="190" spans="2:9" ht="15.75" x14ac:dyDescent="0.25">
      <c r="B190" s="1426" t="s">
        <v>998</v>
      </c>
      <c r="C190" s="1462">
        <v>95353</v>
      </c>
      <c r="D190" s="1475" t="s">
        <v>1027</v>
      </c>
      <c r="E190" s="1454">
        <v>31639</v>
      </c>
      <c r="F190" s="1463"/>
      <c r="G190"/>
      <c r="H190"/>
      <c r="I190"/>
    </row>
    <row r="191" spans="2:9" ht="15.75" x14ac:dyDescent="0.25">
      <c r="B191" s="1426"/>
      <c r="C191" s="1462"/>
      <c r="D191" s="130" t="s">
        <v>1014</v>
      </c>
      <c r="E191" s="1454">
        <v>0</v>
      </c>
      <c r="F191" s="1463"/>
      <c r="G191"/>
      <c r="H191"/>
      <c r="I191"/>
    </row>
    <row r="192" spans="2:9" ht="15.75" x14ac:dyDescent="0.25">
      <c r="B192" s="1426" t="s">
        <v>999</v>
      </c>
      <c r="C192" s="67">
        <v>16052</v>
      </c>
      <c r="D192" s="1476" t="s">
        <v>1029</v>
      </c>
      <c r="E192" s="1454">
        <v>383</v>
      </c>
      <c r="F192" s="1463"/>
      <c r="G192"/>
      <c r="H192"/>
      <c r="I192"/>
    </row>
    <row r="193" spans="2:9" ht="15.75" x14ac:dyDescent="0.25">
      <c r="B193" s="1426"/>
      <c r="C193" s="67"/>
      <c r="D193" s="1476" t="s">
        <v>1032</v>
      </c>
      <c r="E193" s="1454">
        <v>56335</v>
      </c>
      <c r="F193" s="1463"/>
      <c r="G193"/>
      <c r="H193"/>
      <c r="I193"/>
    </row>
    <row r="194" spans="2:9" ht="15.75" x14ac:dyDescent="0.25">
      <c r="B194" s="1426"/>
      <c r="C194" s="1485"/>
      <c r="D194" s="1428"/>
      <c r="E194" s="1486"/>
      <c r="F194" s="1463"/>
      <c r="G194"/>
      <c r="H194"/>
      <c r="I194"/>
    </row>
    <row r="195" spans="2:9" ht="15.75" x14ac:dyDescent="0.25">
      <c r="B195" s="1465"/>
      <c r="C195" s="1466"/>
      <c r="D195" s="1467"/>
      <c r="E195" s="1468"/>
      <c r="F195" s="1469"/>
      <c r="G195"/>
      <c r="H195"/>
      <c r="I195"/>
    </row>
    <row r="196" spans="2:9" ht="16.5" thickBot="1" x14ac:dyDescent="0.3">
      <c r="B196" s="1470"/>
      <c r="C196" s="1471">
        <f>SUM(C190:C195)</f>
        <v>111405</v>
      </c>
      <c r="D196" s="1472"/>
      <c r="E196" s="1473">
        <f>SUM(E190:E195)</f>
        <v>88357</v>
      </c>
      <c r="F196" s="1474">
        <f>+F188+C196-E196</f>
        <v>-191324</v>
      </c>
      <c r="G196"/>
      <c r="H196"/>
      <c r="I196"/>
    </row>
    <row r="197" spans="2:9" ht="15.75" x14ac:dyDescent="0.25">
      <c r="B197" s="1446" t="s">
        <v>811</v>
      </c>
      <c r="C197" s="1482"/>
      <c r="D197" s="1483"/>
      <c r="E197" s="1484"/>
      <c r="F197" s="1461"/>
      <c r="G197"/>
      <c r="H197"/>
      <c r="I197"/>
    </row>
    <row r="198" spans="2:9" ht="15.75" x14ac:dyDescent="0.25">
      <c r="B198" s="1426" t="s">
        <v>998</v>
      </c>
      <c r="C198" s="1462">
        <v>44466</v>
      </c>
      <c r="D198" s="1475" t="s">
        <v>1027</v>
      </c>
      <c r="E198" s="1454">
        <v>29314</v>
      </c>
      <c r="F198" s="1463"/>
      <c r="G198"/>
      <c r="H198"/>
      <c r="I198"/>
    </row>
    <row r="199" spans="2:9" ht="15.75" x14ac:dyDescent="0.25">
      <c r="B199" s="1426"/>
      <c r="C199" s="1462"/>
      <c r="D199" s="130" t="s">
        <v>1014</v>
      </c>
      <c r="E199" s="1454">
        <v>0</v>
      </c>
      <c r="F199" s="1463"/>
      <c r="G199"/>
      <c r="H199"/>
      <c r="I199"/>
    </row>
    <row r="200" spans="2:9" ht="15.75" x14ac:dyDescent="0.25">
      <c r="B200" s="1426" t="s">
        <v>999</v>
      </c>
      <c r="C200" s="67">
        <v>10823</v>
      </c>
      <c r="D200" s="1476" t="s">
        <v>1029</v>
      </c>
      <c r="E200" s="1454">
        <v>0</v>
      </c>
      <c r="F200" s="1463"/>
      <c r="G200"/>
      <c r="H200"/>
      <c r="I200"/>
    </row>
    <row r="201" spans="2:9" ht="15.75" x14ac:dyDescent="0.25">
      <c r="B201" s="1426"/>
      <c r="C201" s="67"/>
      <c r="D201" s="1476" t="s">
        <v>1032</v>
      </c>
      <c r="E201" s="1454">
        <v>36529</v>
      </c>
      <c r="F201" s="1463"/>
      <c r="G201"/>
      <c r="H201"/>
      <c r="I201"/>
    </row>
    <row r="202" spans="2:9" ht="15.75" x14ac:dyDescent="0.25">
      <c r="B202" s="1426"/>
      <c r="C202" s="1485"/>
      <c r="D202" s="1428"/>
      <c r="E202" s="1486"/>
      <c r="F202" s="1463"/>
      <c r="G202"/>
      <c r="H202"/>
      <c r="I202"/>
    </row>
    <row r="203" spans="2:9" ht="15.75" x14ac:dyDescent="0.25">
      <c r="B203" s="1465"/>
      <c r="C203" s="1466"/>
      <c r="D203" s="1467"/>
      <c r="E203" s="1468"/>
      <c r="F203" s="1469"/>
      <c r="G203"/>
      <c r="H203"/>
      <c r="I203"/>
    </row>
    <row r="204" spans="2:9" ht="16.5" thickBot="1" x14ac:dyDescent="0.3">
      <c r="B204" s="1470"/>
      <c r="C204" s="1471">
        <f>SUM(C198:C203)</f>
        <v>55289</v>
      </c>
      <c r="D204" s="1472"/>
      <c r="E204" s="1473">
        <f>SUM(E198:E203)</f>
        <v>65843</v>
      </c>
      <c r="F204" s="1474">
        <f>+F196+C204-E204</f>
        <v>-201878</v>
      </c>
      <c r="G204"/>
      <c r="H204"/>
      <c r="I204"/>
    </row>
  </sheetData>
  <mergeCells count="6">
    <mergeCell ref="B8:F8"/>
    <mergeCell ref="B3:F3"/>
    <mergeCell ref="B4:F4"/>
    <mergeCell ref="B5:F5"/>
    <mergeCell ref="B6:F6"/>
    <mergeCell ref="B7:F7"/>
  </mergeCells>
  <printOptions horizontalCentered="1" verticalCentered="1"/>
  <pageMargins left="0.19685039370078741" right="0.19685039370078741" top="0.19685039370078741" bottom="0.19685039370078741" header="0" footer="0.31496062992125984"/>
  <pageSetup paperSize="9" scale="62" orientation="portrait" r:id="rId1"/>
  <headerFooter alignWithMargins="0">
    <oddHeader>&amp;C &amp;R&amp;"Arial CE,Félkövér"&amp;16 25. melléklet a …../2019. (…….) önkormányzati rendelethez</oddHeader>
    <oddFooter xml:space="preserve">&amp;C </oddFooter>
  </headerFooter>
  <rowBreaks count="2" manualBreakCount="2">
    <brk id="77" min="1" max="5" man="1"/>
    <brk id="152" min="1" max="5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U48"/>
  <sheetViews>
    <sheetView zoomScale="75" zoomScaleNormal="75" workbookViewId="0">
      <selection activeCell="G23" sqref="G23"/>
    </sheetView>
  </sheetViews>
  <sheetFormatPr defaultColWidth="12" defaultRowHeight="15" x14ac:dyDescent="0.2"/>
  <cols>
    <col min="1" max="1" width="3.6640625" style="1487" customWidth="1"/>
    <col min="2" max="2" width="6.6640625" style="1487" customWidth="1"/>
    <col min="3" max="4" width="12" style="1487" customWidth="1"/>
    <col min="5" max="5" width="111.33203125" style="1487" customWidth="1"/>
    <col min="6" max="6" width="22.5" style="1488" customWidth="1"/>
    <col min="7" max="7" width="24.83203125" style="1487" customWidth="1"/>
    <col min="8" max="8" width="17.5" style="1487" customWidth="1"/>
    <col min="9" max="9" width="25" style="1487" customWidth="1"/>
    <col min="10" max="10" width="14.6640625" style="1487" customWidth="1"/>
    <col min="11" max="11" width="12" style="1487" customWidth="1"/>
    <col min="12" max="12" width="14.5" style="1487" customWidth="1"/>
    <col min="13" max="16384" width="12" style="1487"/>
  </cols>
  <sheetData>
    <row r="2" spans="2:21" ht="18" x14ac:dyDescent="0.25">
      <c r="G2" s="1489"/>
    </row>
    <row r="3" spans="2:21" ht="24" customHeight="1" x14ac:dyDescent="0.3">
      <c r="B3" s="2762" t="s">
        <v>1036</v>
      </c>
      <c r="C3" s="2762"/>
      <c r="D3" s="2762"/>
      <c r="E3" s="2762"/>
      <c r="F3" s="2762"/>
      <c r="G3" s="2762"/>
      <c r="H3" s="1490"/>
    </row>
    <row r="4" spans="2:21" ht="24.75" customHeight="1" x14ac:dyDescent="0.3">
      <c r="B4" s="2762" t="s">
        <v>1253</v>
      </c>
      <c r="C4" s="2762"/>
      <c r="D4" s="2762"/>
      <c r="E4" s="2762"/>
      <c r="F4" s="2762"/>
      <c r="G4" s="2762"/>
      <c r="H4" s="1491"/>
    </row>
    <row r="5" spans="2:21" ht="15.75" x14ac:dyDescent="0.25">
      <c r="D5" s="1492"/>
      <c r="E5" s="1492"/>
    </row>
    <row r="6" spans="2:21" ht="16.5" thickBot="1" x14ac:dyDescent="0.3">
      <c r="B6" s="1493"/>
      <c r="C6" s="1493" t="s">
        <v>95</v>
      </c>
      <c r="D6" s="1493"/>
      <c r="E6" s="1493"/>
      <c r="F6" s="1494" t="s">
        <v>95</v>
      </c>
      <c r="G6" s="1495" t="s">
        <v>34</v>
      </c>
      <c r="H6" s="1495"/>
    </row>
    <row r="7" spans="2:21" s="1500" customFormat="1" ht="18.75" x14ac:dyDescent="0.3">
      <c r="B7" s="1496"/>
      <c r="C7" s="1497" t="s">
        <v>95</v>
      </c>
      <c r="D7" s="1497" t="s">
        <v>95</v>
      </c>
      <c r="E7" s="1497"/>
      <c r="F7" s="1498" t="s">
        <v>95</v>
      </c>
      <c r="G7" s="1499"/>
      <c r="H7" s="470"/>
    </row>
    <row r="8" spans="2:21" s="1500" customFormat="1" ht="18" customHeight="1" x14ac:dyDescent="0.3">
      <c r="B8" s="2763" t="s">
        <v>51</v>
      </c>
      <c r="C8" s="2764"/>
      <c r="D8" s="2764"/>
      <c r="E8" s="2764"/>
      <c r="F8" s="2765" t="s">
        <v>1037</v>
      </c>
      <c r="G8" s="2766"/>
      <c r="H8" s="470"/>
    </row>
    <row r="9" spans="2:21" s="1500" customFormat="1" ht="38.25" customHeight="1" thickBot="1" x14ac:dyDescent="0.3">
      <c r="B9" s="1501"/>
      <c r="C9" s="1502"/>
      <c r="D9" s="1502"/>
      <c r="E9" s="1502"/>
      <c r="F9" s="1503" t="s">
        <v>939</v>
      </c>
      <c r="G9" s="1504" t="s">
        <v>1038</v>
      </c>
      <c r="H9" s="1505"/>
      <c r="I9" s="1506"/>
      <c r="M9" s="28"/>
      <c r="N9" s="1855"/>
      <c r="O9" s="106"/>
      <c r="P9" s="106"/>
      <c r="Q9" s="106"/>
    </row>
    <row r="10" spans="2:21" s="1514" customFormat="1" ht="23.1" customHeight="1" x14ac:dyDescent="0.25">
      <c r="B10" s="1507" t="s">
        <v>299</v>
      </c>
      <c r="C10" s="1508" t="s">
        <v>1039</v>
      </c>
      <c r="D10" s="1509"/>
      <c r="E10" s="1509"/>
      <c r="F10" s="1510">
        <v>11097</v>
      </c>
      <c r="G10" s="1511">
        <f>F10/F$22*100</f>
        <v>7.0446408166374654</v>
      </c>
      <c r="H10" s="1512"/>
      <c r="I10" s="1513"/>
      <c r="M10" s="28"/>
      <c r="N10" s="1855"/>
      <c r="O10" s="106"/>
      <c r="P10" s="106"/>
      <c r="Q10" s="106"/>
    </row>
    <row r="11" spans="2:21" s="1514" customFormat="1" ht="31.5" customHeight="1" thickBot="1" x14ac:dyDescent="0.3">
      <c r="B11" s="1515" t="s">
        <v>61</v>
      </c>
      <c r="C11" s="1516" t="s">
        <v>1040</v>
      </c>
      <c r="D11" s="1516"/>
      <c r="E11" s="1516"/>
      <c r="F11" s="1517">
        <f>SUM(F10:F10)</f>
        <v>11097</v>
      </c>
      <c r="G11" s="1518">
        <f t="shared" ref="G11:G17" si="0">F11/F$22*100</f>
        <v>7.0446408166374654</v>
      </c>
      <c r="I11" s="1513"/>
      <c r="M11" s="28"/>
      <c r="N11" s="1855"/>
      <c r="O11" s="106"/>
      <c r="P11" s="106"/>
      <c r="Q11" s="106"/>
    </row>
    <row r="12" spans="2:21" s="1522" customFormat="1" ht="22.5" customHeight="1" x14ac:dyDescent="0.25">
      <c r="B12" s="1519" t="s">
        <v>300</v>
      </c>
      <c r="C12" s="1509" t="s">
        <v>1041</v>
      </c>
      <c r="D12" s="1509"/>
      <c r="E12" s="1509"/>
      <c r="F12" s="1510">
        <v>0</v>
      </c>
      <c r="G12" s="1520">
        <f t="shared" si="0"/>
        <v>0</v>
      </c>
      <c r="H12" s="1521"/>
      <c r="I12" s="1521"/>
      <c r="J12" s="1521"/>
      <c r="K12" s="1521"/>
      <c r="L12" s="1521"/>
      <c r="M12" s="1521"/>
      <c r="N12" s="1521"/>
      <c r="O12" s="1521"/>
      <c r="P12" s="1521"/>
      <c r="Q12" s="1521"/>
      <c r="R12" s="1521"/>
      <c r="S12" s="1521"/>
      <c r="T12" s="1521"/>
      <c r="U12" s="1521"/>
    </row>
    <row r="13" spans="2:21" s="1500" customFormat="1" ht="32.25" customHeight="1" thickBot="1" x14ac:dyDescent="0.3">
      <c r="B13" s="1523" t="s">
        <v>301</v>
      </c>
      <c r="C13" s="1524" t="s">
        <v>1042</v>
      </c>
      <c r="D13" s="1524"/>
      <c r="E13" s="1524"/>
      <c r="F13" s="1525">
        <f>SUM(F12:F12)</f>
        <v>0</v>
      </c>
      <c r="G13" s="1526">
        <f t="shared" si="0"/>
        <v>0</v>
      </c>
      <c r="H13" s="1527"/>
      <c r="I13" s="1528"/>
    </row>
    <row r="14" spans="2:21" s="1522" customFormat="1" ht="23.1" customHeight="1" x14ac:dyDescent="0.25">
      <c r="B14" s="1529" t="s">
        <v>303</v>
      </c>
      <c r="C14" s="1509" t="s">
        <v>1043</v>
      </c>
      <c r="D14" s="1509"/>
      <c r="E14" s="1509"/>
      <c r="F14" s="1510">
        <v>11488</v>
      </c>
      <c r="G14" s="1530">
        <f t="shared" si="0"/>
        <v>7.2928569614788854</v>
      </c>
      <c r="H14" s="1521"/>
      <c r="I14" s="1521"/>
      <c r="J14" s="1521"/>
      <c r="K14" s="1521"/>
      <c r="L14" s="1521"/>
      <c r="M14" s="1521"/>
      <c r="N14" s="1521"/>
      <c r="O14" s="1521"/>
      <c r="P14" s="1521"/>
      <c r="Q14" s="1521"/>
      <c r="R14" s="1521"/>
      <c r="S14" s="1521"/>
      <c r="T14" s="1521"/>
      <c r="U14" s="1521"/>
    </row>
    <row r="15" spans="2:21" s="1514" customFormat="1" ht="39" customHeight="1" x14ac:dyDescent="0.3">
      <c r="B15" s="1519" t="s">
        <v>304</v>
      </c>
      <c r="C15" s="2759" t="s">
        <v>1044</v>
      </c>
      <c r="D15" s="2760"/>
      <c r="E15" s="2761"/>
      <c r="F15" s="1510">
        <v>128553</v>
      </c>
      <c r="G15" s="1520">
        <f t="shared" si="0"/>
        <v>81.608516797440387</v>
      </c>
      <c r="H15" s="1531"/>
      <c r="I15" s="1521"/>
      <c r="J15" s="1521"/>
      <c r="K15" s="1521"/>
      <c r="L15" s="1521"/>
      <c r="M15" s="1521"/>
      <c r="N15" s="1521"/>
      <c r="O15" s="1521"/>
      <c r="P15" s="1521"/>
      <c r="Q15" s="1521"/>
      <c r="R15" s="1521"/>
      <c r="S15" s="1521"/>
      <c r="T15" s="1521"/>
      <c r="U15" s="1521"/>
    </row>
    <row r="16" spans="2:21" s="1514" customFormat="1" ht="39" customHeight="1" x14ac:dyDescent="0.3">
      <c r="B16" s="1519" t="s">
        <v>305</v>
      </c>
      <c r="C16" s="2759" t="s">
        <v>1045</v>
      </c>
      <c r="D16" s="2760"/>
      <c r="E16" s="2761"/>
      <c r="F16" s="1510">
        <v>0</v>
      </c>
      <c r="G16" s="1520">
        <f t="shared" si="0"/>
        <v>0</v>
      </c>
      <c r="H16" s="1531"/>
      <c r="I16" s="1521"/>
      <c r="J16" s="1521"/>
      <c r="K16" s="1521"/>
      <c r="L16" s="1521"/>
      <c r="M16" s="1521"/>
      <c r="N16" s="1521"/>
      <c r="O16" s="1521"/>
      <c r="P16" s="1521"/>
      <c r="Q16" s="1521"/>
      <c r="R16" s="1521"/>
      <c r="S16" s="1521"/>
      <c r="T16" s="1521"/>
      <c r="U16" s="1521"/>
    </row>
    <row r="17" spans="2:15" s="1500" customFormat="1" ht="32.25" customHeight="1" thickBot="1" x14ac:dyDescent="0.3">
      <c r="B17" s="1523" t="s">
        <v>1046</v>
      </c>
      <c r="C17" s="1524" t="s">
        <v>1047</v>
      </c>
      <c r="D17" s="1524"/>
      <c r="E17" s="1524"/>
      <c r="F17" s="1525">
        <f>SUM(F14:F16)</f>
        <v>140041</v>
      </c>
      <c r="G17" s="1526">
        <f t="shared" si="0"/>
        <v>88.901373758919277</v>
      </c>
      <c r="H17" s="1532" t="s">
        <v>1048</v>
      </c>
      <c r="I17" s="1528"/>
    </row>
    <row r="18" spans="2:15" s="1541" customFormat="1" ht="20.100000000000001" customHeight="1" x14ac:dyDescent="0.25">
      <c r="B18" s="1533"/>
      <c r="C18" s="1534"/>
      <c r="D18" s="1534"/>
      <c r="E18" s="1534"/>
      <c r="F18" s="1535"/>
      <c r="G18" s="1536"/>
      <c r="H18" s="1537">
        <v>161656</v>
      </c>
      <c r="I18" s="1538"/>
      <c r="J18" s="1539" t="s">
        <v>1049</v>
      </c>
      <c r="K18" s="1539">
        <v>9680</v>
      </c>
      <c r="L18" s="1540" t="s">
        <v>1050</v>
      </c>
    </row>
    <row r="19" spans="2:15" s="1500" customFormat="1" ht="23.1" customHeight="1" x14ac:dyDescent="0.35">
      <c r="B19" s="1542" t="s">
        <v>1051</v>
      </c>
      <c r="C19" s="1534" t="s">
        <v>1052</v>
      </c>
      <c r="D19" s="1534"/>
      <c r="E19" s="1856"/>
      <c r="F19" s="1535">
        <f>5459+262</f>
        <v>5721</v>
      </c>
      <c r="G19" s="1543">
        <f>F19/F$22*100</f>
        <v>3.6318275310428887</v>
      </c>
      <c r="H19" s="1544">
        <f>+F11+F13+F17</f>
        <v>151138</v>
      </c>
      <c r="I19" s="1538"/>
      <c r="J19" s="1539"/>
      <c r="K19" s="1539">
        <v>400</v>
      </c>
      <c r="L19" s="1500" t="s">
        <v>2</v>
      </c>
    </row>
    <row r="20" spans="2:15" s="1500" customFormat="1" ht="23.1" customHeight="1" x14ac:dyDescent="0.25">
      <c r="B20" s="1545" t="s">
        <v>1053</v>
      </c>
      <c r="C20" s="1546" t="s">
        <v>1054</v>
      </c>
      <c r="D20" s="1546"/>
      <c r="E20" s="1546"/>
      <c r="F20" s="1547">
        <v>0</v>
      </c>
      <c r="G20" s="1548">
        <f>F20/F$22*100</f>
        <v>0</v>
      </c>
      <c r="H20" s="1538">
        <f>+H18-H19</f>
        <v>10518</v>
      </c>
      <c r="I20" s="1538"/>
      <c r="J20" s="1539"/>
      <c r="K20" s="1549">
        <v>438</v>
      </c>
      <c r="L20" s="1549" t="s">
        <v>158</v>
      </c>
      <c r="M20" s="1549"/>
      <c r="N20" s="1549"/>
      <c r="O20" s="1549"/>
    </row>
    <row r="21" spans="2:15" s="1500" customFormat="1" ht="23.1" customHeight="1" x14ac:dyDescent="0.25">
      <c r="B21" s="1545" t="s">
        <v>1055</v>
      </c>
      <c r="C21" s="1534" t="s">
        <v>1056</v>
      </c>
      <c r="D21" s="1534"/>
      <c r="E21" s="1534"/>
      <c r="F21" s="1510">
        <v>665</v>
      </c>
      <c r="G21" s="1543">
        <f>F21/F$22*100</f>
        <v>0.42215789340037069</v>
      </c>
      <c r="H21" s="1527"/>
      <c r="J21" s="1539"/>
      <c r="K21" s="1539">
        <f>SUM(K18:K20)</f>
        <v>10518</v>
      </c>
    </row>
    <row r="22" spans="2:15" s="1500" customFormat="1" ht="23.1" customHeight="1" thickBot="1" x14ac:dyDescent="0.3">
      <c r="B22" s="1550" t="s">
        <v>1057</v>
      </c>
      <c r="C22" s="1551" t="s">
        <v>1058</v>
      </c>
      <c r="D22" s="1551"/>
      <c r="E22" s="1551"/>
      <c r="F22" s="1552">
        <f>+F11+F13+F17+F19+F20+F21</f>
        <v>157524</v>
      </c>
      <c r="G22" s="1553">
        <f>F22/F$22*100</f>
        <v>100</v>
      </c>
      <c r="H22" s="1527">
        <f>SUM(F19:F21)</f>
        <v>6386</v>
      </c>
      <c r="I22" s="1539"/>
      <c r="J22" s="1539"/>
      <c r="K22" s="1539"/>
    </row>
    <row r="23" spans="2:15" s="1500" customFormat="1" ht="29.25" customHeight="1" x14ac:dyDescent="0.25">
      <c r="F23" s="1528"/>
      <c r="G23" s="1554">
        <f>+G11+G13+G17+G19+G20+G21</f>
        <v>100</v>
      </c>
      <c r="H23" s="1527"/>
      <c r="I23" s="1539"/>
      <c r="J23" s="1539"/>
      <c r="K23" s="1539"/>
      <c r="L23" s="1539"/>
      <c r="M23" s="1555"/>
    </row>
    <row r="24" spans="2:15" ht="20.100000000000001" customHeight="1" x14ac:dyDescent="0.25">
      <c r="G24" s="1488"/>
      <c r="H24" s="1556"/>
      <c r="I24" s="1493" t="s">
        <v>1059</v>
      </c>
      <c r="J24" s="1557">
        <v>11097</v>
      </c>
      <c r="K24" s="1493" t="s">
        <v>26</v>
      </c>
      <c r="L24" s="1493"/>
      <c r="M24" s="1558"/>
      <c r="O24" s="1487">
        <v>404110</v>
      </c>
    </row>
    <row r="25" spans="2:15" ht="20.100000000000001" customHeight="1" x14ac:dyDescent="0.25">
      <c r="G25" s="1488"/>
      <c r="H25" s="1556"/>
      <c r="I25" s="1493"/>
      <c r="J25" s="1557">
        <v>146427</v>
      </c>
      <c r="K25" s="1493" t="s">
        <v>118</v>
      </c>
      <c r="L25" s="1493"/>
      <c r="M25" s="1558"/>
      <c r="O25" s="1487">
        <v>404130</v>
      </c>
    </row>
    <row r="26" spans="2:15" ht="20.100000000000001" customHeight="1" x14ac:dyDescent="0.25">
      <c r="G26" s="1488"/>
      <c r="H26" s="1556"/>
      <c r="I26" s="1493"/>
      <c r="J26" s="1557">
        <v>0</v>
      </c>
      <c r="K26" s="1493" t="s">
        <v>145</v>
      </c>
      <c r="L26" s="1493"/>
      <c r="M26" s="1558"/>
      <c r="O26" s="1488">
        <v>404240</v>
      </c>
    </row>
    <row r="27" spans="2:15" ht="20.100000000000001" customHeight="1" x14ac:dyDescent="0.2">
      <c r="G27" s="1488"/>
      <c r="H27" s="1559"/>
      <c r="I27" s="1493"/>
      <c r="J27" s="1560">
        <f>SUM(J24:J26)</f>
        <v>157524</v>
      </c>
      <c r="K27" s="1493"/>
      <c r="L27" s="1493"/>
      <c r="M27" s="1558"/>
    </row>
    <row r="28" spans="2:15" ht="30.75" customHeight="1" x14ac:dyDescent="0.25">
      <c r="G28" s="1488"/>
      <c r="H28" s="1561"/>
      <c r="I28" s="1493"/>
      <c r="J28" s="1557">
        <f>+F22-J27</f>
        <v>0</v>
      </c>
      <c r="K28" s="1493"/>
      <c r="L28" s="1493"/>
      <c r="M28" s="1558"/>
    </row>
    <row r="29" spans="2:15" ht="20.100000000000001" customHeight="1" x14ac:dyDescent="0.25">
      <c r="G29" s="1488"/>
      <c r="H29" s="1556"/>
      <c r="I29" s="1493"/>
      <c r="J29" s="1493"/>
      <c r="K29" s="1493"/>
      <c r="L29" s="1493"/>
      <c r="M29" s="1562"/>
    </row>
    <row r="30" spans="2:15" ht="14.25" customHeight="1" x14ac:dyDescent="0.25">
      <c r="G30" s="1488"/>
      <c r="H30" s="1563"/>
      <c r="I30" s="1493"/>
      <c r="J30" s="1493"/>
      <c r="K30" s="1493"/>
      <c r="L30" s="1493"/>
      <c r="M30" s="1557"/>
    </row>
    <row r="31" spans="2:15" x14ac:dyDescent="0.2">
      <c r="G31" s="1488"/>
      <c r="I31" s="1493"/>
      <c r="J31" s="1493"/>
      <c r="K31" s="1493"/>
      <c r="L31" s="1493"/>
      <c r="M31" s="1557"/>
    </row>
    <row r="32" spans="2:15" x14ac:dyDescent="0.2">
      <c r="G32" s="1488"/>
      <c r="H32" s="1488"/>
      <c r="I32" s="1493"/>
      <c r="J32" s="1493"/>
      <c r="K32" s="1493"/>
      <c r="L32" s="1493"/>
      <c r="M32" s="1493"/>
    </row>
    <row r="33" spans="7:16" x14ac:dyDescent="0.2">
      <c r="G33" s="1488"/>
      <c r="H33" s="1488"/>
      <c r="I33" s="1557"/>
      <c r="J33" s="1493"/>
      <c r="K33" s="1493"/>
      <c r="L33" s="1493"/>
      <c r="M33" s="1493"/>
    </row>
    <row r="34" spans="7:16" x14ac:dyDescent="0.2">
      <c r="G34" s="1488"/>
      <c r="H34" s="1557"/>
    </row>
    <row r="35" spans="7:16" x14ac:dyDescent="0.2">
      <c r="G35" s="1488"/>
      <c r="H35" s="1488"/>
      <c r="L35" s="1488"/>
    </row>
    <row r="36" spans="7:16" x14ac:dyDescent="0.2">
      <c r="G36" s="1488"/>
      <c r="H36" s="1488"/>
      <c r="I36" s="1488"/>
      <c r="L36" s="1488"/>
    </row>
    <row r="37" spans="7:16" x14ac:dyDescent="0.2">
      <c r="G37" s="1488"/>
      <c r="H37" s="1488"/>
      <c r="I37" s="1488"/>
      <c r="P37" s="1564"/>
    </row>
    <row r="38" spans="7:16" x14ac:dyDescent="0.2">
      <c r="H38" s="1488"/>
      <c r="I38" s="1488"/>
      <c r="P38" s="1565"/>
    </row>
    <row r="39" spans="7:16" x14ac:dyDescent="0.2">
      <c r="H39" s="1488"/>
      <c r="I39" s="1488"/>
      <c r="P39" s="1565"/>
    </row>
    <row r="40" spans="7:16" x14ac:dyDescent="0.2">
      <c r="H40" s="1488"/>
      <c r="I40" s="1557"/>
      <c r="L40" s="1493"/>
      <c r="P40" s="1565"/>
    </row>
    <row r="41" spans="7:16" x14ac:dyDescent="0.2">
      <c r="H41" s="1488"/>
      <c r="I41" s="1557"/>
      <c r="L41" s="1557"/>
      <c r="P41" s="1565"/>
    </row>
    <row r="42" spans="7:16" x14ac:dyDescent="0.2">
      <c r="H42" s="1488"/>
      <c r="P42" s="1565"/>
    </row>
    <row r="43" spans="7:16" x14ac:dyDescent="0.2">
      <c r="H43" s="1488"/>
      <c r="P43" s="1565"/>
    </row>
    <row r="44" spans="7:16" x14ac:dyDescent="0.2">
      <c r="H44" s="1488"/>
      <c r="P44" s="1565"/>
    </row>
    <row r="45" spans="7:16" x14ac:dyDescent="0.2">
      <c r="H45" s="1488"/>
      <c r="P45" s="1565"/>
    </row>
    <row r="46" spans="7:16" x14ac:dyDescent="0.2">
      <c r="P46" s="1564"/>
    </row>
    <row r="47" spans="7:16" x14ac:dyDescent="0.2">
      <c r="P47" s="1488"/>
    </row>
    <row r="48" spans="7:16" x14ac:dyDescent="0.2">
      <c r="P48" s="1488"/>
    </row>
  </sheetData>
  <mergeCells count="6">
    <mergeCell ref="C16:E16"/>
    <mergeCell ref="B3:G3"/>
    <mergeCell ref="B4:G4"/>
    <mergeCell ref="B8:E8"/>
    <mergeCell ref="F8:G8"/>
    <mergeCell ref="C15:E15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62" orientation="portrait" r:id="rId1"/>
  <headerFooter alignWithMargins="0">
    <oddHeader xml:space="preserve">&amp;R&amp;"Arial,Félkövér"&amp;16  26. melléklet a …../2019. (…….) önkormányzati rendelethez
 </oddHeader>
    <oddFooter xml:space="preserve">&amp;C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O38"/>
  <sheetViews>
    <sheetView zoomScaleNormal="100" workbookViewId="0">
      <selection activeCell="G23" sqref="G23"/>
    </sheetView>
  </sheetViews>
  <sheetFormatPr defaultColWidth="10.6640625" defaultRowHeight="12.75" x14ac:dyDescent="0.2"/>
  <cols>
    <col min="1" max="1" width="4.33203125" style="1566" customWidth="1"/>
    <col min="2" max="2" width="5.5" style="1566" customWidth="1"/>
    <col min="3" max="3" width="10.6640625" style="1566" customWidth="1"/>
    <col min="4" max="4" width="48.6640625" style="1566" customWidth="1"/>
    <col min="5" max="5" width="16.83203125" style="1566" customWidth="1"/>
    <col min="6" max="7" width="12.5" style="1566" customWidth="1"/>
    <col min="8" max="8" width="13.6640625" style="1566" customWidth="1"/>
    <col min="9" max="9" width="16.33203125" style="1566" customWidth="1"/>
    <col min="10" max="10" width="13.6640625" style="1566" customWidth="1"/>
    <col min="11" max="11" width="15.5" style="1566" customWidth="1"/>
    <col min="12" max="12" width="10.6640625" style="1566"/>
    <col min="13" max="13" width="11.83203125" style="1566" bestFit="1" customWidth="1"/>
    <col min="14" max="14" width="10.6640625" style="1566"/>
    <col min="15" max="15" width="13" style="1566" customWidth="1"/>
    <col min="16" max="16384" width="10.6640625" style="1566"/>
  </cols>
  <sheetData>
    <row r="2" spans="1:11" ht="21" customHeight="1" x14ac:dyDescent="0.25">
      <c r="A2" s="2789" t="s">
        <v>1254</v>
      </c>
      <c r="B2" s="2789"/>
      <c r="C2" s="2789"/>
      <c r="D2" s="2789"/>
      <c r="E2" s="2789"/>
      <c r="F2" s="2789"/>
      <c r="G2" s="2789"/>
      <c r="H2" s="2789"/>
      <c r="I2" s="2789"/>
      <c r="J2" s="2789"/>
      <c r="K2" s="2789"/>
    </row>
    <row r="3" spans="1:11" x14ac:dyDescent="0.2">
      <c r="A3" s="1567"/>
      <c r="B3" s="1567"/>
      <c r="C3" s="1567"/>
      <c r="D3" s="1567"/>
      <c r="E3" s="1567"/>
      <c r="F3" s="1567"/>
      <c r="G3" s="1567"/>
      <c r="H3" s="1567"/>
      <c r="I3" s="1567"/>
      <c r="J3" s="1567"/>
      <c r="K3" s="1567"/>
    </row>
    <row r="4" spans="1:11" ht="13.5" thickBot="1" x14ac:dyDescent="0.25">
      <c r="A4" s="2790"/>
      <c r="B4" s="2790"/>
      <c r="C4" s="2790"/>
      <c r="D4" s="2790"/>
      <c r="E4" s="2790"/>
      <c r="F4" s="2790"/>
      <c r="G4" s="2790"/>
      <c r="H4" s="2790"/>
      <c r="I4" s="2790"/>
      <c r="J4" s="2790"/>
      <c r="K4" s="1568"/>
    </row>
    <row r="5" spans="1:11" x14ac:dyDescent="0.2">
      <c r="A5" s="2791" t="s">
        <v>785</v>
      </c>
      <c r="B5" s="2792"/>
      <c r="C5" s="2797" t="s">
        <v>51</v>
      </c>
      <c r="D5" s="2792"/>
      <c r="E5" s="2800" t="s">
        <v>1060</v>
      </c>
      <c r="F5" s="2801"/>
      <c r="G5" s="2801"/>
      <c r="H5" s="2801"/>
      <c r="I5" s="2801"/>
      <c r="J5" s="2801"/>
      <c r="K5" s="2802"/>
    </row>
    <row r="6" spans="1:11" x14ac:dyDescent="0.2">
      <c r="A6" s="2793"/>
      <c r="B6" s="2794"/>
      <c r="C6" s="2798"/>
      <c r="D6" s="2794"/>
      <c r="E6" s="2803" t="s">
        <v>1061</v>
      </c>
      <c r="F6" s="2804"/>
      <c r="G6" s="2805"/>
      <c r="H6" s="2803" t="s">
        <v>1062</v>
      </c>
      <c r="I6" s="2804"/>
      <c r="J6" s="2804"/>
      <c r="K6" s="2806"/>
    </row>
    <row r="7" spans="1:11" x14ac:dyDescent="0.2">
      <c r="A7" s="2793"/>
      <c r="B7" s="2794"/>
      <c r="C7" s="2798"/>
      <c r="D7" s="2794"/>
      <c r="E7" s="2807" t="s">
        <v>1063</v>
      </c>
      <c r="F7" s="2809" t="s">
        <v>1064</v>
      </c>
      <c r="G7" s="2810"/>
      <c r="H7" s="2813" t="s">
        <v>1065</v>
      </c>
      <c r="I7" s="2814"/>
      <c r="J7" s="2809" t="s">
        <v>1066</v>
      </c>
      <c r="K7" s="2815"/>
    </row>
    <row r="8" spans="1:11" x14ac:dyDescent="0.2">
      <c r="A8" s="2793"/>
      <c r="B8" s="2794"/>
      <c r="C8" s="2798"/>
      <c r="D8" s="2794"/>
      <c r="E8" s="2808"/>
      <c r="F8" s="2811"/>
      <c r="G8" s="2812"/>
      <c r="H8" s="2817" t="s">
        <v>1067</v>
      </c>
      <c r="I8" s="2818"/>
      <c r="J8" s="2811"/>
      <c r="K8" s="2816"/>
    </row>
    <row r="9" spans="1:11" x14ac:dyDescent="0.2">
      <c r="A9" s="2793"/>
      <c r="B9" s="2794"/>
      <c r="C9" s="2798"/>
      <c r="D9" s="2794"/>
      <c r="E9" s="1569" t="s">
        <v>1068</v>
      </c>
      <c r="F9" s="1569" t="s">
        <v>1069</v>
      </c>
      <c r="G9" s="1569" t="s">
        <v>1070</v>
      </c>
      <c r="H9" s="1569" t="s">
        <v>1071</v>
      </c>
      <c r="I9" s="1569" t="s">
        <v>1072</v>
      </c>
      <c r="J9" s="1569" t="s">
        <v>1071</v>
      </c>
      <c r="K9" s="1570" t="s">
        <v>1072</v>
      </c>
    </row>
    <row r="10" spans="1:11" ht="13.5" thickBot="1" x14ac:dyDescent="0.25">
      <c r="A10" s="2795"/>
      <c r="B10" s="2796"/>
      <c r="C10" s="2799"/>
      <c r="D10" s="2796"/>
      <c r="E10" s="1571" t="s">
        <v>1073</v>
      </c>
      <c r="F10" s="1571" t="s">
        <v>1074</v>
      </c>
      <c r="G10" s="1571" t="s">
        <v>1075</v>
      </c>
      <c r="H10" s="1571" t="s">
        <v>1076</v>
      </c>
      <c r="I10" s="1571" t="s">
        <v>1077</v>
      </c>
      <c r="J10" s="1571" t="s">
        <v>1078</v>
      </c>
      <c r="K10" s="1572" t="s">
        <v>1079</v>
      </c>
    </row>
    <row r="11" spans="1:11" ht="15" customHeight="1" x14ac:dyDescent="0.2">
      <c r="A11" s="2788" t="s">
        <v>1080</v>
      </c>
      <c r="B11" s="2784"/>
      <c r="C11" s="2785" t="s">
        <v>1081</v>
      </c>
      <c r="D11" s="2786"/>
      <c r="E11" s="1573">
        <v>4082</v>
      </c>
      <c r="F11" s="1574">
        <v>1806</v>
      </c>
      <c r="G11" s="1575">
        <v>5071</v>
      </c>
      <c r="H11" s="1576">
        <v>4034</v>
      </c>
      <c r="I11" s="1573">
        <v>77416460</v>
      </c>
      <c r="J11" s="1574">
        <v>4067</v>
      </c>
      <c r="K11" s="1577">
        <v>106592611</v>
      </c>
    </row>
    <row r="12" spans="1:11" ht="15" customHeight="1" x14ac:dyDescent="0.2">
      <c r="A12" s="2777" t="s">
        <v>1082</v>
      </c>
      <c r="B12" s="2770"/>
      <c r="C12" s="2773" t="s">
        <v>1083</v>
      </c>
      <c r="D12" s="2774"/>
      <c r="E12" s="1578">
        <v>13</v>
      </c>
      <c r="F12" s="1579">
        <v>17</v>
      </c>
      <c r="G12" s="1580">
        <v>8678</v>
      </c>
      <c r="H12" s="1581">
        <v>13</v>
      </c>
      <c r="I12" s="1578">
        <v>2421024</v>
      </c>
      <c r="J12" s="1579">
        <v>13</v>
      </c>
      <c r="K12" s="1582">
        <v>2306757</v>
      </c>
    </row>
    <row r="13" spans="1:11" ht="15" customHeight="1" x14ac:dyDescent="0.2">
      <c r="A13" s="2777" t="s">
        <v>1084</v>
      </c>
      <c r="B13" s="2770"/>
      <c r="C13" s="2773" t="s">
        <v>1085</v>
      </c>
      <c r="D13" s="2774"/>
      <c r="E13" s="1578">
        <v>0</v>
      </c>
      <c r="F13" s="1579">
        <v>0</v>
      </c>
      <c r="G13" s="1580">
        <v>0</v>
      </c>
      <c r="H13" s="1581">
        <v>0</v>
      </c>
      <c r="I13" s="1578">
        <v>0</v>
      </c>
      <c r="J13" s="1579">
        <v>0</v>
      </c>
      <c r="K13" s="1582">
        <v>0</v>
      </c>
    </row>
    <row r="14" spans="1:11" ht="15" customHeight="1" x14ac:dyDescent="0.2">
      <c r="A14" s="2777" t="s">
        <v>1086</v>
      </c>
      <c r="B14" s="2770"/>
      <c r="C14" s="2773" t="s">
        <v>1087</v>
      </c>
      <c r="D14" s="2774"/>
      <c r="E14" s="1578">
        <v>14</v>
      </c>
      <c r="F14" s="1579"/>
      <c r="G14" s="1580"/>
      <c r="H14" s="1581">
        <v>14</v>
      </c>
      <c r="I14" s="1578">
        <v>13928934</v>
      </c>
      <c r="J14" s="1579">
        <v>14</v>
      </c>
      <c r="K14" s="1582">
        <v>11794583</v>
      </c>
    </row>
    <row r="15" spans="1:11" ht="15" customHeight="1" thickBot="1" x14ac:dyDescent="0.25">
      <c r="A15" s="2778" t="s">
        <v>1088</v>
      </c>
      <c r="B15" s="2779"/>
      <c r="C15" s="2780" t="s">
        <v>1089</v>
      </c>
      <c r="D15" s="2781"/>
      <c r="E15" s="1583">
        <v>4109</v>
      </c>
      <c r="F15" s="1583">
        <v>1824</v>
      </c>
      <c r="G15" s="1583">
        <v>3749</v>
      </c>
      <c r="H15" s="1583">
        <v>4061</v>
      </c>
      <c r="I15" s="1583">
        <v>93766418</v>
      </c>
      <c r="J15" s="1583">
        <v>4094</v>
      </c>
      <c r="K15" s="1584">
        <v>120693951</v>
      </c>
    </row>
    <row r="16" spans="1:11" ht="15" customHeight="1" x14ac:dyDescent="0.2">
      <c r="A16" s="2782" t="s">
        <v>1090</v>
      </c>
      <c r="B16" s="2783"/>
      <c r="C16" s="1585" t="s">
        <v>1091</v>
      </c>
      <c r="D16" s="1586"/>
      <c r="E16" s="1587">
        <v>1976</v>
      </c>
      <c r="F16" s="1588">
        <v>839</v>
      </c>
      <c r="G16" s="1589">
        <v>7983</v>
      </c>
      <c r="H16" s="1590">
        <v>1975</v>
      </c>
      <c r="I16" s="1587">
        <v>27349338</v>
      </c>
      <c r="J16" s="1588">
        <v>1967</v>
      </c>
      <c r="K16" s="1591">
        <v>55168092</v>
      </c>
    </row>
    <row r="17" spans="1:15" ht="15" customHeight="1" x14ac:dyDescent="0.2">
      <c r="A17" s="2775" t="s">
        <v>1092</v>
      </c>
      <c r="B17" s="2784"/>
      <c r="C17" s="2785" t="s">
        <v>1093</v>
      </c>
      <c r="D17" s="2786"/>
      <c r="E17" s="1575">
        <v>0</v>
      </c>
      <c r="F17" s="1574">
        <v>0</v>
      </c>
      <c r="G17" s="1575">
        <v>0</v>
      </c>
      <c r="H17" s="1576">
        <v>0</v>
      </c>
      <c r="I17" s="1573">
        <v>0</v>
      </c>
      <c r="J17" s="1574">
        <v>0</v>
      </c>
      <c r="K17" s="1577">
        <v>0</v>
      </c>
    </row>
    <row r="18" spans="1:15" ht="15" customHeight="1" x14ac:dyDescent="0.2">
      <c r="A18" s="2769" t="s">
        <v>1094</v>
      </c>
      <c r="B18" s="2770"/>
      <c r="C18" s="1592" t="s">
        <v>1095</v>
      </c>
      <c r="D18" s="1593" t="s">
        <v>1096</v>
      </c>
      <c r="E18" s="1580">
        <v>3571</v>
      </c>
      <c r="F18" s="1579">
        <v>896</v>
      </c>
      <c r="G18" s="1580">
        <v>1384</v>
      </c>
      <c r="H18" s="1581">
        <v>3554</v>
      </c>
      <c r="I18" s="1578">
        <v>91599554</v>
      </c>
      <c r="J18" s="1579">
        <v>3556</v>
      </c>
      <c r="K18" s="1582">
        <v>118095465</v>
      </c>
    </row>
    <row r="19" spans="1:15" ht="15" customHeight="1" x14ac:dyDescent="0.2">
      <c r="A19" s="2775" t="s">
        <v>1097</v>
      </c>
      <c r="B19" s="2784"/>
      <c r="C19" s="1594" t="s">
        <v>1098</v>
      </c>
      <c r="D19" s="1593" t="s">
        <v>1099</v>
      </c>
      <c r="E19" s="1580">
        <v>538</v>
      </c>
      <c r="F19" s="1579">
        <v>928</v>
      </c>
      <c r="G19" s="1580">
        <v>2365</v>
      </c>
      <c r="H19" s="1581">
        <v>507</v>
      </c>
      <c r="I19" s="1578">
        <v>2166864</v>
      </c>
      <c r="J19" s="1579">
        <v>538</v>
      </c>
      <c r="K19" s="1582">
        <v>2598486</v>
      </c>
      <c r="L19" s="2105"/>
      <c r="M19" s="2105"/>
      <c r="N19" s="2105"/>
      <c r="O19" s="2105"/>
    </row>
    <row r="20" spans="1:15" ht="15" customHeight="1" x14ac:dyDescent="0.2">
      <c r="A20" s="2767" t="s">
        <v>1100</v>
      </c>
      <c r="B20" s="2787"/>
      <c r="C20" s="1595"/>
      <c r="D20" s="1596" t="s">
        <v>1101</v>
      </c>
      <c r="E20" s="1597">
        <v>1909</v>
      </c>
      <c r="F20" s="1598">
        <v>817</v>
      </c>
      <c r="G20" s="1597">
        <v>4872</v>
      </c>
      <c r="H20" s="1599">
        <v>1866</v>
      </c>
      <c r="I20" s="1600">
        <v>49510709</v>
      </c>
      <c r="J20" s="1598">
        <v>1903</v>
      </c>
      <c r="K20" s="1601">
        <v>47747371</v>
      </c>
    </row>
    <row r="21" spans="1:15" ht="15" customHeight="1" x14ac:dyDescent="0.2">
      <c r="A21" s="2769" t="s">
        <v>1102</v>
      </c>
      <c r="B21" s="2770"/>
      <c r="C21" s="1602" t="s">
        <v>1095</v>
      </c>
      <c r="D21" s="1593" t="s">
        <v>1103</v>
      </c>
      <c r="E21" s="1603">
        <v>874</v>
      </c>
      <c r="F21" s="1579">
        <v>428</v>
      </c>
      <c r="G21" s="1580">
        <v>1548</v>
      </c>
      <c r="H21" s="1581">
        <v>869</v>
      </c>
      <c r="I21" s="1578">
        <v>40628849</v>
      </c>
      <c r="J21" s="1579">
        <v>873</v>
      </c>
      <c r="K21" s="1582">
        <v>62463997</v>
      </c>
    </row>
    <row r="22" spans="1:15" ht="15" customHeight="1" x14ac:dyDescent="0.2">
      <c r="A22" s="2775" t="s">
        <v>1104</v>
      </c>
      <c r="B22" s="2784"/>
      <c r="C22" s="1604" t="s">
        <v>1098</v>
      </c>
      <c r="D22" s="1605" t="s">
        <v>1105</v>
      </c>
      <c r="E22" s="1575">
        <v>1326</v>
      </c>
      <c r="F22" s="1574">
        <v>578</v>
      </c>
      <c r="G22" s="1575">
        <v>7329</v>
      </c>
      <c r="H22" s="1576">
        <v>1326</v>
      </c>
      <c r="I22" s="1573">
        <v>3626860</v>
      </c>
      <c r="J22" s="1574">
        <v>1318</v>
      </c>
      <c r="K22" s="1577">
        <v>10482583</v>
      </c>
      <c r="L22" s="2105"/>
      <c r="M22" s="2105"/>
      <c r="N22" s="2105"/>
      <c r="O22" s="2105"/>
    </row>
    <row r="23" spans="1:15" ht="15" customHeight="1" x14ac:dyDescent="0.2">
      <c r="A23" s="2769" t="s">
        <v>1106</v>
      </c>
      <c r="B23" s="2770"/>
      <c r="C23" s="2773" t="s">
        <v>1107</v>
      </c>
      <c r="D23" s="2774"/>
      <c r="E23" s="1580">
        <v>1099</v>
      </c>
      <c r="F23" s="1579">
        <v>1256</v>
      </c>
      <c r="G23" s="1580">
        <v>1734</v>
      </c>
      <c r="H23" s="1581">
        <v>1054</v>
      </c>
      <c r="I23" s="1578">
        <v>16580973</v>
      </c>
      <c r="J23" s="1579">
        <v>1093</v>
      </c>
      <c r="K23" s="1582">
        <v>18003832</v>
      </c>
    </row>
    <row r="24" spans="1:15" ht="15" customHeight="1" x14ac:dyDescent="0.2">
      <c r="A24" s="2767" t="s">
        <v>1108</v>
      </c>
      <c r="B24" s="2768"/>
      <c r="C24" s="1596"/>
      <c r="D24" s="1596" t="s">
        <v>1109</v>
      </c>
      <c r="E24" s="1597">
        <v>1021</v>
      </c>
      <c r="F24" s="1598">
        <v>1150</v>
      </c>
      <c r="G24" s="1597">
        <v>5502</v>
      </c>
      <c r="H24" s="1599">
        <v>1012</v>
      </c>
      <c r="I24" s="1600">
        <v>16552941</v>
      </c>
      <c r="J24" s="1598">
        <v>1015</v>
      </c>
      <c r="K24" s="1601">
        <v>17975764</v>
      </c>
    </row>
    <row r="25" spans="1:15" ht="15" customHeight="1" x14ac:dyDescent="0.2">
      <c r="A25" s="2769" t="s">
        <v>1110</v>
      </c>
      <c r="B25" s="2770"/>
      <c r="C25" s="1606" t="s">
        <v>1111</v>
      </c>
      <c r="D25" s="1593" t="s">
        <v>1112</v>
      </c>
      <c r="E25" s="1603">
        <v>72</v>
      </c>
      <c r="F25" s="1579">
        <v>13</v>
      </c>
      <c r="G25" s="1580">
        <v>8524</v>
      </c>
      <c r="H25" s="1581">
        <v>36</v>
      </c>
      <c r="I25" s="1578">
        <v>22640</v>
      </c>
      <c r="J25" s="1579">
        <v>72</v>
      </c>
      <c r="K25" s="1582">
        <v>22676</v>
      </c>
    </row>
    <row r="26" spans="1:15" ht="15" customHeight="1" x14ac:dyDescent="0.2">
      <c r="A26" s="2775" t="s">
        <v>1113</v>
      </c>
      <c r="B26" s="2776"/>
      <c r="C26" s="1605" t="s">
        <v>1098</v>
      </c>
      <c r="D26" s="1605" t="s">
        <v>1114</v>
      </c>
      <c r="E26" s="1575">
        <v>6</v>
      </c>
      <c r="F26" s="1574">
        <v>91</v>
      </c>
      <c r="G26" s="1575">
        <v>7708</v>
      </c>
      <c r="H26" s="1574">
        <v>6</v>
      </c>
      <c r="I26" s="1575">
        <v>5392</v>
      </c>
      <c r="J26" s="1574">
        <v>6</v>
      </c>
      <c r="K26" s="1577">
        <v>5392</v>
      </c>
    </row>
    <row r="27" spans="1:15" ht="15" customHeight="1" x14ac:dyDescent="0.2">
      <c r="A27" s="2769" t="s">
        <v>1115</v>
      </c>
      <c r="B27" s="2770"/>
      <c r="C27" s="2773" t="s">
        <v>1116</v>
      </c>
      <c r="D27" s="2774"/>
      <c r="E27" s="1580">
        <v>1215</v>
      </c>
      <c r="F27" s="1579">
        <v>561</v>
      </c>
      <c r="G27" s="1580">
        <v>4261</v>
      </c>
      <c r="H27" s="1579">
        <v>1213</v>
      </c>
      <c r="I27" s="1580">
        <v>59487637</v>
      </c>
      <c r="J27" s="1579">
        <v>1215</v>
      </c>
      <c r="K27" s="1582">
        <v>78866683</v>
      </c>
    </row>
    <row r="28" spans="1:15" ht="15" customHeight="1" x14ac:dyDescent="0.2">
      <c r="A28" s="2767" t="s">
        <v>1117</v>
      </c>
      <c r="B28" s="2768"/>
      <c r="C28" s="1596"/>
      <c r="D28" s="1596" t="s">
        <v>1109</v>
      </c>
      <c r="E28" s="1597">
        <v>1098</v>
      </c>
      <c r="F28" s="1598">
        <v>516</v>
      </c>
      <c r="G28" s="1597">
        <v>247</v>
      </c>
      <c r="H28" s="1598">
        <v>1098</v>
      </c>
      <c r="I28" s="1597">
        <v>58601007</v>
      </c>
      <c r="J28" s="1598">
        <v>1098</v>
      </c>
      <c r="K28" s="1601">
        <v>77807251</v>
      </c>
    </row>
    <row r="29" spans="1:15" ht="15" customHeight="1" x14ac:dyDescent="0.2">
      <c r="A29" s="2769" t="s">
        <v>1118</v>
      </c>
      <c r="B29" s="2770"/>
      <c r="C29" s="1606" t="s">
        <v>1119</v>
      </c>
      <c r="D29" s="1593" t="s">
        <v>1112</v>
      </c>
      <c r="E29" s="1603">
        <v>94</v>
      </c>
      <c r="F29" s="1579">
        <v>42</v>
      </c>
      <c r="G29" s="1580">
        <v>108</v>
      </c>
      <c r="H29" s="1579">
        <v>92</v>
      </c>
      <c r="I29" s="1580">
        <v>704229</v>
      </c>
      <c r="J29" s="1579">
        <v>94</v>
      </c>
      <c r="K29" s="1582">
        <v>704233</v>
      </c>
    </row>
    <row r="30" spans="1:15" ht="15" customHeight="1" x14ac:dyDescent="0.2">
      <c r="A30" s="2769" t="s">
        <v>1120</v>
      </c>
      <c r="B30" s="2770"/>
      <c r="C30" s="1607" t="s">
        <v>1098</v>
      </c>
      <c r="D30" s="1593" t="s">
        <v>1114</v>
      </c>
      <c r="E30" s="1603">
        <v>3</v>
      </c>
      <c r="F30" s="1579">
        <v>0</v>
      </c>
      <c r="G30" s="1580">
        <v>3538</v>
      </c>
      <c r="H30" s="1579">
        <v>3</v>
      </c>
      <c r="I30" s="1580">
        <v>24472</v>
      </c>
      <c r="J30" s="1579">
        <v>3</v>
      </c>
      <c r="K30" s="1582">
        <v>56163</v>
      </c>
    </row>
    <row r="31" spans="1:15" ht="15" customHeight="1" x14ac:dyDescent="0.2">
      <c r="A31" s="2769" t="s">
        <v>1121</v>
      </c>
      <c r="B31" s="2770"/>
      <c r="C31" s="1605"/>
      <c r="D31" s="1605" t="s">
        <v>1122</v>
      </c>
      <c r="E31" s="1575">
        <v>20</v>
      </c>
      <c r="F31" s="1574">
        <v>3</v>
      </c>
      <c r="G31" s="1575">
        <v>368</v>
      </c>
      <c r="H31" s="1574">
        <v>20</v>
      </c>
      <c r="I31" s="1575">
        <v>157929</v>
      </c>
      <c r="J31" s="1574">
        <v>20</v>
      </c>
      <c r="K31" s="1577">
        <v>299036</v>
      </c>
    </row>
    <row r="32" spans="1:15" ht="15" customHeight="1" x14ac:dyDescent="0.2">
      <c r="A32" s="2769" t="s">
        <v>1123</v>
      </c>
      <c r="B32" s="2770"/>
      <c r="C32" s="2773" t="s">
        <v>1124</v>
      </c>
      <c r="D32" s="2774"/>
      <c r="E32" s="1580">
        <v>1775</v>
      </c>
      <c r="F32" s="1579"/>
      <c r="G32" s="1580"/>
      <c r="H32" s="1579">
        <v>1774</v>
      </c>
      <c r="I32" s="1580">
        <v>3226591</v>
      </c>
      <c r="J32" s="1579">
        <v>1766</v>
      </c>
      <c r="K32" s="1582">
        <v>11477594</v>
      </c>
    </row>
    <row r="33" spans="1:13" ht="15" customHeight="1" x14ac:dyDescent="0.2">
      <c r="A33" s="2767" t="s">
        <v>1125</v>
      </c>
      <c r="B33" s="2768"/>
      <c r="C33" s="1596"/>
      <c r="D33" s="1596" t="s">
        <v>1109</v>
      </c>
      <c r="E33" s="1597">
        <v>1769</v>
      </c>
      <c r="F33" s="1598"/>
      <c r="G33" s="1597"/>
      <c r="H33" s="1598">
        <v>1768</v>
      </c>
      <c r="I33" s="1597">
        <v>3218029</v>
      </c>
      <c r="J33" s="1598">
        <v>1760</v>
      </c>
      <c r="K33" s="1601">
        <v>11439574</v>
      </c>
    </row>
    <row r="34" spans="1:13" ht="15" customHeight="1" x14ac:dyDescent="0.2">
      <c r="A34" s="2769" t="s">
        <v>1126</v>
      </c>
      <c r="B34" s="2770"/>
      <c r="C34" s="1606" t="s">
        <v>1127</v>
      </c>
      <c r="D34" s="1593" t="s">
        <v>1112</v>
      </c>
      <c r="E34" s="1603">
        <v>0</v>
      </c>
      <c r="F34" s="1579"/>
      <c r="G34" s="1580"/>
      <c r="H34" s="1579">
        <v>0</v>
      </c>
      <c r="I34" s="1580">
        <v>0</v>
      </c>
      <c r="J34" s="1579">
        <v>0</v>
      </c>
      <c r="K34" s="1582">
        <v>0</v>
      </c>
    </row>
    <row r="35" spans="1:13" ht="15" customHeight="1" x14ac:dyDescent="0.2">
      <c r="A35" s="2775" t="s">
        <v>1128</v>
      </c>
      <c r="B35" s="2776"/>
      <c r="C35" s="1605" t="s">
        <v>1098</v>
      </c>
      <c r="D35" s="1605" t="s">
        <v>1114</v>
      </c>
      <c r="E35" s="1575">
        <v>6</v>
      </c>
      <c r="F35" s="1574"/>
      <c r="G35" s="1575"/>
      <c r="H35" s="1574">
        <v>6</v>
      </c>
      <c r="I35" s="1575">
        <v>8562</v>
      </c>
      <c r="J35" s="1574">
        <v>6</v>
      </c>
      <c r="K35" s="1577">
        <v>38020</v>
      </c>
    </row>
    <row r="36" spans="1:13" ht="15" customHeight="1" x14ac:dyDescent="0.2">
      <c r="A36" s="2767" t="s">
        <v>1129</v>
      </c>
      <c r="B36" s="2768"/>
      <c r="C36" s="1608"/>
      <c r="D36" s="1609" t="s">
        <v>1130</v>
      </c>
      <c r="E36" s="1597">
        <v>132</v>
      </c>
      <c r="F36" s="1598">
        <v>645</v>
      </c>
      <c r="G36" s="1597">
        <v>7980</v>
      </c>
      <c r="H36" s="1598">
        <v>98</v>
      </c>
      <c r="I36" s="1597">
        <v>769661</v>
      </c>
      <c r="J36" s="1598">
        <v>132</v>
      </c>
      <c r="K36" s="1601">
        <v>1185854</v>
      </c>
    </row>
    <row r="37" spans="1:13" ht="15" customHeight="1" x14ac:dyDescent="0.2">
      <c r="A37" s="2769" t="s">
        <v>1131</v>
      </c>
      <c r="B37" s="2770"/>
      <c r="C37" s="1607" t="s">
        <v>1132</v>
      </c>
      <c r="D37" s="1610" t="s">
        <v>1133</v>
      </c>
      <c r="E37" s="1603">
        <v>6</v>
      </c>
      <c r="F37" s="1579">
        <v>9</v>
      </c>
      <c r="G37" s="1580">
        <v>8414</v>
      </c>
      <c r="H37" s="1579">
        <v>6</v>
      </c>
      <c r="I37" s="1580">
        <v>745096</v>
      </c>
      <c r="J37" s="1579">
        <v>6</v>
      </c>
      <c r="K37" s="1582">
        <v>747081</v>
      </c>
    </row>
    <row r="38" spans="1:13" ht="15" customHeight="1" thickBot="1" x14ac:dyDescent="0.25">
      <c r="A38" s="2771">
        <v>28</v>
      </c>
      <c r="B38" s="2772"/>
      <c r="C38" s="1611" t="s">
        <v>1098</v>
      </c>
      <c r="D38" s="1612" t="s">
        <v>1134</v>
      </c>
      <c r="E38" s="1613">
        <v>297</v>
      </c>
      <c r="F38" s="1614">
        <v>70</v>
      </c>
      <c r="G38" s="1613">
        <v>4860</v>
      </c>
      <c r="H38" s="1614">
        <v>296</v>
      </c>
      <c r="I38" s="1613">
        <v>9255692</v>
      </c>
      <c r="J38" s="1614">
        <v>291</v>
      </c>
      <c r="K38" s="1615">
        <v>13413856</v>
      </c>
      <c r="M38" s="2105"/>
    </row>
  </sheetData>
  <mergeCells count="49">
    <mergeCell ref="A2:K2"/>
    <mergeCell ref="A4:J4"/>
    <mergeCell ref="A5:B10"/>
    <mergeCell ref="C5:D10"/>
    <mergeCell ref="E5:K5"/>
    <mergeCell ref="E6:G6"/>
    <mergeCell ref="H6:K6"/>
    <mergeCell ref="E7:E8"/>
    <mergeCell ref="F7:G8"/>
    <mergeCell ref="H7:I7"/>
    <mergeCell ref="J7:K8"/>
    <mergeCell ref="H8:I8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25:B25"/>
    <mergeCell ref="A16:B16"/>
    <mergeCell ref="A17:B17"/>
    <mergeCell ref="C17:D17"/>
    <mergeCell ref="A18:B18"/>
    <mergeCell ref="A19:B19"/>
    <mergeCell ref="A20:B20"/>
    <mergeCell ref="A21:B21"/>
    <mergeCell ref="A22:B22"/>
    <mergeCell ref="A23:B23"/>
    <mergeCell ref="C23:D23"/>
    <mergeCell ref="A24:B24"/>
    <mergeCell ref="C32:D32"/>
    <mergeCell ref="A33:B33"/>
    <mergeCell ref="A34:B34"/>
    <mergeCell ref="A35:B35"/>
    <mergeCell ref="A26:B26"/>
    <mergeCell ref="A27:B27"/>
    <mergeCell ref="C27:D27"/>
    <mergeCell ref="A28:B28"/>
    <mergeCell ref="A29:B29"/>
    <mergeCell ref="A30:B30"/>
    <mergeCell ref="A36:B36"/>
    <mergeCell ref="A37:B37"/>
    <mergeCell ref="A38:B38"/>
    <mergeCell ref="A31:B31"/>
    <mergeCell ref="A32:B3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9" orientation="landscape" r:id="rId1"/>
  <headerFooter alignWithMargins="0">
    <oddHeader>&amp;R&amp;"Arial,Félkövér"&amp;12 27. melléklet a …../2019. (…….) önkormányzati rendelethez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J111"/>
  <sheetViews>
    <sheetView zoomScale="75" zoomScaleNormal="75" workbookViewId="0">
      <selection activeCell="G23" sqref="G23"/>
    </sheetView>
  </sheetViews>
  <sheetFormatPr defaultColWidth="10.6640625" defaultRowHeight="15" x14ac:dyDescent="0.2"/>
  <cols>
    <col min="1" max="1" width="10.6640625" style="1617"/>
    <col min="2" max="2" width="11.5" style="1616" customWidth="1"/>
    <col min="3" max="3" width="8.83203125" style="1617" customWidth="1"/>
    <col min="4" max="4" width="118" style="1617" customWidth="1"/>
    <col min="5" max="5" width="26" style="1617" customWidth="1"/>
    <col min="6" max="6" width="23.5" style="1617" customWidth="1"/>
    <col min="7" max="7" width="24.1640625" style="1617" customWidth="1"/>
    <col min="8" max="8" width="19.1640625" style="2397" bestFit="1" customWidth="1"/>
    <col min="9" max="9" width="19.83203125" style="1617" bestFit="1" customWidth="1"/>
    <col min="10" max="10" width="18.83203125" style="1617" customWidth="1"/>
    <col min="11" max="16384" width="10.6640625" style="1617"/>
  </cols>
  <sheetData>
    <row r="1" spans="2:10" ht="18" x14ac:dyDescent="0.25">
      <c r="I1" s="1619"/>
    </row>
    <row r="2" spans="2:10" ht="18" x14ac:dyDescent="0.25">
      <c r="E2" s="1489"/>
      <c r="F2" s="1618"/>
    </row>
    <row r="5" spans="2:10" ht="21.75" customHeight="1" x14ac:dyDescent="0.3">
      <c r="B5" s="2825" t="s">
        <v>1255</v>
      </c>
      <c r="C5" s="2825"/>
      <c r="D5" s="2825"/>
      <c r="E5" s="2825"/>
      <c r="F5" s="2825"/>
      <c r="G5" s="2825"/>
    </row>
    <row r="6" spans="2:10" ht="15.75" thickBot="1" x14ac:dyDescent="0.25">
      <c r="G6" s="1620" t="s">
        <v>34</v>
      </c>
    </row>
    <row r="7" spans="2:10" s="1619" customFormat="1" ht="20.100000000000001" customHeight="1" thickBot="1" x14ac:dyDescent="0.3">
      <c r="B7" s="1621" t="s">
        <v>821</v>
      </c>
      <c r="C7" s="1622"/>
      <c r="D7" s="1622"/>
      <c r="E7" s="2826"/>
      <c r="F7" s="2827"/>
      <c r="G7" s="2828"/>
      <c r="H7" s="2398" t="s">
        <v>1787</v>
      </c>
    </row>
    <row r="8" spans="2:10" ht="20.100000000000001" customHeight="1" thickBot="1" x14ac:dyDescent="0.3">
      <c r="B8" s="1623"/>
      <c r="C8" s="1624"/>
      <c r="D8" s="1624"/>
      <c r="E8" s="1625" t="s">
        <v>1135</v>
      </c>
      <c r="F8" s="1626" t="s">
        <v>1136</v>
      </c>
      <c r="G8" s="1627" t="s">
        <v>1137</v>
      </c>
    </row>
    <row r="9" spans="2:10" s="1632" customFormat="1" ht="20.100000000000001" customHeight="1" thickBot="1" x14ac:dyDescent="0.35">
      <c r="B9" s="1628" t="s">
        <v>1138</v>
      </c>
      <c r="C9" s="1629" t="s">
        <v>1139</v>
      </c>
      <c r="D9" s="1629"/>
      <c r="E9" s="1630">
        <f>+E10+E16+E47+E51</f>
        <v>96800063</v>
      </c>
      <c r="F9" s="1630">
        <f>+F10+F16+F47+F51</f>
        <v>26247433</v>
      </c>
      <c r="G9" s="1631">
        <f>+G10+G16+G47+G51</f>
        <v>77030197</v>
      </c>
      <c r="H9" s="2399">
        <f>+'23 eszközök'!G61</f>
        <v>77030197</v>
      </c>
    </row>
    <row r="10" spans="2:10" s="1637" customFormat="1" ht="20.100000000000001" customHeight="1" thickBot="1" x14ac:dyDescent="0.35">
      <c r="B10" s="1633" t="s">
        <v>833</v>
      </c>
      <c r="C10" s="1634" t="s">
        <v>1140</v>
      </c>
      <c r="D10" s="1634"/>
      <c r="E10" s="1635">
        <f>SUM(E12:E14)</f>
        <v>745387</v>
      </c>
      <c r="F10" s="1635">
        <f>SUM(F12:F14)</f>
        <v>710782</v>
      </c>
      <c r="G10" s="1636">
        <f>SUM(G12:G14)</f>
        <v>34605</v>
      </c>
      <c r="H10" s="2400">
        <f>+'23 eszközök'!G21</f>
        <v>34605</v>
      </c>
      <c r="I10" s="1632"/>
    </row>
    <row r="11" spans="2:10" s="1642" customFormat="1" ht="20.100000000000001" customHeight="1" x14ac:dyDescent="0.3">
      <c r="B11" s="1638" t="s">
        <v>1141</v>
      </c>
      <c r="C11" s="1639" t="s">
        <v>825</v>
      </c>
      <c r="D11" s="1639"/>
      <c r="E11" s="1640">
        <f>SUM(E12:E13)</f>
        <v>314602</v>
      </c>
      <c r="F11" s="1640">
        <f>SUM(F12:F13)</f>
        <v>287925</v>
      </c>
      <c r="G11" s="1641">
        <f>SUM(G12:G13)</f>
        <v>26677</v>
      </c>
      <c r="H11" s="2401"/>
      <c r="I11" s="1632"/>
      <c r="J11" s="1637"/>
    </row>
    <row r="12" spans="2:10" s="1647" customFormat="1" ht="20.100000000000001" customHeight="1" x14ac:dyDescent="0.3">
      <c r="B12" s="1643"/>
      <c r="C12" s="1644" t="s">
        <v>1142</v>
      </c>
      <c r="D12" s="1644"/>
      <c r="E12" s="1645">
        <v>314602</v>
      </c>
      <c r="F12" s="1644">
        <v>287925</v>
      </c>
      <c r="G12" s="1646">
        <f>E12-F12</f>
        <v>26677</v>
      </c>
      <c r="H12" s="2401"/>
      <c r="I12" s="1632"/>
      <c r="J12" s="1637"/>
    </row>
    <row r="13" spans="2:10" s="1647" customFormat="1" ht="20.100000000000001" customHeight="1" x14ac:dyDescent="0.3">
      <c r="B13" s="1648"/>
      <c r="C13" s="1649" t="s">
        <v>1143</v>
      </c>
      <c r="D13" s="1649"/>
      <c r="E13" s="1650">
        <v>0</v>
      </c>
      <c r="F13" s="1649">
        <v>0</v>
      </c>
      <c r="G13" s="1651">
        <f>E13-F13</f>
        <v>0</v>
      </c>
      <c r="H13" s="2401"/>
      <c r="I13" s="1632"/>
      <c r="J13" s="1637"/>
    </row>
    <row r="14" spans="2:10" s="1642" customFormat="1" ht="20.100000000000001" customHeight="1" x14ac:dyDescent="0.3">
      <c r="B14" s="1652" t="s">
        <v>831</v>
      </c>
      <c r="C14" s="1653" t="s">
        <v>830</v>
      </c>
      <c r="D14" s="1653"/>
      <c r="E14" s="1654">
        <f>SUM(E15)</f>
        <v>430785</v>
      </c>
      <c r="F14" s="1654">
        <f>SUM(F15)</f>
        <v>422857</v>
      </c>
      <c r="G14" s="1655">
        <f>SUM(G15)</f>
        <v>7928</v>
      </c>
      <c r="H14" s="2401"/>
      <c r="I14" s="1632"/>
      <c r="J14" s="1637"/>
    </row>
    <row r="15" spans="2:10" s="1647" customFormat="1" ht="20.100000000000001" customHeight="1" thickBot="1" x14ac:dyDescent="0.35">
      <c r="B15" s="1648"/>
      <c r="C15" s="1649" t="s">
        <v>1142</v>
      </c>
      <c r="D15" s="1649"/>
      <c r="E15" s="1650">
        <f>430786-1</f>
        <v>430785</v>
      </c>
      <c r="F15" s="1649">
        <v>422857</v>
      </c>
      <c r="G15" s="1651">
        <f>E15-F15</f>
        <v>7928</v>
      </c>
      <c r="H15" s="2401"/>
      <c r="I15" s="1632"/>
      <c r="J15" s="1637"/>
    </row>
    <row r="16" spans="2:10" s="1637" customFormat="1" ht="20.100000000000001" customHeight="1" thickBot="1" x14ac:dyDescent="0.35">
      <c r="B16" s="1633" t="s">
        <v>845</v>
      </c>
      <c r="C16" s="1634" t="s">
        <v>1144</v>
      </c>
      <c r="D16" s="1634"/>
      <c r="E16" s="1635">
        <f>+E17+E38+E42+E43</f>
        <v>95187702</v>
      </c>
      <c r="F16" s="1635">
        <f>+F17+F38+F42+F43</f>
        <v>25485546</v>
      </c>
      <c r="G16" s="1656">
        <f>E16-F16</f>
        <v>69702156</v>
      </c>
      <c r="H16" s="2400">
        <f>+'23 eszközök'!G41</f>
        <v>69702156</v>
      </c>
      <c r="I16" s="1632"/>
    </row>
    <row r="17" spans="2:10" s="1661" customFormat="1" ht="20.100000000000001" customHeight="1" x14ac:dyDescent="0.25">
      <c r="B17" s="1657" t="s">
        <v>836</v>
      </c>
      <c r="C17" s="1658" t="s">
        <v>835</v>
      </c>
      <c r="D17" s="1658"/>
      <c r="E17" s="1659">
        <f>+E18+E25+E34</f>
        <v>86223162</v>
      </c>
      <c r="F17" s="1659">
        <f>+F18+F25+F34</f>
        <v>21432421</v>
      </c>
      <c r="G17" s="1660">
        <f>+G18+G25+G34</f>
        <v>64790741</v>
      </c>
      <c r="H17" s="2400">
        <f>+'23 eszközök'!G25</f>
        <v>64790741</v>
      </c>
      <c r="J17" s="1637"/>
    </row>
    <row r="18" spans="2:10" s="1667" customFormat="1" ht="20.100000000000001" customHeight="1" x14ac:dyDescent="0.25">
      <c r="B18" s="1662"/>
      <c r="C18" s="1663" t="s">
        <v>1145</v>
      </c>
      <c r="D18" s="1664"/>
      <c r="E18" s="1665">
        <f>SUM(E19:E24)</f>
        <v>46724125</v>
      </c>
      <c r="F18" s="1665">
        <f>SUM(F19:F24)</f>
        <v>11875361</v>
      </c>
      <c r="G18" s="1666">
        <f>SUM(G19:G24)</f>
        <v>34848764</v>
      </c>
      <c r="H18" s="2401"/>
      <c r="J18" s="1637"/>
    </row>
    <row r="19" spans="2:10" s="1647" customFormat="1" ht="20.100000000000001" customHeight="1" x14ac:dyDescent="0.25">
      <c r="B19" s="1648"/>
      <c r="C19" s="1668" t="s">
        <v>704</v>
      </c>
      <c r="D19" s="1649" t="s">
        <v>1146</v>
      </c>
      <c r="E19" s="1650">
        <v>33267462</v>
      </c>
      <c r="F19" s="1649">
        <v>9307353</v>
      </c>
      <c r="G19" s="1651">
        <f t="shared" ref="G19:G24" si="0">E19-F19</f>
        <v>23960109</v>
      </c>
      <c r="H19" s="2401"/>
      <c r="I19" s="1642"/>
      <c r="J19" s="1637"/>
    </row>
    <row r="20" spans="2:10" s="1647" customFormat="1" ht="20.100000000000001" customHeight="1" x14ac:dyDescent="0.25">
      <c r="B20" s="1643"/>
      <c r="C20" s="1669" t="s">
        <v>704</v>
      </c>
      <c r="D20" s="1644" t="s">
        <v>1147</v>
      </c>
      <c r="E20" s="1645">
        <v>10747283</v>
      </c>
      <c r="F20" s="1644">
        <v>2429963</v>
      </c>
      <c r="G20" s="1646">
        <f t="shared" si="0"/>
        <v>8317320</v>
      </c>
      <c r="H20" s="2401"/>
      <c r="I20" s="1642"/>
      <c r="J20" s="1637"/>
    </row>
    <row r="21" spans="2:10" s="1647" customFormat="1" ht="20.100000000000001" customHeight="1" x14ac:dyDescent="0.25">
      <c r="B21" s="1643"/>
      <c r="C21" s="1669" t="s">
        <v>704</v>
      </c>
      <c r="D21" s="1644" t="s">
        <v>1148</v>
      </c>
      <c r="E21" s="1645">
        <f>689806-1</f>
        <v>689805</v>
      </c>
      <c r="F21" s="1644">
        <v>142</v>
      </c>
      <c r="G21" s="1646">
        <f t="shared" si="0"/>
        <v>689663</v>
      </c>
      <c r="H21" s="2401"/>
      <c r="I21" s="1642"/>
      <c r="J21" s="1637"/>
    </row>
    <row r="22" spans="2:10" s="1647" customFormat="1" ht="20.100000000000001" customHeight="1" x14ac:dyDescent="0.25">
      <c r="B22" s="1643"/>
      <c r="C22" s="1669" t="s">
        <v>704</v>
      </c>
      <c r="D22" s="1644" t="s">
        <v>1155</v>
      </c>
      <c r="E22" s="1645">
        <v>569</v>
      </c>
      <c r="F22" s="1644">
        <v>19</v>
      </c>
      <c r="G22" s="1646">
        <f t="shared" si="0"/>
        <v>550</v>
      </c>
      <c r="H22" s="2401"/>
      <c r="I22" s="1642"/>
      <c r="J22" s="1637"/>
    </row>
    <row r="23" spans="2:10" s="1647" customFormat="1" ht="20.100000000000001" customHeight="1" x14ac:dyDescent="0.25">
      <c r="B23" s="1643"/>
      <c r="C23" s="1669" t="s">
        <v>704</v>
      </c>
      <c r="D23" s="1644" t="s">
        <v>1149</v>
      </c>
      <c r="E23" s="1645">
        <f>66139+150111+76094-1</f>
        <v>292343</v>
      </c>
      <c r="F23" s="1644">
        <f>5672+29172+18118+1</f>
        <v>52963</v>
      </c>
      <c r="G23" s="1646">
        <f t="shared" si="0"/>
        <v>239380</v>
      </c>
      <c r="H23" s="2401"/>
      <c r="I23" s="1642"/>
      <c r="J23" s="1637"/>
    </row>
    <row r="24" spans="2:10" s="1647" customFormat="1" ht="38.25" customHeight="1" x14ac:dyDescent="0.25">
      <c r="B24" s="1648"/>
      <c r="C24" s="1670" t="s">
        <v>704</v>
      </c>
      <c r="D24" s="1671" t="s">
        <v>1150</v>
      </c>
      <c r="E24" s="1650">
        <v>1726663</v>
      </c>
      <c r="F24" s="1649">
        <v>84921</v>
      </c>
      <c r="G24" s="1651">
        <f t="shared" si="0"/>
        <v>1641742</v>
      </c>
      <c r="H24" s="2401"/>
      <c r="I24" s="1642"/>
      <c r="J24" s="1637"/>
    </row>
    <row r="25" spans="2:10" s="1667" customFormat="1" ht="20.100000000000001" customHeight="1" x14ac:dyDescent="0.25">
      <c r="B25" s="1662"/>
      <c r="C25" s="1663" t="s">
        <v>1151</v>
      </c>
      <c r="D25" s="1664"/>
      <c r="E25" s="1665">
        <f>SUM(E26:E33)</f>
        <v>36291025</v>
      </c>
      <c r="F25" s="1665">
        <f>SUM(F26:F33)</f>
        <v>9034883</v>
      </c>
      <c r="G25" s="1666">
        <f>SUM(G26:G33)</f>
        <v>27256142</v>
      </c>
      <c r="H25" s="2401"/>
      <c r="J25" s="1637"/>
    </row>
    <row r="26" spans="2:10" s="1647" customFormat="1" ht="20.100000000000001" customHeight="1" x14ac:dyDescent="0.25">
      <c r="B26" s="1648"/>
      <c r="C26" s="1668" t="s">
        <v>704</v>
      </c>
      <c r="D26" s="1649" t="s">
        <v>1152</v>
      </c>
      <c r="E26" s="1650">
        <v>2801766</v>
      </c>
      <c r="F26" s="1649">
        <v>1161406</v>
      </c>
      <c r="G26" s="1651">
        <f t="shared" ref="G26:G33" si="1">E26-F26</f>
        <v>1640360</v>
      </c>
      <c r="H26" s="2401"/>
      <c r="I26" s="1642"/>
      <c r="J26" s="1637"/>
    </row>
    <row r="27" spans="2:10" s="1647" customFormat="1" ht="20.100000000000001" customHeight="1" x14ac:dyDescent="0.25">
      <c r="B27" s="1643"/>
      <c r="C27" s="1669" t="s">
        <v>704</v>
      </c>
      <c r="D27" s="1644" t="s">
        <v>1153</v>
      </c>
      <c r="E27" s="1645">
        <v>281298</v>
      </c>
      <c r="F27" s="1644">
        <v>34762</v>
      </c>
      <c r="G27" s="1646">
        <f t="shared" si="1"/>
        <v>246536</v>
      </c>
      <c r="H27" s="2401"/>
      <c r="I27" s="1642"/>
      <c r="J27" s="1637"/>
    </row>
    <row r="28" spans="2:10" s="1647" customFormat="1" ht="20.100000000000001" customHeight="1" x14ac:dyDescent="0.25">
      <c r="B28" s="1643"/>
      <c r="C28" s="1669" t="s">
        <v>704</v>
      </c>
      <c r="D28" s="1644" t="s">
        <v>1154</v>
      </c>
      <c r="E28" s="1645">
        <v>424147</v>
      </c>
      <c r="F28" s="1644">
        <v>123207</v>
      </c>
      <c r="G28" s="1646">
        <f t="shared" si="1"/>
        <v>300940</v>
      </c>
      <c r="H28" s="2401"/>
      <c r="I28" s="1642"/>
      <c r="J28" s="1637"/>
    </row>
    <row r="29" spans="2:10" s="1647" customFormat="1" ht="20.100000000000001" customHeight="1" x14ac:dyDescent="0.25">
      <c r="B29" s="1643"/>
      <c r="C29" s="1669" t="s">
        <v>704</v>
      </c>
      <c r="D29" s="1644" t="s">
        <v>1155</v>
      </c>
      <c r="E29" s="1645">
        <v>6410358</v>
      </c>
      <c r="F29" s="1644">
        <v>1531593</v>
      </c>
      <c r="G29" s="1646">
        <f t="shared" si="1"/>
        <v>4878765</v>
      </c>
      <c r="H29" s="2401"/>
      <c r="I29" s="1642"/>
      <c r="J29" s="1637"/>
    </row>
    <row r="30" spans="2:10" s="1647" customFormat="1" ht="20.100000000000001" customHeight="1" x14ac:dyDescent="0.25">
      <c r="B30" s="1643"/>
      <c r="C30" s="1669" t="s">
        <v>704</v>
      </c>
      <c r="D30" s="1644" t="s">
        <v>1156</v>
      </c>
      <c r="E30" s="1645">
        <f>1664568+205543</f>
        <v>1870111</v>
      </c>
      <c r="F30" s="1644">
        <f>10781+9570</f>
        <v>20351</v>
      </c>
      <c r="G30" s="1646">
        <f t="shared" si="1"/>
        <v>1849760</v>
      </c>
      <c r="H30" s="2401"/>
      <c r="I30" s="1642"/>
      <c r="J30" s="1637"/>
    </row>
    <row r="31" spans="2:10" s="1647" customFormat="1" ht="20.100000000000001" customHeight="1" x14ac:dyDescent="0.25">
      <c r="B31" s="1643"/>
      <c r="C31" s="1669"/>
      <c r="D31" s="2290" t="s">
        <v>1437</v>
      </c>
      <c r="E31" s="1645">
        <v>201300</v>
      </c>
      <c r="F31" s="1644">
        <v>3511</v>
      </c>
      <c r="G31" s="1646">
        <f t="shared" si="1"/>
        <v>197789</v>
      </c>
      <c r="H31" s="2401"/>
      <c r="I31" s="1642"/>
      <c r="J31" s="1637"/>
    </row>
    <row r="32" spans="2:10" s="1647" customFormat="1" ht="20.100000000000001" customHeight="1" x14ac:dyDescent="0.25">
      <c r="B32" s="1643"/>
      <c r="C32" s="1669" t="s">
        <v>704</v>
      </c>
      <c r="D32" s="1644" t="s">
        <v>1149</v>
      </c>
      <c r="E32" s="1645">
        <f>405203+364+42959+3478480+6840209+8759220+1617768</f>
        <v>21144203</v>
      </c>
      <c r="F32" s="1644">
        <f>94895+364+3033+1214957+1344990+2836388+248606</f>
        <v>5743233</v>
      </c>
      <c r="G32" s="1646">
        <f t="shared" si="1"/>
        <v>15400970</v>
      </c>
      <c r="H32" s="2401"/>
      <c r="I32" s="1642"/>
      <c r="J32" s="1637"/>
    </row>
    <row r="33" spans="2:10" s="1647" customFormat="1" ht="39" customHeight="1" x14ac:dyDescent="0.25">
      <c r="B33" s="1648"/>
      <c r="C33" s="1670" t="s">
        <v>704</v>
      </c>
      <c r="D33" s="1671" t="s">
        <v>1157</v>
      </c>
      <c r="E33" s="1650">
        <f>3157843-1</f>
        <v>3157842</v>
      </c>
      <c r="F33" s="1649">
        <v>416820</v>
      </c>
      <c r="G33" s="1651">
        <f t="shared" si="1"/>
        <v>2741022</v>
      </c>
      <c r="H33" s="2401"/>
      <c r="I33" s="1642"/>
      <c r="J33" s="1637"/>
    </row>
    <row r="34" spans="2:10" s="1667" customFormat="1" ht="20.100000000000001" customHeight="1" x14ac:dyDescent="0.25">
      <c r="B34" s="1662"/>
      <c r="C34" s="1663" t="s">
        <v>1143</v>
      </c>
      <c r="D34" s="1664"/>
      <c r="E34" s="1665">
        <f>SUM(E35:E37)</f>
        <v>3208012</v>
      </c>
      <c r="F34" s="1665">
        <f>SUM(F35:F37)</f>
        <v>522177</v>
      </c>
      <c r="G34" s="1666">
        <f>SUM(G35:G37)</f>
        <v>2685835</v>
      </c>
      <c r="H34" s="2401"/>
      <c r="J34" s="1637"/>
    </row>
    <row r="35" spans="2:10" s="1647" customFormat="1" ht="20.100000000000001" customHeight="1" x14ac:dyDescent="0.25">
      <c r="B35" s="1648"/>
      <c r="C35" s="1668" t="s">
        <v>704</v>
      </c>
      <c r="D35" s="1649" t="s">
        <v>1158</v>
      </c>
      <c r="E35" s="1650">
        <v>41706</v>
      </c>
      <c r="F35" s="1649">
        <v>0</v>
      </c>
      <c r="G35" s="1651">
        <f>E35-F35</f>
        <v>41706</v>
      </c>
      <c r="H35" s="2401"/>
      <c r="I35" s="1642"/>
      <c r="J35" s="1637"/>
    </row>
    <row r="36" spans="2:10" s="1647" customFormat="1" ht="20.100000000000001" customHeight="1" x14ac:dyDescent="0.25">
      <c r="B36" s="1643"/>
      <c r="C36" s="1669" t="s">
        <v>704</v>
      </c>
      <c r="D36" s="1644" t="s">
        <v>1149</v>
      </c>
      <c r="E36" s="1645">
        <f>3097349+65891</f>
        <v>3163240</v>
      </c>
      <c r="F36" s="1644">
        <f>511466+9550</f>
        <v>521016</v>
      </c>
      <c r="G36" s="1646">
        <f>E36-F36</f>
        <v>2642224</v>
      </c>
      <c r="H36" s="2401"/>
      <c r="I36" s="1642"/>
      <c r="J36" s="1637"/>
    </row>
    <row r="37" spans="2:10" s="1647" customFormat="1" ht="40.5" customHeight="1" x14ac:dyDescent="0.25">
      <c r="B37" s="1648"/>
      <c r="C37" s="1670" t="s">
        <v>704</v>
      </c>
      <c r="D37" s="1671" t="s">
        <v>1159</v>
      </c>
      <c r="E37" s="1650">
        <v>3066</v>
      </c>
      <c r="F37" s="1649">
        <v>1161</v>
      </c>
      <c r="G37" s="1651">
        <f>E37-F37</f>
        <v>1905</v>
      </c>
      <c r="H37" s="2401"/>
      <c r="I37" s="1642"/>
      <c r="J37" s="1637"/>
    </row>
    <row r="38" spans="2:10" s="1676" customFormat="1" ht="20.100000000000001" customHeight="1" x14ac:dyDescent="0.25">
      <c r="B38" s="1672" t="s">
        <v>1160</v>
      </c>
      <c r="C38" s="1673" t="s">
        <v>1161</v>
      </c>
      <c r="D38" s="1673"/>
      <c r="E38" s="1674">
        <f>SUM(E39:E41)</f>
        <v>5595484</v>
      </c>
      <c r="F38" s="1674">
        <f>SUM(F39:F41)</f>
        <v>4052617</v>
      </c>
      <c r="G38" s="1675">
        <f>SUM(G39:G41)</f>
        <v>1542867</v>
      </c>
      <c r="H38" s="2402">
        <f>+'23 eszközök'!G29</f>
        <v>1542867</v>
      </c>
      <c r="I38" s="1661"/>
      <c r="J38" s="1637"/>
    </row>
    <row r="39" spans="2:10" ht="20.100000000000001" customHeight="1" x14ac:dyDescent="0.25">
      <c r="B39" s="1623"/>
      <c r="C39" s="1624" t="s">
        <v>1162</v>
      </c>
      <c r="D39" s="1624"/>
      <c r="E39" s="1677">
        <v>1024076</v>
      </c>
      <c r="F39" s="1624">
        <v>0</v>
      </c>
      <c r="G39" s="1678">
        <f>E39-F39</f>
        <v>1024076</v>
      </c>
      <c r="H39" s="2403"/>
      <c r="J39" s="1637"/>
    </row>
    <row r="40" spans="2:10" ht="20.100000000000001" customHeight="1" x14ac:dyDescent="0.25">
      <c r="B40" s="1679"/>
      <c r="C40" s="1680" t="s">
        <v>1163</v>
      </c>
      <c r="D40" s="1680"/>
      <c r="E40" s="1681">
        <f>4571409-1</f>
        <v>4571408</v>
      </c>
      <c r="F40" s="1680">
        <f>4052616+1</f>
        <v>4052617</v>
      </c>
      <c r="G40" s="1682">
        <f>E40-F40</f>
        <v>518791</v>
      </c>
      <c r="H40" s="2403"/>
      <c r="J40" s="1637"/>
    </row>
    <row r="41" spans="2:10" ht="20.100000000000001" customHeight="1" x14ac:dyDescent="0.25">
      <c r="B41" s="1683"/>
      <c r="C41" s="1684" t="s">
        <v>1164</v>
      </c>
      <c r="D41" s="1684"/>
      <c r="E41" s="1685">
        <v>0</v>
      </c>
      <c r="F41" s="1684">
        <v>0</v>
      </c>
      <c r="G41" s="1686">
        <f>E41-F41</f>
        <v>0</v>
      </c>
      <c r="H41" s="2403"/>
      <c r="J41" s="1637"/>
    </row>
    <row r="42" spans="2:10" s="1676" customFormat="1" ht="20.100000000000001" customHeight="1" x14ac:dyDescent="0.25">
      <c r="B42" s="1687" t="s">
        <v>841</v>
      </c>
      <c r="C42" s="1688" t="s">
        <v>1165</v>
      </c>
      <c r="D42" s="1688"/>
      <c r="E42" s="1689">
        <v>508</v>
      </c>
      <c r="F42" s="1689">
        <v>508</v>
      </c>
      <c r="G42" s="1690">
        <f>E42-F42</f>
        <v>0</v>
      </c>
      <c r="H42" s="2402"/>
      <c r="J42" s="1637"/>
    </row>
    <row r="43" spans="2:10" s="1676" customFormat="1" ht="20.100000000000001" customHeight="1" x14ac:dyDescent="0.25">
      <c r="B43" s="1691" t="s">
        <v>1166</v>
      </c>
      <c r="C43" s="1692" t="s">
        <v>842</v>
      </c>
      <c r="D43" s="1692"/>
      <c r="E43" s="1693">
        <f>SUM(E44:E45)</f>
        <v>3368548</v>
      </c>
      <c r="F43" s="1693">
        <f>SUM(F44:F45)</f>
        <v>0</v>
      </c>
      <c r="G43" s="1694">
        <f>SUM(G44:G45)</f>
        <v>3368548</v>
      </c>
      <c r="H43" s="2402">
        <f>+'23 eszközök'!G37</f>
        <v>3368548</v>
      </c>
      <c r="J43" s="1637"/>
    </row>
    <row r="44" spans="2:10" ht="20.100000000000001" customHeight="1" x14ac:dyDescent="0.25">
      <c r="B44" s="1679"/>
      <c r="C44" s="1695" t="s">
        <v>1167</v>
      </c>
      <c r="D44" s="1695"/>
      <c r="E44" s="1696">
        <v>1991735</v>
      </c>
      <c r="F44" s="1695">
        <v>0</v>
      </c>
      <c r="G44" s="1682">
        <f>E44-F44</f>
        <v>1991735</v>
      </c>
      <c r="H44" s="2403"/>
      <c r="J44" s="1637"/>
    </row>
    <row r="45" spans="2:10" ht="20.100000000000001" customHeight="1" x14ac:dyDescent="0.25">
      <c r="B45" s="1679"/>
      <c r="C45" s="1695" t="s">
        <v>1168</v>
      </c>
      <c r="D45" s="1695"/>
      <c r="E45" s="1696">
        <v>1376813</v>
      </c>
      <c r="F45" s="1695">
        <v>0</v>
      </c>
      <c r="G45" s="1682">
        <f>E45-F45</f>
        <v>1376813</v>
      </c>
      <c r="H45" s="2403"/>
      <c r="J45" s="1637"/>
    </row>
    <row r="46" spans="2:10" s="1676" customFormat="1" ht="20.100000000000001" customHeight="1" thickBot="1" x14ac:dyDescent="0.3">
      <c r="B46" s="1691" t="s">
        <v>1169</v>
      </c>
      <c r="C46" s="1692" t="s">
        <v>1170</v>
      </c>
      <c r="D46" s="1697"/>
      <c r="E46" s="1698">
        <v>0</v>
      </c>
      <c r="F46" s="1697">
        <v>0</v>
      </c>
      <c r="G46" s="1694">
        <f>E46-F46</f>
        <v>0</v>
      </c>
      <c r="H46" s="2402"/>
      <c r="J46" s="1637"/>
    </row>
    <row r="47" spans="2:10" s="1704" customFormat="1" ht="20.100000000000001" customHeight="1" thickBot="1" x14ac:dyDescent="0.3">
      <c r="B47" s="1699" t="s">
        <v>852</v>
      </c>
      <c r="C47" s="1700" t="s">
        <v>1171</v>
      </c>
      <c r="D47" s="1701"/>
      <c r="E47" s="1702"/>
      <c r="F47" s="1701"/>
      <c r="G47" s="1703">
        <f>SUM(G48:G50)</f>
        <v>6477567</v>
      </c>
      <c r="H47" s="2402"/>
      <c r="J47" s="1637"/>
    </row>
    <row r="48" spans="2:10" s="1710" customFormat="1" ht="20.100000000000001" customHeight="1" x14ac:dyDescent="0.2">
      <c r="B48" s="1705" t="s">
        <v>1172</v>
      </c>
      <c r="C48" s="1706" t="s">
        <v>1173</v>
      </c>
      <c r="D48" s="1707"/>
      <c r="E48" s="1708"/>
      <c r="F48" s="1707"/>
      <c r="G48" s="1709">
        <v>6477567</v>
      </c>
      <c r="H48" s="2397"/>
    </row>
    <row r="49" spans="2:10" s="1710" customFormat="1" ht="20.100000000000001" customHeight="1" x14ac:dyDescent="0.2">
      <c r="B49" s="1711" t="s">
        <v>850</v>
      </c>
      <c r="C49" s="1712" t="s">
        <v>1174</v>
      </c>
      <c r="D49" s="1713"/>
      <c r="E49" s="1714"/>
      <c r="F49" s="1713"/>
      <c r="G49" s="1709">
        <v>0</v>
      </c>
      <c r="H49" s="2397"/>
    </row>
    <row r="50" spans="2:10" s="1710" customFormat="1" ht="20.100000000000001" customHeight="1" thickBot="1" x14ac:dyDescent="0.25">
      <c r="B50" s="1705" t="s">
        <v>1175</v>
      </c>
      <c r="C50" s="1706" t="s">
        <v>1176</v>
      </c>
      <c r="D50" s="1707"/>
      <c r="E50" s="1708"/>
      <c r="F50" s="1707"/>
      <c r="G50" s="1715">
        <v>0</v>
      </c>
      <c r="H50" s="2397"/>
    </row>
    <row r="51" spans="2:10" s="1704" customFormat="1" ht="20.100000000000001" customHeight="1" thickBot="1" x14ac:dyDescent="0.3">
      <c r="B51" s="1699" t="s">
        <v>1177</v>
      </c>
      <c r="C51" s="1700" t="s">
        <v>1178</v>
      </c>
      <c r="D51" s="1701"/>
      <c r="E51" s="1702">
        <f>SUM(E52)</f>
        <v>866974</v>
      </c>
      <c r="F51" s="1702">
        <f t="shared" ref="F51:G51" si="2">SUM(F52)</f>
        <v>51105</v>
      </c>
      <c r="G51" s="1702">
        <f t="shared" si="2"/>
        <v>815869</v>
      </c>
      <c r="H51" s="2402">
        <f>+'23 eszközök'!G56</f>
        <v>815869</v>
      </c>
      <c r="J51" s="1637"/>
    </row>
    <row r="52" spans="2:10" ht="20.100000000000001" customHeight="1" thickBot="1" x14ac:dyDescent="0.3">
      <c r="B52" s="1623" t="s">
        <v>1179</v>
      </c>
      <c r="C52" s="1716" t="s">
        <v>1180</v>
      </c>
      <c r="D52" s="1717"/>
      <c r="E52" s="1718">
        <v>866974</v>
      </c>
      <c r="F52" s="1717">
        <v>51105</v>
      </c>
      <c r="G52" s="1678">
        <f>+E52-F52</f>
        <v>815869</v>
      </c>
      <c r="H52" s="2403"/>
    </row>
    <row r="53" spans="2:10" s="1704" customFormat="1" ht="20.100000000000001" customHeight="1" thickBot="1" x14ac:dyDescent="0.3">
      <c r="B53" s="1699" t="s">
        <v>1181</v>
      </c>
      <c r="C53" s="1700" t="s">
        <v>1182</v>
      </c>
      <c r="D53" s="1701"/>
      <c r="E53" s="1702" t="s">
        <v>95</v>
      </c>
      <c r="F53" s="1701"/>
      <c r="G53" s="1703">
        <f>SUM(G54:G55)</f>
        <v>22522</v>
      </c>
      <c r="H53" s="2402">
        <f>+'23 eszközök'!G73</f>
        <v>22522</v>
      </c>
      <c r="J53" s="1637"/>
    </row>
    <row r="54" spans="2:10" s="1710" customFormat="1" ht="20.100000000000001" customHeight="1" x14ac:dyDescent="0.2">
      <c r="B54" s="1705" t="s">
        <v>859</v>
      </c>
      <c r="C54" s="1706" t="s">
        <v>1183</v>
      </c>
      <c r="D54" s="1707"/>
      <c r="E54" s="1708" t="s">
        <v>95</v>
      </c>
      <c r="F54" s="1707"/>
      <c r="G54" s="1715">
        <v>22522</v>
      </c>
      <c r="H54" s="2397"/>
    </row>
    <row r="55" spans="2:10" s="1710" customFormat="1" ht="20.100000000000001" customHeight="1" x14ac:dyDescent="0.2">
      <c r="B55" s="1711" t="s">
        <v>861</v>
      </c>
      <c r="C55" s="1712" t="s">
        <v>860</v>
      </c>
      <c r="D55" s="1713"/>
      <c r="E55" s="1714" t="s">
        <v>95</v>
      </c>
      <c r="F55" s="1713"/>
      <c r="G55" s="1709">
        <v>0</v>
      </c>
      <c r="H55" s="2397"/>
    </row>
    <row r="56" spans="2:10" ht="20.100000000000001" customHeight="1" thickBot="1" x14ac:dyDescent="0.25">
      <c r="B56" s="1623"/>
      <c r="C56" s="1624"/>
      <c r="D56" s="1717"/>
      <c r="E56" s="1718"/>
      <c r="F56" s="1717"/>
      <c r="G56" s="1678"/>
    </row>
    <row r="57" spans="2:10" s="1704" customFormat="1" ht="20.100000000000001" customHeight="1" thickBot="1" x14ac:dyDescent="0.3">
      <c r="B57" s="1699" t="s">
        <v>875</v>
      </c>
      <c r="C57" s="1700" t="s">
        <v>1184</v>
      </c>
      <c r="D57" s="1701"/>
      <c r="E57" s="1702"/>
      <c r="F57" s="1701"/>
      <c r="G57" s="1703">
        <f>SUM(G58:G61)</f>
        <v>10518290</v>
      </c>
      <c r="H57" s="2402">
        <f>+'23 eszközök'!G99</f>
        <v>10518290</v>
      </c>
      <c r="J57" s="1637"/>
    </row>
    <row r="58" spans="2:10" s="1710" customFormat="1" ht="20.100000000000001" customHeight="1" x14ac:dyDescent="0.2">
      <c r="B58" s="1705" t="s">
        <v>867</v>
      </c>
      <c r="C58" s="1706" t="s">
        <v>866</v>
      </c>
      <c r="D58" s="1707"/>
      <c r="E58" s="1708"/>
      <c r="F58" s="1707"/>
      <c r="G58" s="1719">
        <v>0</v>
      </c>
      <c r="H58" s="2397"/>
    </row>
    <row r="59" spans="2:10" s="1710" customFormat="1" ht="20.100000000000001" customHeight="1" x14ac:dyDescent="0.2">
      <c r="B59" s="1711" t="s">
        <v>869</v>
      </c>
      <c r="C59" s="1712" t="s">
        <v>868</v>
      </c>
      <c r="D59" s="1713"/>
      <c r="E59" s="1714"/>
      <c r="F59" s="1713"/>
      <c r="G59" s="1720">
        <v>2518</v>
      </c>
      <c r="H59" s="2397"/>
    </row>
    <row r="60" spans="2:10" s="1710" customFormat="1" ht="20.100000000000001" customHeight="1" x14ac:dyDescent="0.2">
      <c r="B60" s="1705" t="s">
        <v>871</v>
      </c>
      <c r="C60" s="1706" t="s">
        <v>870</v>
      </c>
      <c r="D60" s="1707"/>
      <c r="E60" s="1708"/>
      <c r="F60" s="1707"/>
      <c r="G60" s="1719">
        <v>10490375</v>
      </c>
      <c r="H60" s="2397"/>
    </row>
    <row r="61" spans="2:10" s="1710" customFormat="1" ht="20.100000000000001" customHeight="1" x14ac:dyDescent="0.2">
      <c r="B61" s="1711" t="s">
        <v>1185</v>
      </c>
      <c r="C61" s="1712" t="s">
        <v>872</v>
      </c>
      <c r="D61" s="1713"/>
      <c r="E61" s="1714"/>
      <c r="F61" s="1713"/>
      <c r="G61" s="1720">
        <v>25397</v>
      </c>
      <c r="H61" s="2397"/>
    </row>
    <row r="62" spans="2:10" ht="20.100000000000001" customHeight="1" thickBot="1" x14ac:dyDescent="0.25">
      <c r="B62" s="1623"/>
      <c r="C62" s="1624"/>
      <c r="D62" s="1717"/>
      <c r="E62" s="1718"/>
      <c r="F62" s="1717"/>
      <c r="G62" s="1678"/>
    </row>
    <row r="63" spans="2:10" s="1704" customFormat="1" ht="20.100000000000001" customHeight="1" thickBot="1" x14ac:dyDescent="0.3">
      <c r="B63" s="1699" t="s">
        <v>883</v>
      </c>
      <c r="C63" s="1700" t="s">
        <v>1186</v>
      </c>
      <c r="D63" s="1701"/>
      <c r="E63" s="1702"/>
      <c r="F63" s="1701"/>
      <c r="G63" s="1703">
        <f>SUM(G64:G66)</f>
        <v>1316162</v>
      </c>
      <c r="H63" s="2402">
        <f>+'23 eszközök'!G115</f>
        <v>1316162</v>
      </c>
      <c r="J63" s="1637"/>
    </row>
    <row r="64" spans="2:10" s="1710" customFormat="1" ht="20.100000000000001" customHeight="1" x14ac:dyDescent="0.2">
      <c r="B64" s="1705" t="s">
        <v>877</v>
      </c>
      <c r="C64" s="1706" t="s">
        <v>876</v>
      </c>
      <c r="D64" s="1721"/>
      <c r="E64" s="1722"/>
      <c r="F64" s="1721"/>
      <c r="G64" s="1715">
        <v>975905</v>
      </c>
      <c r="H64" s="2397"/>
    </row>
    <row r="65" spans="2:10" s="1710" customFormat="1" ht="20.100000000000001" customHeight="1" x14ac:dyDescent="0.2">
      <c r="B65" s="1711" t="s">
        <v>879</v>
      </c>
      <c r="C65" s="1712" t="s">
        <v>878</v>
      </c>
      <c r="D65" s="1723"/>
      <c r="E65" s="1724"/>
      <c r="F65" s="1723"/>
      <c r="G65" s="1709">
        <v>148181</v>
      </c>
      <c r="H65" s="2397"/>
    </row>
    <row r="66" spans="2:10" s="1710" customFormat="1" ht="20.100000000000001" customHeight="1" x14ac:dyDescent="0.2">
      <c r="B66" s="1711" t="s">
        <v>881</v>
      </c>
      <c r="C66" s="1712" t="s">
        <v>880</v>
      </c>
      <c r="D66" s="1723"/>
      <c r="E66" s="1724"/>
      <c r="F66" s="1723"/>
      <c r="G66" s="1709">
        <v>192076</v>
      </c>
      <c r="H66" s="2397"/>
    </row>
    <row r="67" spans="2:10" s="1730" customFormat="1" ht="20.100000000000001" customHeight="1" thickBot="1" x14ac:dyDescent="0.3">
      <c r="B67" s="1725"/>
      <c r="C67" s="1726"/>
      <c r="D67" s="1727"/>
      <c r="E67" s="1728"/>
      <c r="F67" s="1727"/>
      <c r="G67" s="1729"/>
      <c r="H67" s="2403"/>
    </row>
    <row r="68" spans="2:10" s="1704" customFormat="1" ht="20.100000000000001" customHeight="1" thickBot="1" x14ac:dyDescent="0.3">
      <c r="B68" s="1699" t="s">
        <v>885</v>
      </c>
      <c r="C68" s="1700" t="s">
        <v>1187</v>
      </c>
      <c r="D68" s="1701"/>
      <c r="E68" s="1702"/>
      <c r="F68" s="1701"/>
      <c r="G68" s="1703">
        <v>65881</v>
      </c>
      <c r="H68" s="2402"/>
      <c r="J68" s="1637"/>
    </row>
    <row r="69" spans="2:10" s="1730" customFormat="1" ht="20.100000000000001" customHeight="1" thickBot="1" x14ac:dyDescent="0.3">
      <c r="B69" s="1725"/>
      <c r="C69" s="1726"/>
      <c r="D69" s="1727"/>
      <c r="E69" s="1728"/>
      <c r="F69" s="1727"/>
      <c r="G69" s="1729"/>
      <c r="H69" s="2403"/>
    </row>
    <row r="70" spans="2:10" s="1704" customFormat="1" ht="20.100000000000001" customHeight="1" thickBot="1" x14ac:dyDescent="0.3">
      <c r="B70" s="1699" t="s">
        <v>1188</v>
      </c>
      <c r="C70" s="1700" t="s">
        <v>1189</v>
      </c>
      <c r="D70" s="1701"/>
      <c r="E70" s="1702"/>
      <c r="F70" s="1701"/>
      <c r="G70" s="1703">
        <v>457819</v>
      </c>
      <c r="H70" s="2402"/>
      <c r="I70" s="1704">
        <f>+G70+G68+G63+G57+G53+G9</f>
        <v>89410871</v>
      </c>
      <c r="J70" s="1637"/>
    </row>
    <row r="71" spans="2:10" ht="20.100000000000001" customHeight="1" thickBot="1" x14ac:dyDescent="0.25">
      <c r="B71" s="1731"/>
      <c r="C71" s="1624"/>
      <c r="D71" s="1717"/>
      <c r="E71" s="1717"/>
      <c r="F71" s="1717"/>
      <c r="G71" s="1624"/>
    </row>
    <row r="72" spans="2:10" s="1704" customFormat="1" ht="20.100000000000001" customHeight="1" thickBot="1" x14ac:dyDescent="0.3">
      <c r="B72" s="1732" t="s">
        <v>897</v>
      </c>
      <c r="C72" s="1700"/>
      <c r="D72" s="1701"/>
      <c r="E72" s="1702"/>
      <c r="F72" s="1701"/>
      <c r="G72" s="1703"/>
      <c r="H72" s="2402"/>
      <c r="J72" s="1637"/>
    </row>
    <row r="73" spans="2:10" s="1738" customFormat="1" ht="20.100000000000001" customHeight="1" thickBot="1" x14ac:dyDescent="0.35">
      <c r="B73" s="1733" t="s">
        <v>1190</v>
      </c>
      <c r="C73" s="1734" t="s">
        <v>1191</v>
      </c>
      <c r="D73" s="1735"/>
      <c r="E73" s="1736"/>
      <c r="F73" s="1735"/>
      <c r="G73" s="1737">
        <f>SUM(G74:G79)</f>
        <v>74757959</v>
      </c>
      <c r="H73" s="2402">
        <f>+'24 források'!G35</f>
        <v>74757959</v>
      </c>
    </row>
    <row r="74" spans="2:10" s="1710" customFormat="1" ht="20.100000000000001" customHeight="1" x14ac:dyDescent="0.2">
      <c r="B74" s="1711" t="s">
        <v>899</v>
      </c>
      <c r="C74" s="1712" t="s">
        <v>898</v>
      </c>
      <c r="D74" s="1723"/>
      <c r="E74" s="1724"/>
      <c r="F74" s="1723"/>
      <c r="G74" s="1709">
        <v>98490251</v>
      </c>
      <c r="H74" s="2397"/>
    </row>
    <row r="75" spans="2:10" s="1710" customFormat="1" ht="20.100000000000001" customHeight="1" x14ac:dyDescent="0.2">
      <c r="B75" s="1711" t="s">
        <v>901</v>
      </c>
      <c r="C75" s="1712" t="s">
        <v>900</v>
      </c>
      <c r="D75" s="1723"/>
      <c r="E75" s="1724"/>
      <c r="F75" s="1723"/>
      <c r="G75" s="1709">
        <v>-2252080</v>
      </c>
      <c r="H75" s="2397"/>
    </row>
    <row r="76" spans="2:10" s="1710" customFormat="1" ht="20.100000000000001" customHeight="1" x14ac:dyDescent="0.2">
      <c r="B76" s="1711" t="s">
        <v>903</v>
      </c>
      <c r="C76" s="1712" t="s">
        <v>902</v>
      </c>
      <c r="D76" s="1723"/>
      <c r="E76" s="1724"/>
      <c r="F76" s="1723"/>
      <c r="G76" s="1709">
        <v>921142</v>
      </c>
      <c r="H76" s="2397"/>
    </row>
    <row r="77" spans="2:10" s="1710" customFormat="1" ht="20.100000000000001" customHeight="1" x14ac:dyDescent="0.2">
      <c r="B77" s="1711" t="s">
        <v>905</v>
      </c>
      <c r="C77" s="1712" t="s">
        <v>904</v>
      </c>
      <c r="D77" s="1723"/>
      <c r="E77" s="1724"/>
      <c r="F77" s="1723"/>
      <c r="G77" s="1709">
        <v>-22117670</v>
      </c>
      <c r="H77" s="2397"/>
    </row>
    <row r="78" spans="2:10" s="1710" customFormat="1" ht="20.100000000000001" customHeight="1" x14ac:dyDescent="0.2">
      <c r="B78" s="1711" t="s">
        <v>907</v>
      </c>
      <c r="C78" s="1712" t="s">
        <v>906</v>
      </c>
      <c r="D78" s="1723"/>
      <c r="E78" s="1724"/>
      <c r="F78" s="1723"/>
      <c r="G78" s="1709">
        <v>0</v>
      </c>
      <c r="H78" s="2397"/>
    </row>
    <row r="79" spans="2:10" s="1710" customFormat="1" ht="20.100000000000001" customHeight="1" thickBot="1" x14ac:dyDescent="0.25">
      <c r="B79" s="1711" t="s">
        <v>909</v>
      </c>
      <c r="C79" s="1712" t="s">
        <v>908</v>
      </c>
      <c r="D79" s="1723"/>
      <c r="E79" s="1724"/>
      <c r="F79" s="1723"/>
      <c r="G79" s="1709">
        <v>-283684</v>
      </c>
      <c r="H79" s="2397"/>
    </row>
    <row r="80" spans="2:10" s="1738" customFormat="1" ht="20.100000000000001" customHeight="1" thickBot="1" x14ac:dyDescent="0.35">
      <c r="B80" s="1733" t="s">
        <v>1192</v>
      </c>
      <c r="C80" s="1734" t="s">
        <v>1193</v>
      </c>
      <c r="D80" s="1735"/>
      <c r="E80" s="1736"/>
      <c r="F80" s="1735"/>
      <c r="G80" s="1737">
        <f>SUM(G81:G83)</f>
        <v>1060730</v>
      </c>
      <c r="H80" s="2402">
        <f>+'24 források'!G51</f>
        <v>1060730</v>
      </c>
    </row>
    <row r="81" spans="2:9" ht="20.100000000000001" customHeight="1" x14ac:dyDescent="0.2">
      <c r="B81" s="1623" t="s">
        <v>914</v>
      </c>
      <c r="C81" s="1624" t="s">
        <v>1194</v>
      </c>
      <c r="D81" s="1717"/>
      <c r="E81" s="1718"/>
      <c r="F81" s="1717"/>
      <c r="G81" s="1678">
        <v>587102</v>
      </c>
    </row>
    <row r="82" spans="2:9" ht="20.100000000000001" customHeight="1" x14ac:dyDescent="0.2">
      <c r="B82" s="1679" t="s">
        <v>916</v>
      </c>
      <c r="C82" s="1680" t="s">
        <v>1195</v>
      </c>
      <c r="D82" s="1695"/>
      <c r="E82" s="1696"/>
      <c r="F82" s="1695"/>
      <c r="G82" s="1682">
        <v>108132</v>
      </c>
    </row>
    <row r="83" spans="2:9" ht="20.100000000000001" customHeight="1" x14ac:dyDescent="0.2">
      <c r="B83" s="1679" t="s">
        <v>918</v>
      </c>
      <c r="C83" s="1680" t="s">
        <v>917</v>
      </c>
      <c r="D83" s="1695"/>
      <c r="E83" s="1696"/>
      <c r="F83" s="1695"/>
      <c r="G83" s="1682">
        <v>365496</v>
      </c>
    </row>
    <row r="84" spans="2:9" ht="20.100000000000001" customHeight="1" thickBot="1" x14ac:dyDescent="0.25">
      <c r="B84" s="1623"/>
      <c r="C84" s="1624"/>
      <c r="D84" s="1717"/>
      <c r="E84" s="1718"/>
      <c r="F84" s="1717"/>
      <c r="G84" s="1678"/>
    </row>
    <row r="85" spans="2:9" s="1738" customFormat="1" ht="20.100000000000001" customHeight="1" thickBot="1" x14ac:dyDescent="0.35">
      <c r="B85" s="1733" t="s">
        <v>1196</v>
      </c>
      <c r="C85" s="1734" t="s">
        <v>1197</v>
      </c>
      <c r="D85" s="1735"/>
      <c r="E85" s="1736"/>
      <c r="F85" s="1735"/>
      <c r="G85" s="1737">
        <v>0</v>
      </c>
      <c r="H85" s="2402"/>
    </row>
    <row r="86" spans="2:9" ht="20.100000000000001" customHeight="1" thickBot="1" x14ac:dyDescent="0.25">
      <c r="B86" s="1623"/>
      <c r="C86" s="1624"/>
      <c r="D86" s="1717"/>
      <c r="E86" s="1718"/>
      <c r="F86" s="1717"/>
      <c r="G86" s="1678"/>
    </row>
    <row r="87" spans="2:9" s="1738" customFormat="1" ht="20.100000000000001" customHeight="1" thickBot="1" x14ac:dyDescent="0.35">
      <c r="B87" s="1733" t="s">
        <v>1198</v>
      </c>
      <c r="C87" s="1734" t="s">
        <v>1199</v>
      </c>
      <c r="D87" s="1735"/>
      <c r="E87" s="1736"/>
      <c r="F87" s="1735"/>
      <c r="G87" s="1737">
        <v>13592182</v>
      </c>
      <c r="H87" s="2402"/>
      <c r="I87" s="1738">
        <f>+G87+G85+G80+G73</f>
        <v>89410871</v>
      </c>
    </row>
    <row r="88" spans="2:9" ht="20.100000000000001" customHeight="1" x14ac:dyDescent="0.2">
      <c r="B88" s="1739"/>
      <c r="C88" s="1740"/>
      <c r="D88" s="1741"/>
      <c r="E88" s="1742"/>
      <c r="F88" s="1741"/>
      <c r="G88" s="1743"/>
    </row>
    <row r="89" spans="2:9" s="1748" customFormat="1" ht="20.100000000000001" customHeight="1" x14ac:dyDescent="0.25">
      <c r="B89" s="1744" t="s">
        <v>1200</v>
      </c>
      <c r="C89" s="1745"/>
      <c r="D89" s="1745"/>
      <c r="E89" s="1746"/>
      <c r="F89" s="1745"/>
      <c r="G89" s="1747"/>
      <c r="H89" s="2403"/>
    </row>
    <row r="90" spans="2:9" s="1667" customFormat="1" ht="20.100000000000001" customHeight="1" x14ac:dyDescent="0.25">
      <c r="B90" s="1749"/>
      <c r="C90" s="1750" t="s">
        <v>1201</v>
      </c>
      <c r="D90" s="1750"/>
      <c r="E90" s="1751">
        <f>SUM(E91:E94)</f>
        <v>3760261</v>
      </c>
      <c r="F90" s="1751">
        <f>SUM(F91:F94)</f>
        <v>3760261</v>
      </c>
      <c r="G90" s="1752">
        <f>SUM(G91:G94)</f>
        <v>0</v>
      </c>
      <c r="H90" s="2401"/>
    </row>
    <row r="91" spans="2:9" s="1757" customFormat="1" ht="20.100000000000001" customHeight="1" x14ac:dyDescent="0.2">
      <c r="B91" s="1753"/>
      <c r="C91" s="1754" t="s">
        <v>1140</v>
      </c>
      <c r="D91" s="1754"/>
      <c r="E91" s="1755">
        <v>599379</v>
      </c>
      <c r="F91" s="1755">
        <v>599379</v>
      </c>
      <c r="G91" s="1756">
        <f>+E91-F91</f>
        <v>0</v>
      </c>
      <c r="H91" s="2404"/>
    </row>
    <row r="92" spans="2:9" s="1757" customFormat="1" ht="20.100000000000001" customHeight="1" x14ac:dyDescent="0.2">
      <c r="B92" s="1758"/>
      <c r="C92" s="1759" t="s">
        <v>1202</v>
      </c>
      <c r="D92" s="1759"/>
      <c r="E92" s="1760">
        <v>169987</v>
      </c>
      <c r="F92" s="1760">
        <v>169987</v>
      </c>
      <c r="G92" s="1756">
        <f>+E92-F92</f>
        <v>0</v>
      </c>
      <c r="H92" s="2404"/>
    </row>
    <row r="93" spans="2:9" s="1757" customFormat="1" ht="20.100000000000001" customHeight="1" x14ac:dyDescent="0.2">
      <c r="B93" s="1753"/>
      <c r="C93" s="1754" t="s">
        <v>1203</v>
      </c>
      <c r="D93" s="1754"/>
      <c r="E93" s="1755">
        <v>2990895</v>
      </c>
      <c r="F93" s="1755">
        <v>2990895</v>
      </c>
      <c r="G93" s="1756">
        <f>+E93-F93</f>
        <v>0</v>
      </c>
      <c r="H93" s="2404"/>
    </row>
    <row r="94" spans="2:9" s="1757" customFormat="1" ht="19.5" customHeight="1" x14ac:dyDescent="0.2">
      <c r="B94" s="1753"/>
      <c r="C94" s="1754" t="s">
        <v>840</v>
      </c>
      <c r="D94" s="1754"/>
      <c r="E94" s="1755">
        <v>0</v>
      </c>
      <c r="F94" s="1755">
        <v>0</v>
      </c>
      <c r="G94" s="1756">
        <f>+E94-F94</f>
        <v>0</v>
      </c>
      <c r="H94" s="2404"/>
    </row>
    <row r="95" spans="2:9" s="1642" customFormat="1" ht="19.5" customHeight="1" x14ac:dyDescent="0.25">
      <c r="B95" s="1638"/>
      <c r="C95" s="1649"/>
      <c r="D95" s="1639"/>
      <c r="E95" s="1650"/>
      <c r="F95" s="1639"/>
      <c r="G95" s="1641"/>
      <c r="H95" s="2401"/>
    </row>
    <row r="96" spans="2:9" s="1667" customFormat="1" ht="20.100000000000001" customHeight="1" x14ac:dyDescent="0.25">
      <c r="B96" s="1749"/>
      <c r="C96" s="1750" t="s">
        <v>1204</v>
      </c>
      <c r="D96" s="1750"/>
      <c r="E96" s="1751">
        <f>SUM(E97:E99)</f>
        <v>336868</v>
      </c>
      <c r="F96" s="1751">
        <f>SUM(F97:F99)</f>
        <v>336868</v>
      </c>
      <c r="G96" s="1752">
        <f>SUM(G97:G99)</f>
        <v>0</v>
      </c>
      <c r="H96" s="2401"/>
    </row>
    <row r="97" spans="2:8" s="1642" customFormat="1" ht="19.5" customHeight="1" x14ac:dyDescent="0.25">
      <c r="B97" s="1652"/>
      <c r="C97" s="1644" t="s">
        <v>1205</v>
      </c>
      <c r="D97" s="1653"/>
      <c r="E97" s="1645">
        <v>15935</v>
      </c>
      <c r="F97" s="1754">
        <v>15935</v>
      </c>
      <c r="G97" s="1756">
        <f>+E97-F97</f>
        <v>0</v>
      </c>
      <c r="H97" s="2401"/>
    </row>
    <row r="98" spans="2:8" s="1642" customFormat="1" ht="20.100000000000001" customHeight="1" x14ac:dyDescent="0.25">
      <c r="B98" s="1638"/>
      <c r="C98" s="1649" t="s">
        <v>1206</v>
      </c>
      <c r="D98" s="1639"/>
      <c r="E98" s="1650">
        <v>0</v>
      </c>
      <c r="F98" s="1759">
        <v>0</v>
      </c>
      <c r="G98" s="1756">
        <f>+E98-F98</f>
        <v>0</v>
      </c>
      <c r="H98" s="2401"/>
    </row>
    <row r="99" spans="2:8" s="1642" customFormat="1" ht="20.100000000000001" customHeight="1" x14ac:dyDescent="0.25">
      <c r="B99" s="1652"/>
      <c r="C99" s="1644" t="s">
        <v>1207</v>
      </c>
      <c r="D99" s="1653"/>
      <c r="E99" s="1645">
        <v>320933</v>
      </c>
      <c r="F99" s="1754">
        <v>320933</v>
      </c>
      <c r="G99" s="1756">
        <f>+E99-F99</f>
        <v>0</v>
      </c>
      <c r="H99" s="2401"/>
    </row>
    <row r="100" spans="2:8" s="1647" customFormat="1" ht="20.100000000000001" customHeight="1" x14ac:dyDescent="0.2">
      <c r="B100" s="1648"/>
      <c r="C100" s="1649"/>
      <c r="D100" s="1649"/>
      <c r="E100" s="1650"/>
      <c r="F100" s="1649"/>
      <c r="G100" s="1651"/>
      <c r="H100" s="2404"/>
    </row>
    <row r="101" spans="2:8" s="1661" customFormat="1" ht="20.100000000000001" customHeight="1" x14ac:dyDescent="0.25">
      <c r="B101" s="1761"/>
      <c r="C101" s="1664" t="s">
        <v>1208</v>
      </c>
      <c r="D101" s="1762"/>
      <c r="E101" s="1763">
        <f>SUM(E102:E107)</f>
        <v>9862846</v>
      </c>
      <c r="F101" s="1763">
        <f t="shared" ref="F101:G101" si="3">SUM(F102:F107)</f>
        <v>4280500</v>
      </c>
      <c r="G101" s="1763">
        <f t="shared" si="3"/>
        <v>5582346</v>
      </c>
      <c r="H101" s="2400"/>
    </row>
    <row r="102" spans="2:8" s="1768" customFormat="1" ht="33" customHeight="1" x14ac:dyDescent="0.2">
      <c r="B102" s="1764"/>
      <c r="C102" s="2829" t="s">
        <v>1209</v>
      </c>
      <c r="D102" s="2830"/>
      <c r="E102" s="1765">
        <v>108127</v>
      </c>
      <c r="F102" s="1766">
        <v>36140</v>
      </c>
      <c r="G102" s="1767">
        <f t="shared" ref="G102:G107" si="4">+E102-F102</f>
        <v>71987</v>
      </c>
      <c r="H102" s="2404"/>
    </row>
    <row r="103" spans="2:8" s="1757" customFormat="1" ht="33" customHeight="1" x14ac:dyDescent="0.2">
      <c r="B103" s="1758"/>
      <c r="C103" s="2831" t="s">
        <v>1210</v>
      </c>
      <c r="D103" s="2832"/>
      <c r="E103" s="1760">
        <v>4425948</v>
      </c>
      <c r="F103" s="1759">
        <v>1521554</v>
      </c>
      <c r="G103" s="1769">
        <f t="shared" si="4"/>
        <v>2904394</v>
      </c>
      <c r="H103" s="2404"/>
    </row>
    <row r="104" spans="2:8" s="1757" customFormat="1" ht="33" customHeight="1" x14ac:dyDescent="0.2">
      <c r="B104" s="1753"/>
      <c r="C104" s="2819" t="s">
        <v>1211</v>
      </c>
      <c r="D104" s="2820"/>
      <c r="E104" s="1755">
        <v>2438974</v>
      </c>
      <c r="F104" s="1754">
        <v>1338693</v>
      </c>
      <c r="G104" s="1756">
        <f t="shared" si="4"/>
        <v>1100281</v>
      </c>
      <c r="H104" s="2404"/>
    </row>
    <row r="105" spans="2:8" s="1757" customFormat="1" ht="33" customHeight="1" x14ac:dyDescent="0.2">
      <c r="B105" s="1753"/>
      <c r="C105" s="2819" t="s">
        <v>1212</v>
      </c>
      <c r="D105" s="2820"/>
      <c r="E105" s="1755">
        <v>1730658</v>
      </c>
      <c r="F105" s="1754">
        <v>757575</v>
      </c>
      <c r="G105" s="1756">
        <f t="shared" si="4"/>
        <v>973083</v>
      </c>
      <c r="H105" s="2404"/>
    </row>
    <row r="106" spans="2:8" s="1757" customFormat="1" ht="33" customHeight="1" x14ac:dyDescent="0.2">
      <c r="B106" s="1753"/>
      <c r="C106" s="2819" t="s">
        <v>1213</v>
      </c>
      <c r="D106" s="2820"/>
      <c r="E106" s="1755">
        <v>650360</v>
      </c>
      <c r="F106" s="1754">
        <v>357984</v>
      </c>
      <c r="G106" s="1756">
        <f t="shared" si="4"/>
        <v>292376</v>
      </c>
      <c r="H106" s="2404"/>
    </row>
    <row r="107" spans="2:8" s="1757" customFormat="1" ht="33" customHeight="1" x14ac:dyDescent="0.2">
      <c r="B107" s="1753"/>
      <c r="C107" s="2819" t="s">
        <v>1214</v>
      </c>
      <c r="D107" s="2820"/>
      <c r="E107" s="1755">
        <v>508779</v>
      </c>
      <c r="F107" s="1754">
        <v>268554</v>
      </c>
      <c r="G107" s="1756">
        <f t="shared" si="4"/>
        <v>240225</v>
      </c>
      <c r="H107" s="2404"/>
    </row>
    <row r="108" spans="2:8" s="1667" customFormat="1" ht="20.100000000000001" customHeight="1" x14ac:dyDescent="0.25">
      <c r="B108" s="1749"/>
      <c r="C108" s="1750"/>
      <c r="D108" s="1750"/>
      <c r="E108" s="1751"/>
      <c r="F108" s="1750"/>
      <c r="G108" s="1752"/>
      <c r="H108" s="2401"/>
    </row>
    <row r="109" spans="2:8" s="1661" customFormat="1" ht="20.100000000000001" customHeight="1" x14ac:dyDescent="0.25">
      <c r="B109" s="1770"/>
      <c r="C109" s="1750" t="s">
        <v>1215</v>
      </c>
      <c r="D109" s="1658"/>
      <c r="E109" s="1659"/>
      <c r="F109" s="1659"/>
      <c r="G109" s="1660"/>
      <c r="H109" s="2400"/>
    </row>
    <row r="110" spans="2:8" s="1661" customFormat="1" ht="20.100000000000001" customHeight="1" x14ac:dyDescent="0.25">
      <c r="B110" s="1761"/>
      <c r="C110" s="2821" t="s">
        <v>1216</v>
      </c>
      <c r="D110" s="2822"/>
      <c r="E110" s="1771">
        <v>0</v>
      </c>
      <c r="F110" s="1772">
        <v>0</v>
      </c>
      <c r="G110" s="1773">
        <v>0</v>
      </c>
      <c r="H110" s="2400"/>
    </row>
    <row r="111" spans="2:8" s="1730" customFormat="1" ht="22.5" customHeight="1" thickBot="1" x14ac:dyDescent="0.3">
      <c r="B111" s="1774"/>
      <c r="C111" s="2823" t="s">
        <v>1217</v>
      </c>
      <c r="D111" s="2824"/>
      <c r="E111" s="1775">
        <v>0</v>
      </c>
      <c r="F111" s="1776">
        <v>0</v>
      </c>
      <c r="G111" s="1777">
        <v>9677424</v>
      </c>
      <c r="H111" s="2403"/>
    </row>
  </sheetData>
  <mergeCells count="10">
    <mergeCell ref="C106:D106"/>
    <mergeCell ref="C107:D107"/>
    <mergeCell ref="C110:D110"/>
    <mergeCell ref="C111:D111"/>
    <mergeCell ref="B5:G5"/>
    <mergeCell ref="E7:G7"/>
    <mergeCell ref="C102:D102"/>
    <mergeCell ref="C103:D103"/>
    <mergeCell ref="C104:D104"/>
    <mergeCell ref="C105:D105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landscape" r:id="rId1"/>
  <headerFooter alignWithMargins="0">
    <oddHeader>&amp;R&amp;"Arial CE,Normál"&amp;12 &amp;"Arial CE,Félkövér"&amp;13 28. melléklet a …../2019. (…….) önkormányzati rendelethez</oddHeader>
  </headerFooter>
  <rowBreaks count="2" manualBreakCount="2">
    <brk id="41" min="1" max="6" man="1"/>
    <brk id="71" min="1" max="6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H302"/>
  <sheetViews>
    <sheetView zoomScale="55" zoomScaleNormal="55" zoomScaleSheetLayoutView="55" workbookViewId="0">
      <selection activeCell="B4" sqref="B4:D4"/>
    </sheetView>
  </sheetViews>
  <sheetFormatPr defaultColWidth="12" defaultRowHeight="33.75" customHeight="1" x14ac:dyDescent="0.3"/>
  <cols>
    <col min="1" max="1" width="12" style="2372"/>
    <col min="2" max="2" width="105" style="2370" customWidth="1"/>
    <col min="3" max="3" width="135.33203125" style="2376" customWidth="1"/>
    <col min="4" max="4" width="38.5" style="2376" customWidth="1"/>
    <col min="5" max="5" width="13.6640625" style="2372" customWidth="1"/>
    <col min="6" max="6" width="30.33203125" style="2372" customWidth="1"/>
    <col min="7" max="8" width="12" style="2372"/>
    <col min="9" max="9" width="12.33203125" style="2372" customWidth="1"/>
    <col min="10" max="11" width="12" style="2372"/>
    <col min="12" max="12" width="19.83203125" style="2372" bestFit="1" customWidth="1"/>
    <col min="13" max="16384" width="12" style="2372"/>
  </cols>
  <sheetData>
    <row r="1" spans="2:4" ht="33.75" customHeight="1" x14ac:dyDescent="0.3">
      <c r="C1" s="2371"/>
      <c r="D1" s="2371"/>
    </row>
    <row r="2" spans="2:4" ht="33.75" customHeight="1" x14ac:dyDescent="0.3">
      <c r="B2" s="2373"/>
      <c r="C2" s="2371"/>
      <c r="D2" s="2371"/>
    </row>
    <row r="3" spans="2:4" s="2374" customFormat="1" ht="33.75" customHeight="1" x14ac:dyDescent="0.5">
      <c r="B3" s="2833" t="s">
        <v>1788</v>
      </c>
      <c r="C3" s="2833"/>
      <c r="D3" s="2833"/>
    </row>
    <row r="4" spans="2:4" s="2375" customFormat="1" ht="33.75" customHeight="1" x14ac:dyDescent="0.5">
      <c r="B4" s="2833" t="s">
        <v>1439</v>
      </c>
      <c r="C4" s="2833"/>
      <c r="D4" s="2833"/>
    </row>
    <row r="5" spans="2:4" ht="33.75" customHeight="1" thickBot="1" x14ac:dyDescent="0.35"/>
    <row r="6" spans="2:4" s="2378" customFormat="1" ht="33.75" customHeight="1" x14ac:dyDescent="0.4">
      <c r="B6" s="2574" t="s">
        <v>1410</v>
      </c>
      <c r="C6" s="2575" t="s">
        <v>1440</v>
      </c>
      <c r="D6" s="2576" t="s">
        <v>1441</v>
      </c>
    </row>
    <row r="7" spans="2:4" s="2378" customFormat="1" ht="33.75" customHeight="1" thickBot="1" x14ac:dyDescent="0.45">
      <c r="B7" s="2577"/>
      <c r="C7" s="2578"/>
      <c r="D7" s="2579" t="s">
        <v>34</v>
      </c>
    </row>
    <row r="8" spans="2:4" ht="33.75" customHeight="1" x14ac:dyDescent="0.4">
      <c r="B8" s="2509" t="s">
        <v>1423</v>
      </c>
      <c r="C8" s="2510"/>
      <c r="D8" s="2510"/>
    </row>
    <row r="9" spans="2:4" ht="58.5" customHeight="1" thickBot="1" x14ac:dyDescent="0.4">
      <c r="B9" s="2511" t="s">
        <v>1307</v>
      </c>
      <c r="C9" s="2512" t="s">
        <v>1442</v>
      </c>
      <c r="D9" s="2405">
        <f>[8]felhalmozás!D12</f>
        <v>550.17899999999997</v>
      </c>
    </row>
    <row r="10" spans="2:4" ht="33.75" customHeight="1" x14ac:dyDescent="0.35">
      <c r="B10" s="2513" t="s">
        <v>1443</v>
      </c>
      <c r="C10" s="2514" t="s">
        <v>1444</v>
      </c>
      <c r="D10" s="2408">
        <f>[8]felhalmozás!D13</f>
        <v>165.1</v>
      </c>
    </row>
    <row r="11" spans="2:4" ht="33.75" customHeight="1" thickBot="1" x14ac:dyDescent="0.4">
      <c r="B11" s="2411"/>
      <c r="C11" s="2409" t="s">
        <v>1445</v>
      </c>
      <c r="D11" s="2515">
        <f>[8]felhalmozás!D14</f>
        <v>986.048</v>
      </c>
    </row>
    <row r="12" spans="2:4" ht="42" customHeight="1" thickBot="1" x14ac:dyDescent="0.4">
      <c r="B12" s="2436" t="s">
        <v>1446</v>
      </c>
      <c r="C12" s="2409" t="s">
        <v>1447</v>
      </c>
      <c r="D12" s="2410">
        <f>[8]felhalmozás!D15</f>
        <v>1079.9559999999999</v>
      </c>
    </row>
    <row r="13" spans="2:4" ht="33.75" customHeight="1" x14ac:dyDescent="0.35">
      <c r="B13" s="2516" t="s">
        <v>1448</v>
      </c>
      <c r="C13" s="2514" t="s">
        <v>1449</v>
      </c>
      <c r="D13" s="2405">
        <f>[8]felhalmozás!D16</f>
        <v>4318</v>
      </c>
    </row>
    <row r="14" spans="2:4" ht="33.75" customHeight="1" x14ac:dyDescent="0.35">
      <c r="B14" s="2517"/>
      <c r="C14" s="2514" t="s">
        <v>1450</v>
      </c>
      <c r="D14" s="2405">
        <f>[8]felhalmozás!D17</f>
        <v>127</v>
      </c>
    </row>
    <row r="15" spans="2:4" ht="33.75" customHeight="1" x14ac:dyDescent="0.35">
      <c r="B15" s="2517"/>
      <c r="C15" s="2411" t="s">
        <v>1451</v>
      </c>
      <c r="D15" s="2413">
        <f>[8]felhalmozás!D18</f>
        <v>299.99900000000002</v>
      </c>
    </row>
    <row r="16" spans="2:4" ht="33.75" customHeight="1" thickBot="1" x14ac:dyDescent="0.4">
      <c r="B16" s="2517"/>
      <c r="C16" s="2409" t="s">
        <v>1445</v>
      </c>
      <c r="D16" s="2412">
        <f>[8]felhalmozás!D19</f>
        <v>4011.047</v>
      </c>
    </row>
    <row r="17" spans="2:4" ht="33.75" customHeight="1" x14ac:dyDescent="0.35">
      <c r="B17" s="2513" t="s">
        <v>1452</v>
      </c>
      <c r="C17" s="2514" t="s">
        <v>1453</v>
      </c>
      <c r="D17" s="2408">
        <f>[8]felhalmozás!D20</f>
        <v>1410.7159999999999</v>
      </c>
    </row>
    <row r="18" spans="2:4" ht="33.75" customHeight="1" x14ac:dyDescent="0.35">
      <c r="B18" s="2411"/>
      <c r="C18" s="2514" t="s">
        <v>1454</v>
      </c>
      <c r="D18" s="2413">
        <f>[8]felhalmozás!D21</f>
        <v>440.69</v>
      </c>
    </row>
    <row r="19" spans="2:4" ht="33.75" customHeight="1" x14ac:dyDescent="0.35">
      <c r="B19" s="2411"/>
      <c r="C19" s="2514" t="s">
        <v>1455</v>
      </c>
      <c r="D19" s="2413">
        <f>[8]felhalmozás!D22</f>
        <v>221</v>
      </c>
    </row>
    <row r="20" spans="2:4" ht="51.75" thickBot="1" x14ac:dyDescent="0.4">
      <c r="B20" s="2411"/>
      <c r="C20" s="2518" t="s">
        <v>1456</v>
      </c>
      <c r="D20" s="2515">
        <f>[8]felhalmozás!D23</f>
        <v>870.71199999999999</v>
      </c>
    </row>
    <row r="21" spans="2:4" ht="51.75" thickBot="1" x14ac:dyDescent="0.4">
      <c r="B21" s="2519" t="s">
        <v>1457</v>
      </c>
      <c r="C21" s="2520" t="s">
        <v>1458</v>
      </c>
      <c r="D21" s="2410">
        <f>[8]felhalmozás!D24</f>
        <v>766.45799999999997</v>
      </c>
    </row>
    <row r="22" spans="2:4" ht="45" customHeight="1" thickBot="1" x14ac:dyDescent="0.4">
      <c r="B22" s="2516" t="s">
        <v>1459</v>
      </c>
      <c r="C22" s="2409" t="s">
        <v>1460</v>
      </c>
      <c r="D22" s="2405">
        <f>[8]felhalmozás!D25</f>
        <v>751.18799999999999</v>
      </c>
    </row>
    <row r="23" spans="2:4" ht="33.75" customHeight="1" x14ac:dyDescent="0.35">
      <c r="B23" s="2516" t="s">
        <v>1461</v>
      </c>
      <c r="C23" s="2514" t="s">
        <v>1462</v>
      </c>
      <c r="D23" s="2408">
        <f>[8]felhalmozás!D26</f>
        <v>814.38800000000003</v>
      </c>
    </row>
    <row r="24" spans="2:4" ht="33.75" customHeight="1" x14ac:dyDescent="0.4">
      <c r="B24" s="2521"/>
      <c r="C24" s="2514" t="s">
        <v>1463</v>
      </c>
      <c r="D24" s="2405">
        <f>[8]felhalmozás!D27</f>
        <v>10041.636</v>
      </c>
    </row>
    <row r="25" spans="2:4" ht="33.75" customHeight="1" x14ac:dyDescent="0.4">
      <c r="B25" s="2521"/>
      <c r="C25" s="2522" t="s">
        <v>1464</v>
      </c>
      <c r="D25" s="2413">
        <f>[8]felhalmozás!D28</f>
        <v>1212.8499999999999</v>
      </c>
    </row>
    <row r="26" spans="2:4" ht="33.75" customHeight="1" x14ac:dyDescent="0.4">
      <c r="B26" s="2521"/>
      <c r="C26" s="2411" t="s">
        <v>1465</v>
      </c>
      <c r="D26" s="2413">
        <f>[8]felhalmozás!D29</f>
        <v>678.94200000000001</v>
      </c>
    </row>
    <row r="27" spans="2:4" ht="67.5" customHeight="1" thickBot="1" x14ac:dyDescent="0.45">
      <c r="B27" s="2521"/>
      <c r="C27" s="2523" t="s">
        <v>1466</v>
      </c>
      <c r="D27" s="2515">
        <f>[8]felhalmozás!D30</f>
        <v>1177.8409999999999</v>
      </c>
    </row>
    <row r="28" spans="2:4" ht="33.75" customHeight="1" x14ac:dyDescent="0.35">
      <c r="B28" s="2436" t="s">
        <v>1315</v>
      </c>
      <c r="C28" s="2514" t="s">
        <v>1467</v>
      </c>
      <c r="D28" s="2405">
        <f>[8]felhalmozás!D31</f>
        <v>119.71599999999999</v>
      </c>
    </row>
    <row r="29" spans="2:4" ht="33.75" customHeight="1" x14ac:dyDescent="0.35">
      <c r="B29" s="2435"/>
      <c r="C29" s="2514" t="s">
        <v>1468</v>
      </c>
      <c r="D29" s="2405">
        <f>[8]felhalmozás!D32</f>
        <v>142.089</v>
      </c>
    </row>
    <row r="30" spans="2:4" ht="61.5" customHeight="1" thickBot="1" x14ac:dyDescent="0.4">
      <c r="B30" s="2435"/>
      <c r="C30" s="2523" t="s">
        <v>1469</v>
      </c>
      <c r="D30" s="2412">
        <f>[8]felhalmozás!D33</f>
        <v>869.15</v>
      </c>
    </row>
    <row r="31" spans="2:4" ht="33.75" customHeight="1" x14ac:dyDescent="0.35">
      <c r="B31" s="2436" t="s">
        <v>1470</v>
      </c>
      <c r="C31" s="2514" t="s">
        <v>1471</v>
      </c>
      <c r="D31" s="2408">
        <f>[8]felhalmozás!D34</f>
        <v>219.42</v>
      </c>
    </row>
    <row r="32" spans="2:4" ht="66" customHeight="1" thickBot="1" x14ac:dyDescent="0.45">
      <c r="B32" s="2521"/>
      <c r="C32" s="2523" t="s">
        <v>1472</v>
      </c>
      <c r="D32" s="2405">
        <f>[8]felhalmozás!D35</f>
        <v>601.27099999999996</v>
      </c>
    </row>
    <row r="33" spans="2:4" ht="33.75" customHeight="1" x14ac:dyDescent="0.35">
      <c r="B33" s="2513" t="s">
        <v>1473</v>
      </c>
      <c r="C33" s="2514" t="s">
        <v>1474</v>
      </c>
      <c r="D33" s="2408">
        <f>[8]felhalmozás!D36</f>
        <v>681.99</v>
      </c>
    </row>
    <row r="34" spans="2:4" ht="33.75" customHeight="1" x14ac:dyDescent="0.35">
      <c r="B34" s="2511"/>
      <c r="C34" s="2514" t="s">
        <v>1475</v>
      </c>
      <c r="D34" s="2413">
        <f>[8]felhalmozás!D37</f>
        <v>25.369</v>
      </c>
    </row>
    <row r="35" spans="2:4" ht="62.25" customHeight="1" thickBot="1" x14ac:dyDescent="0.45">
      <c r="B35" s="2524"/>
      <c r="C35" s="2523" t="s">
        <v>1476</v>
      </c>
      <c r="D35" s="2515">
        <f>[8]felhalmozás!D38</f>
        <v>496.93799999999999</v>
      </c>
    </row>
    <row r="36" spans="2:4" ht="33.75" customHeight="1" x14ac:dyDescent="0.35">
      <c r="B36" s="2834" t="s">
        <v>1318</v>
      </c>
      <c r="C36" s="2514" t="s">
        <v>1477</v>
      </c>
      <c r="D36" s="2405">
        <f>[8]felhalmozás!D39</f>
        <v>660.4</v>
      </c>
    </row>
    <row r="37" spans="2:4" ht="33.75" customHeight="1" x14ac:dyDescent="0.35">
      <c r="B37" s="2835"/>
      <c r="C37" s="2514" t="s">
        <v>1478</v>
      </c>
      <c r="D37" s="2405">
        <f>[8]felhalmozás!D40</f>
        <v>213.36</v>
      </c>
    </row>
    <row r="38" spans="2:4" ht="63" customHeight="1" thickBot="1" x14ac:dyDescent="0.4">
      <c r="B38" s="2836"/>
      <c r="C38" s="2523" t="s">
        <v>1479</v>
      </c>
      <c r="D38" s="2412">
        <f>[8]felhalmozás!D41</f>
        <v>3814.0010000000002</v>
      </c>
    </row>
    <row r="39" spans="2:4" ht="33.75" customHeight="1" x14ac:dyDescent="0.35">
      <c r="B39" s="2513" t="s">
        <v>1480</v>
      </c>
      <c r="C39" s="2514" t="s">
        <v>1481</v>
      </c>
      <c r="D39" s="2408">
        <f>[8]felhalmozás!D42</f>
        <v>152.14599999999999</v>
      </c>
    </row>
    <row r="40" spans="2:4" ht="63.75" customHeight="1" thickBot="1" x14ac:dyDescent="0.45">
      <c r="B40" s="2524"/>
      <c r="C40" s="2523" t="s">
        <v>1482</v>
      </c>
      <c r="D40" s="2515">
        <f>[8]felhalmozás!D43</f>
        <v>706.80100000000004</v>
      </c>
    </row>
    <row r="41" spans="2:4" ht="33.75" customHeight="1" x14ac:dyDescent="0.35">
      <c r="B41" s="2513" t="s">
        <v>1483</v>
      </c>
      <c r="C41" s="2514" t="s">
        <v>1484</v>
      </c>
      <c r="D41" s="2408">
        <f>[8]felhalmozás!D44</f>
        <v>4134.13</v>
      </c>
    </row>
    <row r="42" spans="2:4" ht="33.75" customHeight="1" x14ac:dyDescent="0.35">
      <c r="B42" s="2511"/>
      <c r="C42" s="2514" t="s">
        <v>1485</v>
      </c>
      <c r="D42" s="2413">
        <f>[8]felhalmozás!D45</f>
        <v>768.35</v>
      </c>
    </row>
    <row r="43" spans="2:4" ht="33.75" customHeight="1" thickBot="1" x14ac:dyDescent="0.45">
      <c r="B43" s="2524"/>
      <c r="C43" s="2409" t="s">
        <v>1486</v>
      </c>
      <c r="D43" s="2515">
        <f>[8]felhalmozás!D46</f>
        <v>552.86099999999999</v>
      </c>
    </row>
    <row r="44" spans="2:4" ht="33.75" customHeight="1" x14ac:dyDescent="0.35">
      <c r="B44" s="2513" t="s">
        <v>1321</v>
      </c>
      <c r="C44" s="2514" t="s">
        <v>1487</v>
      </c>
      <c r="D44" s="2408">
        <f>[8]felhalmozás!D47</f>
        <v>424</v>
      </c>
    </row>
    <row r="45" spans="2:4" ht="33.75" customHeight="1" thickBot="1" x14ac:dyDescent="0.45">
      <c r="B45" s="2524"/>
      <c r="C45" s="2409" t="s">
        <v>1488</v>
      </c>
      <c r="D45" s="2515">
        <f>[8]felhalmozás!D48</f>
        <v>3182.2269999999999</v>
      </c>
    </row>
    <row r="46" spans="2:4" ht="63.75" customHeight="1" thickBot="1" x14ac:dyDescent="0.4">
      <c r="B46" s="2436" t="s">
        <v>1424</v>
      </c>
      <c r="C46" s="2525" t="s">
        <v>1489</v>
      </c>
      <c r="D46" s="2410">
        <f>[8]felhalmozás!D49</f>
        <v>876.60400000000004</v>
      </c>
    </row>
    <row r="47" spans="2:4" ht="51.75" thickBot="1" x14ac:dyDescent="0.4">
      <c r="B47" s="2513" t="s">
        <v>1490</v>
      </c>
      <c r="C47" s="2523" t="s">
        <v>1491</v>
      </c>
      <c r="D47" s="2405">
        <f>[8]felhalmozás!D50</f>
        <v>1604.4459999999999</v>
      </c>
    </row>
    <row r="48" spans="2:4" ht="33.75" customHeight="1" x14ac:dyDescent="0.35">
      <c r="B48" s="2526" t="s">
        <v>1492</v>
      </c>
      <c r="C48" s="2407" t="s">
        <v>1493</v>
      </c>
      <c r="D48" s="2408">
        <f>[8]felhalmozás!D51</f>
        <v>952.5</v>
      </c>
    </row>
    <row r="49" spans="2:5" ht="33.75" customHeight="1" x14ac:dyDescent="0.35">
      <c r="B49" s="2511"/>
      <c r="C49" s="2522" t="s">
        <v>1494</v>
      </c>
      <c r="D49" s="2413">
        <f>[8]felhalmozás!D52</f>
        <v>386.08</v>
      </c>
    </row>
    <row r="50" spans="2:5" ht="64.5" customHeight="1" thickBot="1" x14ac:dyDescent="0.45">
      <c r="B50" s="2524"/>
      <c r="C50" s="2525" t="s">
        <v>1495</v>
      </c>
      <c r="D50" s="2515">
        <f>[8]felhalmozás!D53</f>
        <v>670.67600000000004</v>
      </c>
    </row>
    <row r="51" spans="2:5" s="2380" customFormat="1" ht="33.75" customHeight="1" thickBot="1" x14ac:dyDescent="0.45">
      <c r="B51" s="2414" t="s">
        <v>1425</v>
      </c>
      <c r="C51" s="2527"/>
      <c r="D51" s="2416">
        <f>[8]felhalmozás!D54</f>
        <v>52177.274999999987</v>
      </c>
      <c r="E51" s="2372"/>
    </row>
    <row r="52" spans="2:5" ht="33.75" customHeight="1" x14ac:dyDescent="0.35">
      <c r="B52" s="2516" t="s">
        <v>214</v>
      </c>
      <c r="C52" s="2528" t="s">
        <v>1496</v>
      </c>
      <c r="D52" s="2408">
        <f>[8]felhalmozás!D55</f>
        <v>133.374</v>
      </c>
    </row>
    <row r="53" spans="2:5" ht="33.75" customHeight="1" x14ac:dyDescent="0.35">
      <c r="B53" s="2517"/>
      <c r="C53" s="2529" t="s">
        <v>1497</v>
      </c>
      <c r="D53" s="2405">
        <f>[8]felhalmozás!D56</f>
        <v>5499.9620000000004</v>
      </c>
    </row>
    <row r="54" spans="2:5" ht="33.75" customHeight="1" x14ac:dyDescent="0.4">
      <c r="B54" s="2521"/>
      <c r="C54" s="2530" t="s">
        <v>1498</v>
      </c>
      <c r="D54" s="2405">
        <f>[8]felhalmozás!D57</f>
        <v>1717.9190000000001</v>
      </c>
    </row>
    <row r="55" spans="2:5" ht="33.75" customHeight="1" x14ac:dyDescent="0.4">
      <c r="B55" s="2521"/>
      <c r="C55" s="2530" t="s">
        <v>1499</v>
      </c>
      <c r="D55" s="2405">
        <f>[8]felhalmozás!D58</f>
        <v>81.319000000000003</v>
      </c>
    </row>
    <row r="56" spans="2:5" ht="33.75" customHeight="1" x14ac:dyDescent="0.4">
      <c r="B56" s="2521"/>
      <c r="C56" s="2529" t="s">
        <v>1500</v>
      </c>
      <c r="D56" s="2405">
        <f>[8]felhalmozás!D59</f>
        <v>111.422</v>
      </c>
    </row>
    <row r="57" spans="2:5" ht="33.75" customHeight="1" x14ac:dyDescent="0.4">
      <c r="B57" s="2521"/>
      <c r="C57" s="2530" t="s">
        <v>1501</v>
      </c>
      <c r="D57" s="2405">
        <f>[8]felhalmozás!D60</f>
        <v>1243.1469999999999</v>
      </c>
    </row>
    <row r="58" spans="2:5" ht="33.75" customHeight="1" x14ac:dyDescent="0.4">
      <c r="B58" s="2521"/>
      <c r="C58" s="2530" t="s">
        <v>1502</v>
      </c>
      <c r="D58" s="2405">
        <f>[8]felhalmozás!D61</f>
        <v>405.661</v>
      </c>
    </row>
    <row r="59" spans="2:5" ht="33.75" customHeight="1" x14ac:dyDescent="0.4">
      <c r="B59" s="2521"/>
      <c r="C59" s="2530" t="s">
        <v>1503</v>
      </c>
      <c r="D59" s="2405">
        <f>[8]felhalmozás!D62</f>
        <v>199.84399999999999</v>
      </c>
    </row>
    <row r="60" spans="2:5" ht="51.75" x14ac:dyDescent="0.4">
      <c r="B60" s="2521"/>
      <c r="C60" s="2530" t="s">
        <v>1504</v>
      </c>
      <c r="D60" s="2405">
        <f>[8]felhalmozás!D63</f>
        <v>497.363</v>
      </c>
    </row>
    <row r="61" spans="2:5" ht="33.75" customHeight="1" x14ac:dyDescent="0.4">
      <c r="B61" s="2521"/>
      <c r="C61" s="2530" t="s">
        <v>1505</v>
      </c>
      <c r="D61" s="2405">
        <f>[8]felhalmozás!D64</f>
        <v>114.946</v>
      </c>
    </row>
    <row r="62" spans="2:5" ht="33.75" customHeight="1" x14ac:dyDescent="0.4">
      <c r="B62" s="2521"/>
      <c r="C62" s="2530" t="s">
        <v>1506</v>
      </c>
      <c r="D62" s="2405">
        <f>[8]felhalmozás!D65</f>
        <v>304.8</v>
      </c>
    </row>
    <row r="63" spans="2:5" ht="33.75" customHeight="1" x14ac:dyDescent="0.4">
      <c r="B63" s="2521"/>
      <c r="C63" s="2530" t="s">
        <v>1507</v>
      </c>
      <c r="D63" s="2405">
        <f>[8]felhalmozás!D66</f>
        <v>146.05000000000001</v>
      </c>
    </row>
    <row r="64" spans="2:5" ht="33.75" customHeight="1" x14ac:dyDescent="0.4">
      <c r="B64" s="2521"/>
      <c r="C64" s="2530" t="s">
        <v>1508</v>
      </c>
      <c r="D64" s="2405">
        <f>[8]felhalmozás!D67</f>
        <v>1551.203</v>
      </c>
    </row>
    <row r="65" spans="2:4" ht="33.75" customHeight="1" x14ac:dyDescent="0.4">
      <c r="B65" s="2521"/>
      <c r="C65" s="2530" t="s">
        <v>1509</v>
      </c>
      <c r="D65" s="2405">
        <f>[8]felhalmozás!D68</f>
        <v>986.28200000000004</v>
      </c>
    </row>
    <row r="66" spans="2:4" ht="33.75" customHeight="1" x14ac:dyDescent="0.4">
      <c r="B66" s="2521"/>
      <c r="C66" s="2530" t="s">
        <v>1510</v>
      </c>
      <c r="D66" s="2405">
        <f>[8]felhalmozás!D69</f>
        <v>4206.24</v>
      </c>
    </row>
    <row r="67" spans="2:4" ht="33.75" customHeight="1" x14ac:dyDescent="0.4">
      <c r="B67" s="2521"/>
      <c r="C67" s="2529" t="s">
        <v>1511</v>
      </c>
      <c r="D67" s="2405">
        <f>[8]felhalmozás!D70</f>
        <v>297.30700000000002</v>
      </c>
    </row>
    <row r="68" spans="2:4" ht="33.75" customHeight="1" x14ac:dyDescent="0.4">
      <c r="B68" s="2521"/>
      <c r="C68" s="2529" t="s">
        <v>1512</v>
      </c>
      <c r="D68" s="2405">
        <f>[8]felhalmozás!D71</f>
        <v>145.49100000000001</v>
      </c>
    </row>
    <row r="69" spans="2:4" ht="33.75" customHeight="1" x14ac:dyDescent="0.4">
      <c r="B69" s="2521"/>
      <c r="C69" s="2529" t="s">
        <v>1513</v>
      </c>
      <c r="D69" s="2405">
        <f>[8]felhalmozás!D72</f>
        <v>523</v>
      </c>
    </row>
    <row r="70" spans="2:4" ht="33.75" customHeight="1" x14ac:dyDescent="0.4">
      <c r="B70" s="2521"/>
      <c r="C70" s="2529" t="s">
        <v>1514</v>
      </c>
      <c r="D70" s="2405">
        <f>[8]felhalmozás!D73</f>
        <v>741.67899999999997</v>
      </c>
    </row>
    <row r="71" spans="2:4" ht="33.75" customHeight="1" x14ac:dyDescent="0.4">
      <c r="B71" s="2521"/>
      <c r="C71" s="2529" t="s">
        <v>1515</v>
      </c>
      <c r="D71" s="2405">
        <f>[8]felhalmozás!D74</f>
        <v>381</v>
      </c>
    </row>
    <row r="72" spans="2:4" ht="33.75" customHeight="1" x14ac:dyDescent="0.4">
      <c r="B72" s="2521"/>
      <c r="C72" s="2529" t="s">
        <v>1516</v>
      </c>
      <c r="D72" s="2405">
        <f>[8]felhalmozás!D75</f>
        <v>150.62200000000001</v>
      </c>
    </row>
    <row r="73" spans="2:4" ht="33.75" customHeight="1" x14ac:dyDescent="0.4">
      <c r="B73" s="2521"/>
      <c r="C73" s="2529" t="s">
        <v>1517</v>
      </c>
      <c r="D73" s="2405">
        <f>[8]felhalmozás!D76</f>
        <v>4800.6000000000004</v>
      </c>
    </row>
    <row r="74" spans="2:4" ht="51.75" x14ac:dyDescent="0.4">
      <c r="B74" s="2521"/>
      <c r="C74" s="2529" t="s">
        <v>1518</v>
      </c>
      <c r="D74" s="2405">
        <f>[8]felhalmozás!D77</f>
        <v>615.95000000000005</v>
      </c>
    </row>
    <row r="75" spans="2:4" ht="33.75" customHeight="1" x14ac:dyDescent="0.4">
      <c r="B75" s="2521"/>
      <c r="C75" s="2529" t="s">
        <v>1519</v>
      </c>
      <c r="D75" s="2405">
        <f>[8]felhalmozás!D78</f>
        <v>385.82600000000002</v>
      </c>
    </row>
    <row r="76" spans="2:4" ht="33.75" customHeight="1" x14ac:dyDescent="0.4">
      <c r="B76" s="2521"/>
      <c r="C76" s="2529" t="s">
        <v>1520</v>
      </c>
      <c r="D76" s="2405">
        <f>[8]felhalmozás!D79</f>
        <v>1777.0219999999999</v>
      </c>
    </row>
    <row r="77" spans="2:4" ht="33.75" customHeight="1" x14ac:dyDescent="0.4">
      <c r="B77" s="2521"/>
      <c r="C77" s="2529" t="s">
        <v>1521</v>
      </c>
      <c r="D77" s="2405">
        <f>[8]felhalmozás!D80</f>
        <v>296.661</v>
      </c>
    </row>
    <row r="78" spans="2:4" ht="33.75" customHeight="1" x14ac:dyDescent="0.4">
      <c r="B78" s="2521"/>
      <c r="C78" s="2529" t="s">
        <v>1522</v>
      </c>
      <c r="D78" s="2405">
        <f>[8]felhalmozás!D81</f>
        <v>287.69799999999998</v>
      </c>
    </row>
    <row r="79" spans="2:4" ht="51.75" x14ac:dyDescent="0.4">
      <c r="B79" s="2521"/>
      <c r="C79" s="2529" t="s">
        <v>1523</v>
      </c>
      <c r="D79" s="2405">
        <f>[8]felhalmozás!D82</f>
        <v>215.17400000000001</v>
      </c>
    </row>
    <row r="80" spans="2:4" ht="33.75" customHeight="1" x14ac:dyDescent="0.4">
      <c r="B80" s="2521"/>
      <c r="C80" s="2427" t="s">
        <v>1524</v>
      </c>
      <c r="D80" s="2405">
        <f>[8]felhalmozás!D83</f>
        <v>1044.896</v>
      </c>
    </row>
    <row r="81" spans="2:4" ht="33.75" customHeight="1" x14ac:dyDescent="0.4">
      <c r="B81" s="2521"/>
      <c r="C81" s="2529" t="s">
        <v>1525</v>
      </c>
      <c r="D81" s="2405">
        <f>[8]felhalmozás!D84</f>
        <v>294.44499999999999</v>
      </c>
    </row>
    <row r="82" spans="2:4" ht="51.75" x14ac:dyDescent="0.4">
      <c r="B82" s="2521"/>
      <c r="C82" s="2429" t="s">
        <v>1526</v>
      </c>
      <c r="D82" s="2405">
        <f>[8]felhalmozás!D85</f>
        <v>162.05699999999999</v>
      </c>
    </row>
    <row r="83" spans="2:4" ht="77.25" x14ac:dyDescent="0.4">
      <c r="B83" s="2521"/>
      <c r="C83" s="2429" t="s">
        <v>1527</v>
      </c>
      <c r="D83" s="2405">
        <f>[8]felhalmozás!D86</f>
        <v>731.31799999999998</v>
      </c>
    </row>
    <row r="84" spans="2:4" ht="33.75" customHeight="1" x14ac:dyDescent="0.4">
      <c r="B84" s="2521"/>
      <c r="C84" s="2425" t="s">
        <v>1528</v>
      </c>
      <c r="D84" s="2405">
        <f>[8]felhalmozás!D87</f>
        <v>189.523</v>
      </c>
    </row>
    <row r="85" spans="2:4" ht="33.75" customHeight="1" x14ac:dyDescent="0.4">
      <c r="B85" s="2521"/>
      <c r="C85" s="2427" t="s">
        <v>1529</v>
      </c>
      <c r="D85" s="2405">
        <f>[8]felhalmozás!D88</f>
        <v>6450.2950000000001</v>
      </c>
    </row>
    <row r="86" spans="2:4" ht="33.75" customHeight="1" x14ac:dyDescent="0.4">
      <c r="B86" s="2521"/>
      <c r="C86" s="2427" t="s">
        <v>1530</v>
      </c>
      <c r="D86" s="2405">
        <f>[8]felhalmozás!D89</f>
        <v>685.24099999999999</v>
      </c>
    </row>
    <row r="87" spans="2:4" ht="33.75" customHeight="1" x14ac:dyDescent="0.4">
      <c r="B87" s="2521"/>
      <c r="C87" s="2531" t="s">
        <v>1531</v>
      </c>
      <c r="D87" s="2413">
        <f>[8]felhalmozás!D90</f>
        <v>105.66200000000001</v>
      </c>
    </row>
    <row r="88" spans="2:4" ht="33.75" customHeight="1" x14ac:dyDescent="0.4">
      <c r="B88" s="2521"/>
      <c r="C88" s="2529" t="s">
        <v>1532</v>
      </c>
      <c r="D88" s="2405">
        <f>[8]felhalmozás!D91</f>
        <v>877.41200000000003</v>
      </c>
    </row>
    <row r="89" spans="2:4" ht="33.75" customHeight="1" x14ac:dyDescent="0.4">
      <c r="B89" s="2521"/>
      <c r="C89" s="2529" t="s">
        <v>1533</v>
      </c>
      <c r="D89" s="2405">
        <f>[8]felhalmozás!D92</f>
        <v>254.99</v>
      </c>
    </row>
    <row r="90" spans="2:4" ht="78" thickBot="1" x14ac:dyDescent="0.45">
      <c r="B90" s="2532"/>
      <c r="C90" s="2533" t="s">
        <v>1534</v>
      </c>
      <c r="D90" s="2406">
        <f>[8]felhalmozás!D93</f>
        <v>3370.6660000000002</v>
      </c>
    </row>
    <row r="91" spans="2:4" s="2380" customFormat="1" ht="33.75" customHeight="1" thickBot="1" x14ac:dyDescent="0.45">
      <c r="B91" s="2433" t="s">
        <v>1535</v>
      </c>
      <c r="C91" s="2534"/>
      <c r="D91" s="2415">
        <f>SUM(D52:D90)</f>
        <v>41984.066999999995</v>
      </c>
    </row>
    <row r="92" spans="2:4" s="2380" customFormat="1" ht="33.75" customHeight="1" thickBot="1" x14ac:dyDescent="0.45">
      <c r="B92" s="2535" t="s">
        <v>3</v>
      </c>
      <c r="C92" s="2536"/>
      <c r="D92" s="2537">
        <f>D91+D51</f>
        <v>94161.341999999975</v>
      </c>
    </row>
    <row r="93" spans="2:4" ht="33.75" customHeight="1" x14ac:dyDescent="0.4">
      <c r="B93" s="2538" t="s">
        <v>1536</v>
      </c>
      <c r="C93" s="2539"/>
      <c r="D93" s="2418"/>
    </row>
    <row r="94" spans="2:4" ht="33.75" customHeight="1" thickBot="1" x14ac:dyDescent="0.45">
      <c r="B94" s="2540" t="s">
        <v>1426</v>
      </c>
      <c r="C94" s="2534"/>
      <c r="D94" s="2515"/>
    </row>
    <row r="95" spans="2:4" ht="33.75" customHeight="1" x14ac:dyDescent="0.35">
      <c r="B95" s="2541" t="s">
        <v>1329</v>
      </c>
      <c r="C95" s="2425" t="s">
        <v>1537</v>
      </c>
      <c r="D95" s="2405">
        <f>[8]felhalmozás!D98</f>
        <v>1021.4930000000001</v>
      </c>
    </row>
    <row r="96" spans="2:4" ht="33.75" customHeight="1" x14ac:dyDescent="0.35">
      <c r="B96" s="2426"/>
      <c r="C96" s="2427" t="s">
        <v>1538</v>
      </c>
      <c r="D96" s="2405">
        <f>[8]felhalmozás!D99</f>
        <v>1125.5540000000001</v>
      </c>
    </row>
    <row r="97" spans="2:4" ht="33.75" customHeight="1" x14ac:dyDescent="0.35">
      <c r="B97" s="2426"/>
      <c r="C97" s="2427" t="s">
        <v>1539</v>
      </c>
      <c r="D97" s="2405">
        <f>[8]felhalmozás!D100</f>
        <v>978.45899999999995</v>
      </c>
    </row>
    <row r="98" spans="2:4" ht="33.75" customHeight="1" x14ac:dyDescent="0.35">
      <c r="B98" s="2426"/>
      <c r="C98" s="2432" t="s">
        <v>1540</v>
      </c>
      <c r="D98" s="2405">
        <f>[8]felhalmozás!D101</f>
        <v>208</v>
      </c>
    </row>
    <row r="99" spans="2:4" ht="76.5" x14ac:dyDescent="0.35">
      <c r="B99" s="2426"/>
      <c r="C99" s="2430" t="s">
        <v>1541</v>
      </c>
      <c r="D99" s="2405">
        <f>[8]felhalmozás!D102</f>
        <v>802.83</v>
      </c>
    </row>
    <row r="100" spans="2:4" ht="33.75" customHeight="1" x14ac:dyDescent="0.35">
      <c r="B100" s="2426"/>
      <c r="C100" s="2432" t="s">
        <v>1542</v>
      </c>
      <c r="D100" s="2405">
        <f>[8]felhalmozás!D103</f>
        <v>248.08199999999999</v>
      </c>
    </row>
    <row r="101" spans="2:4" ht="33.75" customHeight="1" x14ac:dyDescent="0.35">
      <c r="B101" s="2426"/>
      <c r="C101" s="2432" t="s">
        <v>1543</v>
      </c>
      <c r="D101" s="2405">
        <f>[8]felhalmozás!D104</f>
        <v>495</v>
      </c>
    </row>
    <row r="102" spans="2:4" ht="51.75" thickBot="1" x14ac:dyDescent="0.4">
      <c r="B102" s="2426"/>
      <c r="C102" s="2430" t="s">
        <v>1544</v>
      </c>
      <c r="D102" s="2405">
        <f>[8]felhalmozás!D105</f>
        <v>188.41499999999999</v>
      </c>
    </row>
    <row r="103" spans="2:4" ht="33.75" customHeight="1" thickBot="1" x14ac:dyDescent="0.45">
      <c r="B103" s="2433" t="s">
        <v>1535</v>
      </c>
      <c r="C103" s="2421"/>
      <c r="D103" s="2416">
        <f>SUM(D95:D102)</f>
        <v>5067.8330000000005</v>
      </c>
    </row>
    <row r="104" spans="2:4" ht="33.75" customHeight="1" x14ac:dyDescent="0.35">
      <c r="B104" s="2541" t="s">
        <v>373</v>
      </c>
      <c r="C104" s="2432" t="s">
        <v>1545</v>
      </c>
      <c r="D104" s="2408">
        <f>[8]felhalmozás!D107</f>
        <v>70.828000000000003</v>
      </c>
    </row>
    <row r="105" spans="2:4" ht="33.75" customHeight="1" x14ac:dyDescent="0.35">
      <c r="B105" s="2542"/>
      <c r="C105" s="2432" t="s">
        <v>1546</v>
      </c>
      <c r="D105" s="2405">
        <f>[8]felhalmozás!D108</f>
        <v>38.9</v>
      </c>
    </row>
    <row r="106" spans="2:4" ht="33.75" customHeight="1" x14ac:dyDescent="0.35">
      <c r="B106" s="2542"/>
      <c r="C106" s="2432" t="s">
        <v>1547</v>
      </c>
      <c r="D106" s="2405">
        <f>[8]felhalmozás!D109</f>
        <v>33.499000000000002</v>
      </c>
    </row>
    <row r="107" spans="2:4" ht="33.75" customHeight="1" thickBot="1" x14ac:dyDescent="0.4">
      <c r="B107" s="2542"/>
      <c r="C107" s="2432" t="s">
        <v>1548</v>
      </c>
      <c r="D107" s="2405">
        <f>[8]felhalmozás!D110</f>
        <v>11.999000000000001</v>
      </c>
    </row>
    <row r="108" spans="2:4" ht="33.75" customHeight="1" thickBot="1" x14ac:dyDescent="0.45">
      <c r="B108" s="2433" t="s">
        <v>1535</v>
      </c>
      <c r="C108" s="2543"/>
      <c r="D108" s="2416">
        <f>SUM(D104:D107)</f>
        <v>155.226</v>
      </c>
    </row>
    <row r="109" spans="2:4" ht="33.75" customHeight="1" x14ac:dyDescent="0.35">
      <c r="B109" s="2437" t="s">
        <v>1330</v>
      </c>
      <c r="C109" s="2544" t="s">
        <v>1549</v>
      </c>
      <c r="D109" s="2405">
        <f>[8]felhalmozás!D112</f>
        <v>76</v>
      </c>
    </row>
    <row r="110" spans="2:4" ht="33.75" customHeight="1" x14ac:dyDescent="0.35">
      <c r="B110" s="2545"/>
      <c r="C110" s="2432" t="s">
        <v>1550</v>
      </c>
      <c r="D110" s="2405">
        <f>[8]felhalmozás!D113</f>
        <v>82.55</v>
      </c>
    </row>
    <row r="111" spans="2:4" ht="33.75" customHeight="1" x14ac:dyDescent="0.35">
      <c r="B111" s="2545"/>
      <c r="C111" s="2432" t="s">
        <v>1551</v>
      </c>
      <c r="D111" s="2405">
        <f>[8]felhalmozás!D114</f>
        <v>197.5</v>
      </c>
    </row>
    <row r="112" spans="2:4" ht="33.75" customHeight="1" x14ac:dyDescent="0.35">
      <c r="B112" s="2545"/>
      <c r="C112" s="2432" t="s">
        <v>1540</v>
      </c>
      <c r="D112" s="2405">
        <f>[8]felhalmozás!D115</f>
        <v>97.989000000000004</v>
      </c>
    </row>
    <row r="113" spans="2:4" ht="33.75" customHeight="1" x14ac:dyDescent="0.35">
      <c r="B113" s="2545"/>
      <c r="C113" s="2432" t="s">
        <v>1552</v>
      </c>
      <c r="D113" s="2405">
        <f>[8]felhalmozás!D116</f>
        <v>1090.771</v>
      </c>
    </row>
    <row r="114" spans="2:4" ht="33.75" customHeight="1" x14ac:dyDescent="0.35">
      <c r="B114" s="2545"/>
      <c r="C114" s="2432" t="s">
        <v>1553</v>
      </c>
      <c r="D114" s="2405">
        <f>[8]felhalmozás!D117</f>
        <v>2380.5520000000001</v>
      </c>
    </row>
    <row r="115" spans="2:4" ht="33.75" customHeight="1" x14ac:dyDescent="0.35">
      <c r="B115" s="2545"/>
      <c r="C115" s="2432" t="s">
        <v>1554</v>
      </c>
      <c r="D115" s="2405">
        <f>[8]felhalmozás!D118</f>
        <v>127.33499999999999</v>
      </c>
    </row>
    <row r="116" spans="2:4" ht="33.75" customHeight="1" x14ac:dyDescent="0.35">
      <c r="B116" s="2545"/>
      <c r="C116" s="2432" t="s">
        <v>1555</v>
      </c>
      <c r="D116" s="2405">
        <f>[8]felhalmozás!D119</f>
        <v>1911.623</v>
      </c>
    </row>
    <row r="117" spans="2:4" ht="33.75" customHeight="1" x14ac:dyDescent="0.35">
      <c r="B117" s="2545"/>
      <c r="C117" s="2432" t="s">
        <v>1556</v>
      </c>
      <c r="D117" s="2405">
        <f>[8]felhalmozás!D120</f>
        <v>1800</v>
      </c>
    </row>
    <row r="118" spans="2:4" ht="33.75" customHeight="1" x14ac:dyDescent="0.35">
      <c r="B118" s="2545"/>
      <c r="C118" s="2432" t="s">
        <v>1557</v>
      </c>
      <c r="D118" s="2405">
        <f>[8]felhalmozás!D121</f>
        <v>1810</v>
      </c>
    </row>
    <row r="119" spans="2:4" ht="33.75" customHeight="1" x14ac:dyDescent="0.35">
      <c r="B119" s="2545"/>
      <c r="C119" s="2432" t="s">
        <v>1558</v>
      </c>
      <c r="D119" s="2405">
        <f>[8]felhalmozás!D122</f>
        <v>2756.29</v>
      </c>
    </row>
    <row r="120" spans="2:4" ht="33.75" customHeight="1" x14ac:dyDescent="0.35">
      <c r="B120" s="2545"/>
      <c r="C120" s="2432" t="s">
        <v>1559</v>
      </c>
      <c r="D120" s="2405">
        <f>[8]felhalmozás!D123</f>
        <v>960</v>
      </c>
    </row>
    <row r="121" spans="2:4" ht="33.75" customHeight="1" x14ac:dyDescent="0.35">
      <c r="B121" s="2545"/>
      <c r="C121" s="2432" t="s">
        <v>1560</v>
      </c>
      <c r="D121" s="2405">
        <f>[8]felhalmozás!D124</f>
        <v>653.41499999999996</v>
      </c>
    </row>
    <row r="122" spans="2:4" ht="33.75" customHeight="1" x14ac:dyDescent="0.35">
      <c r="B122" s="2545"/>
      <c r="C122" s="2432" t="s">
        <v>1561</v>
      </c>
      <c r="D122" s="2405">
        <f>[8]felhalmozás!D125</f>
        <v>500</v>
      </c>
    </row>
    <row r="123" spans="2:4" ht="33.75" customHeight="1" thickBot="1" x14ac:dyDescent="0.4">
      <c r="B123" s="2545"/>
      <c r="C123" s="2432" t="s">
        <v>1562</v>
      </c>
      <c r="D123" s="2405">
        <f>[8]felhalmozás!D126</f>
        <v>10.01</v>
      </c>
    </row>
    <row r="124" spans="2:4" ht="33.75" customHeight="1" thickBot="1" x14ac:dyDescent="0.45">
      <c r="B124" s="2433" t="s">
        <v>1535</v>
      </c>
      <c r="C124" s="2546"/>
      <c r="D124" s="2416">
        <f>SUM(D109:D123)</f>
        <v>14454.035000000002</v>
      </c>
    </row>
    <row r="125" spans="2:4" ht="33.75" customHeight="1" x14ac:dyDescent="0.35">
      <c r="B125" s="2547" t="s">
        <v>1331</v>
      </c>
      <c r="C125" s="2438" t="s">
        <v>1563</v>
      </c>
      <c r="D125" s="2408">
        <f>[8]felhalmozás!D128</f>
        <v>195.77600000000001</v>
      </c>
    </row>
    <row r="126" spans="2:4" ht="33.75" customHeight="1" x14ac:dyDescent="0.35">
      <c r="B126" s="2548"/>
      <c r="C126" s="2432" t="s">
        <v>1564</v>
      </c>
      <c r="D126" s="2405">
        <f>[8]felhalmozás!D129</f>
        <v>317.24599999999998</v>
      </c>
    </row>
    <row r="127" spans="2:4" ht="33.75" customHeight="1" x14ac:dyDescent="0.35">
      <c r="B127" s="2548"/>
      <c r="C127" s="2432" t="s">
        <v>1565</v>
      </c>
      <c r="D127" s="2405">
        <f>[8]felhalmozás!D130</f>
        <v>6680.9620000000004</v>
      </c>
    </row>
    <row r="128" spans="2:4" ht="33.75" customHeight="1" x14ac:dyDescent="0.35">
      <c r="B128" s="2548"/>
      <c r="C128" s="2432" t="s">
        <v>1566</v>
      </c>
      <c r="D128" s="2405">
        <f>[8]felhalmozás!D131</f>
        <v>396.24</v>
      </c>
    </row>
    <row r="129" spans="2:4" ht="33.75" customHeight="1" x14ac:dyDescent="0.35">
      <c r="B129" s="2548"/>
      <c r="C129" s="2432" t="s">
        <v>1567</v>
      </c>
      <c r="D129" s="2405">
        <f>[8]felhalmozás!D132</f>
        <v>792.48</v>
      </c>
    </row>
    <row r="130" spans="2:4" ht="33.75" customHeight="1" x14ac:dyDescent="0.35">
      <c r="B130" s="2548"/>
      <c r="C130" s="2432" t="s">
        <v>1568</v>
      </c>
      <c r="D130" s="2405">
        <f>[8]felhalmozás!D133</f>
        <v>221.61500000000001</v>
      </c>
    </row>
    <row r="131" spans="2:4" ht="33.75" customHeight="1" x14ac:dyDescent="0.35">
      <c r="B131" s="2548"/>
      <c r="C131" s="2432" t="s">
        <v>1569</v>
      </c>
      <c r="D131" s="2405">
        <f>[8]felhalmozás!D134</f>
        <v>185.80099999999999</v>
      </c>
    </row>
    <row r="132" spans="2:4" ht="33.75" customHeight="1" x14ac:dyDescent="0.35">
      <c r="B132" s="2548"/>
      <c r="C132" s="2432" t="s">
        <v>1570</v>
      </c>
      <c r="D132" s="2405">
        <f>[8]felhalmozás!D135</f>
        <v>70</v>
      </c>
    </row>
    <row r="133" spans="2:4" ht="33.75" customHeight="1" x14ac:dyDescent="0.35">
      <c r="B133" s="2548"/>
      <c r="C133" s="2432" t="s">
        <v>1571</v>
      </c>
      <c r="D133" s="2405">
        <f>[8]felhalmozás!D136</f>
        <v>70</v>
      </c>
    </row>
    <row r="134" spans="2:4" ht="33.75" customHeight="1" x14ac:dyDescent="0.35">
      <c r="B134" s="2548"/>
      <c r="C134" s="2432" t="s">
        <v>1572</v>
      </c>
      <c r="D134" s="2405">
        <f>[8]felhalmozás!D137</f>
        <v>59.563000000000002</v>
      </c>
    </row>
    <row r="135" spans="2:4" ht="51" x14ac:dyDescent="0.35">
      <c r="B135" s="2548"/>
      <c r="C135" s="2430" t="s">
        <v>1573</v>
      </c>
      <c r="D135" s="2405">
        <f>[8]felhalmozás!D138</f>
        <v>71.566000000000003</v>
      </c>
    </row>
    <row r="136" spans="2:4" ht="33.75" customHeight="1" x14ac:dyDescent="0.35">
      <c r="B136" s="2548"/>
      <c r="C136" s="2432" t="s">
        <v>1574</v>
      </c>
      <c r="D136" s="2405">
        <f>[8]felhalmozás!D139</f>
        <v>40</v>
      </c>
    </row>
    <row r="137" spans="2:4" ht="33.75" customHeight="1" x14ac:dyDescent="0.35">
      <c r="B137" s="2548"/>
      <c r="C137" s="2432" t="s">
        <v>1575</v>
      </c>
      <c r="D137" s="2405">
        <f>[8]felhalmozás!D140</f>
        <v>25</v>
      </c>
    </row>
    <row r="138" spans="2:4" ht="33.75" customHeight="1" x14ac:dyDescent="0.35">
      <c r="B138" s="2548"/>
      <c r="C138" s="2432" t="s">
        <v>1576</v>
      </c>
      <c r="D138" s="2405">
        <f>[8]felhalmozás!D141</f>
        <v>15</v>
      </c>
    </row>
    <row r="139" spans="2:4" ht="33.75" customHeight="1" thickBot="1" x14ac:dyDescent="0.4">
      <c r="B139" s="2549"/>
      <c r="C139" s="2550" t="s">
        <v>1577</v>
      </c>
      <c r="D139" s="2515">
        <f>[8]felhalmozás!D142</f>
        <v>50</v>
      </c>
    </row>
    <row r="140" spans="2:4" ht="33.75" customHeight="1" thickBot="1" x14ac:dyDescent="0.45">
      <c r="B140" s="2433" t="s">
        <v>1333</v>
      </c>
      <c r="C140" s="2423"/>
      <c r="D140" s="2416">
        <f>SUM(D125:D139)</f>
        <v>9191.2489999999998</v>
      </c>
    </row>
    <row r="141" spans="2:4" ht="33.75" customHeight="1" x14ac:dyDescent="0.35">
      <c r="B141" s="2547" t="s">
        <v>1332</v>
      </c>
      <c r="C141" s="2551" t="s">
        <v>1578</v>
      </c>
      <c r="D141" s="2408">
        <f>[8]felhalmozás!D144</f>
        <v>74.989999999999995</v>
      </c>
    </row>
    <row r="142" spans="2:4" ht="33.75" customHeight="1" x14ac:dyDescent="0.35">
      <c r="B142" s="2548"/>
      <c r="C142" s="2544" t="s">
        <v>1579</v>
      </c>
      <c r="D142" s="2405">
        <f>[8]felhalmozás!D145</f>
        <v>832.48500000000001</v>
      </c>
    </row>
    <row r="143" spans="2:4" ht="33.75" customHeight="1" x14ac:dyDescent="0.35">
      <c r="B143" s="2542"/>
      <c r="C143" s="2432" t="s">
        <v>1580</v>
      </c>
      <c r="D143" s="2405">
        <f>[8]felhalmozás!D146</f>
        <v>180.08799999999999</v>
      </c>
    </row>
    <row r="144" spans="2:4" ht="33.75" customHeight="1" x14ac:dyDescent="0.35">
      <c r="B144" s="2542"/>
      <c r="C144" s="2432" t="s">
        <v>1581</v>
      </c>
      <c r="D144" s="2405">
        <f>[8]felhalmozás!D147</f>
        <v>193.80199999999999</v>
      </c>
    </row>
    <row r="145" spans="2:8" ht="33.75" customHeight="1" x14ac:dyDescent="0.35">
      <c r="B145" s="2542"/>
      <c r="C145" s="2432" t="s">
        <v>1582</v>
      </c>
      <c r="D145" s="2405">
        <f>[8]felhalmozás!D148</f>
        <v>277.495</v>
      </c>
    </row>
    <row r="146" spans="2:8" ht="33.75" customHeight="1" x14ac:dyDescent="0.35">
      <c r="B146" s="2542"/>
      <c r="C146" s="2432" t="s">
        <v>1583</v>
      </c>
      <c r="D146" s="2405">
        <f>[8]felhalmozás!D149</f>
        <v>800</v>
      </c>
      <c r="H146" s="2381"/>
    </row>
    <row r="147" spans="2:8" ht="33.75" customHeight="1" x14ac:dyDescent="0.35">
      <c r="B147" s="2542"/>
      <c r="C147" s="2432" t="s">
        <v>1584</v>
      </c>
      <c r="D147" s="2405">
        <f>[8]felhalmozás!D150</f>
        <v>6000</v>
      </c>
    </row>
    <row r="148" spans="2:8" ht="33.75" customHeight="1" x14ac:dyDescent="0.35">
      <c r="B148" s="2542"/>
      <c r="C148" s="2432" t="s">
        <v>1585</v>
      </c>
      <c r="D148" s="2405">
        <f>[8]felhalmozás!D151</f>
        <v>345.32900000000001</v>
      </c>
    </row>
    <row r="149" spans="2:8" ht="33.75" customHeight="1" x14ac:dyDescent="0.35">
      <c r="B149" s="2542"/>
      <c r="C149" s="2432" t="s">
        <v>1586</v>
      </c>
      <c r="D149" s="2405">
        <f>[8]felhalmozás!D152</f>
        <v>736.6</v>
      </c>
    </row>
    <row r="150" spans="2:8" ht="33.75" customHeight="1" x14ac:dyDescent="0.35">
      <c r="B150" s="2542"/>
      <c r="C150" s="2432" t="s">
        <v>1587</v>
      </c>
      <c r="D150" s="2405">
        <f>[8]felhalmozás!D153</f>
        <v>1894.211</v>
      </c>
    </row>
    <row r="151" spans="2:8" ht="33.75" customHeight="1" x14ac:dyDescent="0.35">
      <c r="B151" s="2542"/>
      <c r="C151" s="2432" t="s">
        <v>1588</v>
      </c>
      <c r="D151" s="2405">
        <f>[8]felhalmozás!D154</f>
        <v>105.788</v>
      </c>
    </row>
    <row r="152" spans="2:8" ht="33.75" customHeight="1" x14ac:dyDescent="0.35">
      <c r="B152" s="2542"/>
      <c r="C152" s="2432" t="s">
        <v>1589</v>
      </c>
      <c r="D152" s="2405">
        <f>[8]felhalmozás!D155</f>
        <v>396.43</v>
      </c>
    </row>
    <row r="153" spans="2:8" ht="33.75" customHeight="1" x14ac:dyDescent="0.35">
      <c r="B153" s="2542"/>
      <c r="C153" s="2432" t="s">
        <v>1590</v>
      </c>
      <c r="D153" s="2405">
        <f>[8]felhalmozás!D156</f>
        <v>319.89999999999998</v>
      </c>
    </row>
    <row r="154" spans="2:8" ht="33.75" customHeight="1" x14ac:dyDescent="0.35">
      <c r="B154" s="2542"/>
      <c r="C154" s="2432" t="s">
        <v>1591</v>
      </c>
      <c r="D154" s="2405">
        <f>[8]felhalmozás!D157</f>
        <v>5905.5</v>
      </c>
    </row>
    <row r="155" spans="2:8" ht="33.75" customHeight="1" x14ac:dyDescent="0.35">
      <c r="B155" s="2542"/>
      <c r="C155" s="2432" t="s">
        <v>1592</v>
      </c>
      <c r="D155" s="2405">
        <f>[8]felhalmozás!D158</f>
        <v>8735.06</v>
      </c>
    </row>
    <row r="156" spans="2:8" ht="33.75" customHeight="1" x14ac:dyDescent="0.35">
      <c r="B156" s="2542"/>
      <c r="C156" s="2432" t="s">
        <v>1593</v>
      </c>
      <c r="D156" s="2405">
        <f>[8]felhalmozás!D159</f>
        <v>476.25</v>
      </c>
    </row>
    <row r="157" spans="2:8" ht="33.75" customHeight="1" x14ac:dyDescent="0.35">
      <c r="B157" s="2542"/>
      <c r="C157" s="2432" t="s">
        <v>1594</v>
      </c>
      <c r="D157" s="2405">
        <f>[8]felhalmozás!D160</f>
        <v>159.999</v>
      </c>
    </row>
    <row r="158" spans="2:8" ht="33.75" customHeight="1" x14ac:dyDescent="0.35">
      <c r="B158" s="2542"/>
      <c r="C158" s="2432" t="s">
        <v>1595</v>
      </c>
      <c r="D158" s="2405">
        <f>[8]felhalmozás!D161</f>
        <v>99.9</v>
      </c>
    </row>
    <row r="159" spans="2:8" ht="33.75" customHeight="1" x14ac:dyDescent="0.35">
      <c r="B159" s="2542"/>
      <c r="C159" s="2432" t="s">
        <v>1596</v>
      </c>
      <c r="D159" s="2405">
        <f>[8]felhalmozás!D162</f>
        <v>122.56</v>
      </c>
    </row>
    <row r="160" spans="2:8" ht="33.75" customHeight="1" x14ac:dyDescent="0.35">
      <c r="B160" s="2542"/>
      <c r="C160" s="2432" t="s">
        <v>1597</v>
      </c>
      <c r="D160" s="2405">
        <f>[8]felhalmozás!D163</f>
        <v>238.952</v>
      </c>
    </row>
    <row r="161" spans="2:4" ht="33.75" customHeight="1" x14ac:dyDescent="0.35">
      <c r="B161" s="2542"/>
      <c r="C161" s="2432" t="s">
        <v>1598</v>
      </c>
      <c r="D161" s="2405">
        <f>[8]felhalmozás!D164</f>
        <v>61.588999999999999</v>
      </c>
    </row>
    <row r="162" spans="2:4" ht="33.75" customHeight="1" x14ac:dyDescent="0.35">
      <c r="B162" s="2542"/>
      <c r="C162" s="2432" t="s">
        <v>1599</v>
      </c>
      <c r="D162" s="2405">
        <f>[8]felhalmozás!D165</f>
        <v>75</v>
      </c>
    </row>
    <row r="163" spans="2:4" ht="33.75" customHeight="1" x14ac:dyDescent="0.35">
      <c r="B163" s="2542"/>
      <c r="C163" s="2432" t="s">
        <v>1600</v>
      </c>
      <c r="D163" s="2405">
        <f>[8]felhalmozás!D166</f>
        <v>154.16999999999999</v>
      </c>
    </row>
    <row r="164" spans="2:4" ht="51" x14ac:dyDescent="0.35">
      <c r="B164" s="2542"/>
      <c r="C164" s="2430" t="s">
        <v>1601</v>
      </c>
      <c r="D164" s="2405">
        <f>[8]felhalmozás!D167</f>
        <v>99.21</v>
      </c>
    </row>
    <row r="165" spans="2:4" ht="33.75" customHeight="1" x14ac:dyDescent="0.35">
      <c r="B165" s="2542"/>
      <c r="C165" s="2432" t="s">
        <v>1602</v>
      </c>
      <c r="D165" s="2405">
        <f>[8]felhalmozás!D168</f>
        <v>86.3</v>
      </c>
    </row>
    <row r="166" spans="2:4" ht="33.75" customHeight="1" x14ac:dyDescent="0.35">
      <c r="B166" s="2542"/>
      <c r="C166" s="2432" t="s">
        <v>1603</v>
      </c>
      <c r="D166" s="2405">
        <f>[8]felhalmozás!D169</f>
        <v>114.706</v>
      </c>
    </row>
    <row r="167" spans="2:4" ht="33.75" customHeight="1" x14ac:dyDescent="0.35">
      <c r="B167" s="2542"/>
      <c r="C167" s="2432" t="s">
        <v>1604</v>
      </c>
      <c r="D167" s="2405">
        <f>[8]felhalmozás!D170</f>
        <v>120</v>
      </c>
    </row>
    <row r="168" spans="2:4" ht="33.75" customHeight="1" x14ac:dyDescent="0.35">
      <c r="B168" s="2542"/>
      <c r="C168" s="2432" t="s">
        <v>1605</v>
      </c>
      <c r="D168" s="2405">
        <f>[8]felhalmozás!D171</f>
        <v>57.581000000000003</v>
      </c>
    </row>
    <row r="169" spans="2:4" ht="33.75" customHeight="1" x14ac:dyDescent="0.35">
      <c r="B169" s="2542"/>
      <c r="C169" s="2432" t="s">
        <v>1606</v>
      </c>
      <c r="D169" s="2405">
        <f>[8]felhalmozás!D172</f>
        <v>208.7</v>
      </c>
    </row>
    <row r="170" spans="2:4" ht="51.75" thickBot="1" x14ac:dyDescent="0.4">
      <c r="B170" s="2552"/>
      <c r="C170" s="2533" t="s">
        <v>1607</v>
      </c>
      <c r="D170" s="2515">
        <f>[8]felhalmozás!D173</f>
        <v>276.142</v>
      </c>
    </row>
    <row r="171" spans="2:4" ht="33.75" customHeight="1" thickBot="1" x14ac:dyDescent="0.45">
      <c r="B171" s="2433" t="s">
        <v>1333</v>
      </c>
      <c r="C171" s="2553"/>
      <c r="D171" s="2416">
        <f>SUM(D141:D170)</f>
        <v>29148.736999999997</v>
      </c>
    </row>
    <row r="172" spans="2:4" s="2380" customFormat="1" ht="33.75" customHeight="1" thickBot="1" x14ac:dyDescent="0.45">
      <c r="B172" s="2433" t="s">
        <v>1608</v>
      </c>
      <c r="C172" s="2536"/>
      <c r="D172" s="2416">
        <f>D103+D108+D124+D140+D171</f>
        <v>58017.08</v>
      </c>
    </row>
    <row r="173" spans="2:4" ht="33.75" customHeight="1" thickBot="1" x14ac:dyDescent="0.45">
      <c r="B173" s="2422" t="s">
        <v>1334</v>
      </c>
      <c r="C173" s="2536"/>
      <c r="D173" s="2410"/>
    </row>
    <row r="174" spans="2:4" ht="51" x14ac:dyDescent="0.35">
      <c r="B174" s="2439" t="s">
        <v>1335</v>
      </c>
      <c r="C174" s="2431" t="s">
        <v>1609</v>
      </c>
      <c r="D174" s="2554">
        <f>[8]felhalmozás!D177</f>
        <v>762</v>
      </c>
    </row>
    <row r="175" spans="2:4" ht="33.75" customHeight="1" x14ac:dyDescent="0.35">
      <c r="B175" s="2426"/>
      <c r="C175" s="2427" t="s">
        <v>1610</v>
      </c>
      <c r="D175" s="2405">
        <f>[8]felhalmozás!D178</f>
        <v>2219.7060000000001</v>
      </c>
    </row>
    <row r="176" spans="2:4" ht="33.75" customHeight="1" x14ac:dyDescent="0.35">
      <c r="B176" s="2426"/>
      <c r="C176" s="2427" t="s">
        <v>1611</v>
      </c>
      <c r="D176" s="2405">
        <f>[8]felhalmozás!D179</f>
        <v>226.31399999999999</v>
      </c>
    </row>
    <row r="177" spans="2:4" ht="51" x14ac:dyDescent="0.35">
      <c r="B177" s="2426"/>
      <c r="C177" s="2429" t="s">
        <v>1612</v>
      </c>
      <c r="D177" s="2405">
        <f>[8]felhalmozás!D180</f>
        <v>6085.5860000000002</v>
      </c>
    </row>
    <row r="178" spans="2:4" ht="34.5" customHeight="1" x14ac:dyDescent="0.35">
      <c r="B178" s="2426"/>
      <c r="C178" s="2429" t="s">
        <v>1613</v>
      </c>
      <c r="D178" s="2405">
        <f>[8]felhalmozás!D181</f>
        <v>19.177</v>
      </c>
    </row>
    <row r="179" spans="2:4" ht="34.5" customHeight="1" x14ac:dyDescent="0.35">
      <c r="B179" s="2426"/>
      <c r="C179" s="2429" t="s">
        <v>1614</v>
      </c>
      <c r="D179" s="2405">
        <f>[8]felhalmozás!D182</f>
        <v>175.26</v>
      </c>
    </row>
    <row r="180" spans="2:4" ht="34.5" customHeight="1" x14ac:dyDescent="0.35">
      <c r="B180" s="2426"/>
      <c r="C180" s="2429" t="s">
        <v>1615</v>
      </c>
      <c r="D180" s="2405">
        <f>[8]felhalmozás!D183</f>
        <v>460.464</v>
      </c>
    </row>
    <row r="181" spans="2:4" ht="33.75" customHeight="1" x14ac:dyDescent="0.35">
      <c r="B181" s="2426"/>
      <c r="C181" s="2427" t="s">
        <v>1616</v>
      </c>
      <c r="D181" s="2405">
        <f>[8]felhalmozás!D184</f>
        <v>1365.25</v>
      </c>
    </row>
    <row r="182" spans="2:4" ht="33.75" customHeight="1" x14ac:dyDescent="0.35">
      <c r="B182" s="2426"/>
      <c r="C182" s="2427" t="s">
        <v>1617</v>
      </c>
      <c r="D182" s="2405">
        <f>[8]felhalmozás!D185</f>
        <v>2699.0450000000001</v>
      </c>
    </row>
    <row r="183" spans="2:4" ht="51" x14ac:dyDescent="0.35">
      <c r="B183" s="2426"/>
      <c r="C183" s="2429" t="s">
        <v>1618</v>
      </c>
      <c r="D183" s="2405">
        <f>[8]felhalmozás!D186</f>
        <v>5606.76</v>
      </c>
    </row>
    <row r="184" spans="2:4" ht="33.75" customHeight="1" x14ac:dyDescent="0.35">
      <c r="B184" s="2426"/>
      <c r="C184" s="2429" t="s">
        <v>1619</v>
      </c>
      <c r="D184" s="2405">
        <f>[8]felhalmozás!D187</f>
        <v>68.706999999999994</v>
      </c>
    </row>
    <row r="185" spans="2:4" ht="33.75" customHeight="1" x14ac:dyDescent="0.35">
      <c r="B185" s="2426"/>
      <c r="C185" s="2429" t="s">
        <v>1620</v>
      </c>
      <c r="D185" s="2405">
        <f>[8]felhalmozás!D188</f>
        <v>285.75</v>
      </c>
    </row>
    <row r="186" spans="2:4" ht="33.75" customHeight="1" x14ac:dyDescent="0.35">
      <c r="B186" s="2426"/>
      <c r="C186" s="2429" t="s">
        <v>1621</v>
      </c>
      <c r="D186" s="2405">
        <f>[8]felhalmozás!D189</f>
        <v>12081.688</v>
      </c>
    </row>
    <row r="187" spans="2:4" ht="33.75" customHeight="1" x14ac:dyDescent="0.35">
      <c r="B187" s="2426"/>
      <c r="C187" s="2429" t="s">
        <v>1622</v>
      </c>
      <c r="D187" s="2405">
        <f>[8]felhalmozás!D190</f>
        <v>2324.54</v>
      </c>
    </row>
    <row r="188" spans="2:4" ht="33.75" customHeight="1" x14ac:dyDescent="0.35">
      <c r="B188" s="2426"/>
      <c r="C188" s="2429" t="s">
        <v>1623</v>
      </c>
      <c r="D188" s="2405">
        <f>[8]felhalmozás!D191</f>
        <v>2419.0790000000002</v>
      </c>
    </row>
    <row r="189" spans="2:4" ht="33.75" customHeight="1" x14ac:dyDescent="0.35">
      <c r="B189" s="2426"/>
      <c r="C189" s="2429" t="s">
        <v>1624</v>
      </c>
      <c r="D189" s="2405">
        <f>[8]felhalmozás!D192</f>
        <v>991.87</v>
      </c>
    </row>
    <row r="190" spans="2:4" ht="33.75" customHeight="1" x14ac:dyDescent="0.35">
      <c r="B190" s="2426"/>
      <c r="C190" s="2429" t="s">
        <v>1625</v>
      </c>
      <c r="D190" s="2405">
        <f>[8]felhalmozás!D193</f>
        <v>267.584</v>
      </c>
    </row>
    <row r="191" spans="2:4" ht="33.75" customHeight="1" x14ac:dyDescent="0.35">
      <c r="B191" s="2426"/>
      <c r="C191" s="2429" t="s">
        <v>1626</v>
      </c>
      <c r="D191" s="2405">
        <f>[8]felhalmozás!D194</f>
        <v>772.46900000000005</v>
      </c>
    </row>
    <row r="192" spans="2:4" ht="33.75" customHeight="1" x14ac:dyDescent="0.35">
      <c r="B192" s="2426"/>
      <c r="C192" s="2429" t="s">
        <v>1627</v>
      </c>
      <c r="D192" s="2405">
        <f>[8]felhalmozás!D195</f>
        <v>227.25</v>
      </c>
    </row>
    <row r="193" spans="2:4" ht="33.75" customHeight="1" x14ac:dyDescent="0.35">
      <c r="B193" s="2426"/>
      <c r="C193" s="2429" t="s">
        <v>1628</v>
      </c>
      <c r="D193" s="2405">
        <f>[8]felhalmozás!D196</f>
        <v>131.99</v>
      </c>
    </row>
    <row r="194" spans="2:4" ht="33.75" customHeight="1" x14ac:dyDescent="0.35">
      <c r="B194" s="2426"/>
      <c r="C194" s="2429" t="s">
        <v>1629</v>
      </c>
      <c r="D194" s="2405">
        <f>[8]felhalmozás!D197</f>
        <v>135.9</v>
      </c>
    </row>
    <row r="195" spans="2:4" ht="33.75" customHeight="1" x14ac:dyDescent="0.35">
      <c r="B195" s="2426"/>
      <c r="C195" s="2429" t="s">
        <v>1630</v>
      </c>
      <c r="D195" s="2405">
        <f>[8]felhalmozás!D198</f>
        <v>114.99</v>
      </c>
    </row>
    <row r="196" spans="2:4" ht="51.75" thickBot="1" x14ac:dyDescent="0.4">
      <c r="B196" s="2426"/>
      <c r="C196" s="2429" t="s">
        <v>1631</v>
      </c>
      <c r="D196" s="2405">
        <f>[8]felhalmozás!D199</f>
        <v>634.71799999999996</v>
      </c>
    </row>
    <row r="197" spans="2:4" ht="33.75" customHeight="1" thickBot="1" x14ac:dyDescent="0.45">
      <c r="B197" s="2433" t="s">
        <v>1333</v>
      </c>
      <c r="C197" s="2536"/>
      <c r="D197" s="2416">
        <f>SUM(D174:D196)</f>
        <v>40076.096999999994</v>
      </c>
    </row>
    <row r="198" spans="2:4" ht="33.75" customHeight="1" thickBot="1" x14ac:dyDescent="0.45">
      <c r="B198" s="2422" t="s">
        <v>1336</v>
      </c>
      <c r="C198" s="2536"/>
      <c r="D198" s="2410"/>
    </row>
    <row r="199" spans="2:4" ht="33.75" customHeight="1" x14ac:dyDescent="0.35">
      <c r="B199" s="2555" t="s">
        <v>1632</v>
      </c>
      <c r="C199" s="2425" t="s">
        <v>1633</v>
      </c>
      <c r="D199" s="2405">
        <f>[8]felhalmozás!D202</f>
        <v>2162</v>
      </c>
    </row>
    <row r="200" spans="2:4" ht="33.75" customHeight="1" x14ac:dyDescent="0.35">
      <c r="B200" s="2555" t="s">
        <v>1634</v>
      </c>
      <c r="C200" s="2427" t="s">
        <v>1635</v>
      </c>
      <c r="D200" s="2405">
        <f>[8]felhalmozás!D203</f>
        <v>2216</v>
      </c>
    </row>
    <row r="201" spans="2:4" ht="33.75" customHeight="1" x14ac:dyDescent="0.35">
      <c r="B201" s="2426"/>
      <c r="C201" s="2427" t="s">
        <v>1636</v>
      </c>
      <c r="D201" s="2405">
        <f>[8]felhalmozás!D204</f>
        <v>2069</v>
      </c>
    </row>
    <row r="202" spans="2:4" ht="33.75" customHeight="1" x14ac:dyDescent="0.35">
      <c r="B202" s="2426"/>
      <c r="C202" s="2427" t="s">
        <v>1637</v>
      </c>
      <c r="D202" s="2405">
        <f>[8]felhalmozás!D205</f>
        <v>419</v>
      </c>
    </row>
    <row r="203" spans="2:4" ht="33.75" customHeight="1" x14ac:dyDescent="0.35">
      <c r="B203" s="2426"/>
      <c r="C203" s="2427" t="s">
        <v>1638</v>
      </c>
      <c r="D203" s="2405">
        <f>[8]felhalmozás!D206</f>
        <v>4697</v>
      </c>
    </row>
    <row r="204" spans="2:4" ht="33.75" customHeight="1" x14ac:dyDescent="0.35">
      <c r="B204" s="2426"/>
      <c r="C204" s="2427" t="s">
        <v>1639</v>
      </c>
      <c r="D204" s="2405">
        <f>[8]felhalmozás!D207</f>
        <v>3762</v>
      </c>
    </row>
    <row r="205" spans="2:4" ht="33.75" customHeight="1" x14ac:dyDescent="0.35">
      <c r="B205" s="2426"/>
      <c r="C205" s="2427" t="s">
        <v>1640</v>
      </c>
      <c r="D205" s="2405">
        <f>[8]felhalmozás!D208</f>
        <v>560</v>
      </c>
    </row>
    <row r="206" spans="2:4" ht="33.75" customHeight="1" thickBot="1" x14ac:dyDescent="0.4">
      <c r="B206" s="2426"/>
      <c r="C206" s="2427" t="s">
        <v>1641</v>
      </c>
      <c r="D206" s="2515">
        <f>[8]felhalmozás!D209</f>
        <v>520</v>
      </c>
    </row>
    <row r="207" spans="2:4" s="2380" customFormat="1" ht="33.75" customHeight="1" thickBot="1" x14ac:dyDescent="0.45">
      <c r="B207" s="2433" t="s">
        <v>1333</v>
      </c>
      <c r="C207" s="2536"/>
      <c r="D207" s="2416">
        <f>SUM(D199:D206)</f>
        <v>16405</v>
      </c>
    </row>
    <row r="208" spans="2:4" ht="33.75" customHeight="1" thickBot="1" x14ac:dyDescent="0.45">
      <c r="B208" s="2422" t="s">
        <v>1338</v>
      </c>
      <c r="C208" s="2536"/>
      <c r="D208" s="2410"/>
    </row>
    <row r="209" spans="2:4" ht="33.75" customHeight="1" x14ac:dyDescent="0.35">
      <c r="B209" s="2428" t="s">
        <v>1339</v>
      </c>
      <c r="C209" s="2544"/>
      <c r="D209" s="2412"/>
    </row>
    <row r="210" spans="2:4" ht="33.75" customHeight="1" x14ac:dyDescent="0.35">
      <c r="B210" s="2556" t="s">
        <v>1642</v>
      </c>
      <c r="C210" s="2425" t="s">
        <v>1643</v>
      </c>
      <c r="D210" s="2405">
        <f>[8]felhalmozás!D213</f>
        <v>263</v>
      </c>
    </row>
    <row r="211" spans="2:4" ht="33.75" customHeight="1" x14ac:dyDescent="0.35">
      <c r="B211" s="2557"/>
      <c r="C211" s="2427" t="s">
        <v>1644</v>
      </c>
      <c r="D211" s="2405">
        <f>[8]felhalmozás!D214</f>
        <v>69</v>
      </c>
    </row>
    <row r="212" spans="2:4" ht="33.75" customHeight="1" thickBot="1" x14ac:dyDescent="0.4">
      <c r="B212" s="2557"/>
      <c r="C212" s="2427" t="s">
        <v>1645</v>
      </c>
      <c r="D212" s="2406">
        <f>[8]felhalmozás!D215</f>
        <v>32</v>
      </c>
    </row>
    <row r="213" spans="2:4" ht="33.75" customHeight="1" x14ac:dyDescent="0.35">
      <c r="B213" s="2556" t="s">
        <v>1646</v>
      </c>
      <c r="C213" s="2419" t="s">
        <v>1647</v>
      </c>
      <c r="D213" s="2408">
        <f>[8]felhalmozás!D216</f>
        <v>431</v>
      </c>
    </row>
    <row r="214" spans="2:4" ht="33.75" customHeight="1" x14ac:dyDescent="0.35">
      <c r="B214" s="2556"/>
      <c r="C214" s="2420" t="s">
        <v>1648</v>
      </c>
      <c r="D214" s="2413">
        <f>[8]felhalmozás!D217</f>
        <v>31</v>
      </c>
    </row>
    <row r="215" spans="2:4" ht="33.75" customHeight="1" x14ac:dyDescent="0.35">
      <c r="B215" s="2556"/>
      <c r="C215" s="2420" t="s">
        <v>1649</v>
      </c>
      <c r="D215" s="2413">
        <f>[8]felhalmozás!D218</f>
        <v>111</v>
      </c>
    </row>
    <row r="216" spans="2:4" ht="33.75" customHeight="1" x14ac:dyDescent="0.35">
      <c r="B216" s="2556"/>
      <c r="C216" s="2558" t="s">
        <v>1650</v>
      </c>
      <c r="D216" s="2413">
        <f>[8]felhalmozás!D219</f>
        <v>179</v>
      </c>
    </row>
    <row r="217" spans="2:4" ht="33.75" customHeight="1" thickBot="1" x14ac:dyDescent="0.4">
      <c r="B217" s="2557"/>
      <c r="C217" s="2559" t="s">
        <v>1651</v>
      </c>
      <c r="D217" s="2412">
        <f>[8]felhalmozás!D220</f>
        <v>7219</v>
      </c>
    </row>
    <row r="218" spans="2:4" ht="33.75" customHeight="1" x14ac:dyDescent="0.35">
      <c r="B218" s="2556" t="s">
        <v>1652</v>
      </c>
      <c r="C218" s="2551" t="s">
        <v>1653</v>
      </c>
      <c r="D218" s="2408">
        <f>[8]felhalmozás!D221</f>
        <v>73</v>
      </c>
    </row>
    <row r="219" spans="2:4" ht="33.75" customHeight="1" x14ac:dyDescent="0.35">
      <c r="B219" s="2556" t="s">
        <v>1654</v>
      </c>
      <c r="C219" s="2560" t="s">
        <v>1655</v>
      </c>
      <c r="D219" s="2405">
        <f>[8]felhalmozás!D222</f>
        <v>1874</v>
      </c>
    </row>
    <row r="220" spans="2:4" ht="33.75" customHeight="1" x14ac:dyDescent="0.35">
      <c r="B220" s="2557"/>
      <c r="C220" s="2560" t="s">
        <v>1656</v>
      </c>
      <c r="D220" s="2405">
        <f>[8]felhalmozás!D223</f>
        <v>66</v>
      </c>
    </row>
    <row r="221" spans="2:4" ht="33.75" customHeight="1" x14ac:dyDescent="0.35">
      <c r="B221" s="2557"/>
      <c r="C221" s="2560" t="s">
        <v>1657</v>
      </c>
      <c r="D221" s="2405">
        <f>[8]felhalmozás!D224</f>
        <v>570</v>
      </c>
    </row>
    <row r="222" spans="2:4" ht="33.75" customHeight="1" x14ac:dyDescent="0.35">
      <c r="B222" s="2557"/>
      <c r="C222" s="2560" t="s">
        <v>1658</v>
      </c>
      <c r="D222" s="2405">
        <f>[8]felhalmozás!D225</f>
        <v>132</v>
      </c>
    </row>
    <row r="223" spans="2:4" ht="33.75" customHeight="1" x14ac:dyDescent="0.35">
      <c r="B223" s="2557"/>
      <c r="C223" s="2560" t="s">
        <v>1659</v>
      </c>
      <c r="D223" s="2405">
        <f>[8]felhalmozás!D226</f>
        <v>22</v>
      </c>
    </row>
    <row r="224" spans="2:4" ht="33.75" customHeight="1" x14ac:dyDescent="0.35">
      <c r="B224" s="2557"/>
      <c r="C224" s="2560" t="s">
        <v>1660</v>
      </c>
      <c r="D224" s="2405">
        <f>[8]felhalmozás!D227</f>
        <v>84</v>
      </c>
    </row>
    <row r="225" spans="2:4" ht="33.75" customHeight="1" x14ac:dyDescent="0.35">
      <c r="B225" s="2557"/>
      <c r="C225" s="2420" t="s">
        <v>1661</v>
      </c>
      <c r="D225" s="2405">
        <f>[8]felhalmozás!D228</f>
        <v>170</v>
      </c>
    </row>
    <row r="226" spans="2:4" ht="33.75" customHeight="1" thickBot="1" x14ac:dyDescent="0.4">
      <c r="B226" s="2556"/>
      <c r="C226" s="2560" t="s">
        <v>1662</v>
      </c>
      <c r="D226" s="2515">
        <f>[8]felhalmozás!D229</f>
        <v>61</v>
      </c>
    </row>
    <row r="227" spans="2:4" ht="33.75" customHeight="1" x14ac:dyDescent="0.35">
      <c r="B227" s="2556" t="s">
        <v>1663</v>
      </c>
      <c r="C227" s="2551" t="s">
        <v>1664</v>
      </c>
      <c r="D227" s="2408">
        <f>[8]felhalmozás!D230</f>
        <v>467</v>
      </c>
    </row>
    <row r="228" spans="2:4" ht="33.75" customHeight="1" x14ac:dyDescent="0.35">
      <c r="B228" s="2557"/>
      <c r="C228" s="2560" t="s">
        <v>1665</v>
      </c>
      <c r="D228" s="2405">
        <f>[8]felhalmozás!D231</f>
        <v>80</v>
      </c>
    </row>
    <row r="229" spans="2:4" ht="33.75" customHeight="1" x14ac:dyDescent="0.35">
      <c r="B229" s="2557"/>
      <c r="C229" s="2560" t="s">
        <v>1666</v>
      </c>
      <c r="D229" s="2405">
        <f>[8]felhalmozás!D232</f>
        <v>850</v>
      </c>
    </row>
    <row r="230" spans="2:4" ht="33.75" customHeight="1" x14ac:dyDescent="0.35">
      <c r="B230" s="2557"/>
      <c r="C230" s="2560" t="s">
        <v>1667</v>
      </c>
      <c r="D230" s="2405">
        <f>[8]felhalmozás!D233</f>
        <v>191</v>
      </c>
    </row>
    <row r="231" spans="2:4" ht="33.75" customHeight="1" x14ac:dyDescent="0.35">
      <c r="B231" s="2557"/>
      <c r="C231" s="2560" t="s">
        <v>1668</v>
      </c>
      <c r="D231" s="2413">
        <f>[8]felhalmozás!D234</f>
        <v>5</v>
      </c>
    </row>
    <row r="232" spans="2:4" ht="33.75" customHeight="1" thickBot="1" x14ac:dyDescent="0.4">
      <c r="B232" s="2557"/>
      <c r="C232" s="2560" t="s">
        <v>1669</v>
      </c>
      <c r="D232" s="2406">
        <f>[8]felhalmozás!D235</f>
        <v>140</v>
      </c>
    </row>
    <row r="233" spans="2:4" ht="33.75" customHeight="1" x14ac:dyDescent="0.35">
      <c r="B233" s="2556" t="s">
        <v>1670</v>
      </c>
      <c r="C233" s="2419" t="s">
        <v>1665</v>
      </c>
      <c r="D233" s="2405">
        <f>[8]felhalmozás!D236</f>
        <v>23</v>
      </c>
    </row>
    <row r="234" spans="2:4" ht="33.75" customHeight="1" x14ac:dyDescent="0.35">
      <c r="B234" s="2556"/>
      <c r="C234" s="2560" t="s">
        <v>1656</v>
      </c>
      <c r="D234" s="2405">
        <f>[8]felhalmozás!D237</f>
        <v>66</v>
      </c>
    </row>
    <row r="235" spans="2:4" ht="33.75" customHeight="1" x14ac:dyDescent="0.35">
      <c r="B235" s="2556"/>
      <c r="C235" s="2560" t="s">
        <v>1671</v>
      </c>
      <c r="D235" s="2413">
        <f>[8]felhalmozás!D238</f>
        <v>10</v>
      </c>
    </row>
    <row r="236" spans="2:4" ht="33.75" customHeight="1" thickBot="1" x14ac:dyDescent="0.4">
      <c r="B236" s="2557"/>
      <c r="C236" s="2560" t="s">
        <v>1672</v>
      </c>
      <c r="D236" s="2412">
        <f>[8]felhalmozás!D239</f>
        <v>95</v>
      </c>
    </row>
    <row r="237" spans="2:4" ht="33.75" customHeight="1" x14ac:dyDescent="0.35">
      <c r="B237" s="2556" t="s">
        <v>1673</v>
      </c>
      <c r="C237" s="2419" t="s">
        <v>1665</v>
      </c>
      <c r="D237" s="2408">
        <f>[8]felhalmozás!D240</f>
        <v>86</v>
      </c>
    </row>
    <row r="238" spans="2:4" ht="33.75" customHeight="1" x14ac:dyDescent="0.35">
      <c r="B238" s="2557"/>
      <c r="C238" s="2560" t="s">
        <v>1674</v>
      </c>
      <c r="D238" s="2405">
        <f>[8]felhalmozás!D241</f>
        <v>54</v>
      </c>
    </row>
    <row r="239" spans="2:4" ht="33.75" customHeight="1" x14ac:dyDescent="0.35">
      <c r="B239" s="2557"/>
      <c r="C239" s="2420" t="s">
        <v>1675</v>
      </c>
      <c r="D239" s="2413">
        <f>[8]felhalmozás!D242</f>
        <v>59</v>
      </c>
    </row>
    <row r="240" spans="2:4" ht="33.75" customHeight="1" x14ac:dyDescent="0.35">
      <c r="B240" s="2557"/>
      <c r="C240" s="2560" t="s">
        <v>1676</v>
      </c>
      <c r="D240" s="2413">
        <f>[8]felhalmozás!D243</f>
        <v>958</v>
      </c>
    </row>
    <row r="241" spans="2:5" ht="33.75" customHeight="1" x14ac:dyDescent="0.35">
      <c r="B241" s="2557"/>
      <c r="C241" s="2560" t="s">
        <v>1677</v>
      </c>
      <c r="D241" s="2413">
        <f>[8]felhalmozás!D244</f>
        <v>134</v>
      </c>
    </row>
    <row r="242" spans="2:5" ht="33.75" customHeight="1" x14ac:dyDescent="0.35">
      <c r="B242" s="2557"/>
      <c r="C242" s="2560" t="s">
        <v>1678</v>
      </c>
      <c r="D242" s="2413">
        <f>[8]felhalmozás!D245</f>
        <v>27</v>
      </c>
    </row>
    <row r="243" spans="2:5" ht="33.75" customHeight="1" x14ac:dyDescent="0.35">
      <c r="B243" s="2557"/>
      <c r="C243" s="2560" t="s">
        <v>1679</v>
      </c>
      <c r="D243" s="2413">
        <f>[8]felhalmozás!D246</f>
        <v>80</v>
      </c>
    </row>
    <row r="244" spans="2:5" ht="33.75" customHeight="1" x14ac:dyDescent="0.35">
      <c r="B244" s="2557"/>
      <c r="C244" s="2560" t="s">
        <v>1680</v>
      </c>
      <c r="D244" s="2413">
        <f>[8]felhalmozás!D247</f>
        <v>48</v>
      </c>
    </row>
    <row r="245" spans="2:5" ht="33.75" customHeight="1" thickBot="1" x14ac:dyDescent="0.4">
      <c r="B245" s="2557"/>
      <c r="C245" s="2420" t="s">
        <v>1681</v>
      </c>
      <c r="D245" s="2515">
        <f>[8]felhalmozás!D248</f>
        <v>908</v>
      </c>
    </row>
    <row r="246" spans="2:5" ht="33.75" customHeight="1" x14ac:dyDescent="0.35">
      <c r="B246" s="2556" t="s">
        <v>1682</v>
      </c>
      <c r="C246" s="2419" t="s">
        <v>1665</v>
      </c>
      <c r="D246" s="2408">
        <f>[8]felhalmozás!D249</f>
        <v>23</v>
      </c>
    </row>
    <row r="247" spans="2:5" ht="33.75" customHeight="1" x14ac:dyDescent="0.35">
      <c r="B247" s="2556"/>
      <c r="C247" s="2420" t="s">
        <v>1683</v>
      </c>
      <c r="D247" s="2413">
        <f>[8]felhalmozás!D250</f>
        <v>10</v>
      </c>
    </row>
    <row r="248" spans="2:5" ht="33.75" customHeight="1" x14ac:dyDescent="0.35">
      <c r="B248" s="2556"/>
      <c r="C248" s="2420" t="s">
        <v>1684</v>
      </c>
      <c r="D248" s="2413">
        <f>[8]felhalmozás!D251</f>
        <v>37</v>
      </c>
    </row>
    <row r="249" spans="2:5" ht="33.75" customHeight="1" thickBot="1" x14ac:dyDescent="0.4">
      <c r="B249" s="2556"/>
      <c r="C249" s="2558" t="s">
        <v>1685</v>
      </c>
      <c r="D249" s="2413">
        <f>[8]felhalmozás!D252</f>
        <v>64</v>
      </c>
    </row>
    <row r="250" spans="2:5" ht="33.75" customHeight="1" x14ac:dyDescent="0.35">
      <c r="B250" s="2556" t="s">
        <v>1686</v>
      </c>
      <c r="C250" s="2419" t="s">
        <v>1665</v>
      </c>
      <c r="D250" s="2408">
        <f>[8]felhalmozás!D253</f>
        <v>44</v>
      </c>
    </row>
    <row r="251" spans="2:5" ht="33.75" customHeight="1" x14ac:dyDescent="0.35">
      <c r="B251" s="2556"/>
      <c r="C251" s="2560" t="s">
        <v>1656</v>
      </c>
      <c r="D251" s="2405">
        <f>[8]felhalmozás!D254</f>
        <v>132</v>
      </c>
    </row>
    <row r="252" spans="2:5" ht="33.75" customHeight="1" x14ac:dyDescent="0.35">
      <c r="B252" s="2556"/>
      <c r="C252" s="2560" t="s">
        <v>1687</v>
      </c>
      <c r="D252" s="2405">
        <f>[8]felhalmozás!D255</f>
        <v>83</v>
      </c>
    </row>
    <row r="253" spans="2:5" ht="33.75" customHeight="1" thickBot="1" x14ac:dyDescent="0.4">
      <c r="B253" s="2556"/>
      <c r="C253" s="2560" t="s">
        <v>1659</v>
      </c>
      <c r="D253" s="2515">
        <f>[8]felhalmozás!D256</f>
        <v>69</v>
      </c>
    </row>
    <row r="254" spans="2:5" ht="33.75" customHeight="1" thickBot="1" x14ac:dyDescent="0.4">
      <c r="B254" s="2556" t="s">
        <v>1688</v>
      </c>
      <c r="C254" s="2419" t="s">
        <v>1665</v>
      </c>
      <c r="D254" s="2405">
        <f>[8]felhalmozás!D257</f>
        <v>23</v>
      </c>
    </row>
    <row r="255" spans="2:5" ht="33.75" customHeight="1" thickBot="1" x14ac:dyDescent="0.45">
      <c r="B255" s="2433" t="s">
        <v>1333</v>
      </c>
      <c r="C255" s="2421"/>
      <c r="D255" s="2416">
        <f>SUM(D210:D254)</f>
        <v>16153</v>
      </c>
      <c r="E255" s="2382"/>
    </row>
    <row r="256" spans="2:5" ht="33.75" customHeight="1" thickBot="1" x14ac:dyDescent="0.45">
      <c r="B256" s="2422" t="s">
        <v>1689</v>
      </c>
      <c r="C256" s="2536"/>
      <c r="D256" s="2410"/>
      <c r="E256" s="2382"/>
    </row>
    <row r="257" spans="2:4" s="2380" customFormat="1" ht="33.75" customHeight="1" x14ac:dyDescent="0.35">
      <c r="B257" s="2428" t="s">
        <v>1341</v>
      </c>
      <c r="C257" s="2544" t="s">
        <v>1690</v>
      </c>
      <c r="D257" s="2405">
        <f>[8]felhalmozás!D259</f>
        <v>169.99100000000001</v>
      </c>
    </row>
    <row r="258" spans="2:4" s="2380" customFormat="1" ht="33.75" customHeight="1" x14ac:dyDescent="0.35">
      <c r="B258" s="2424"/>
      <c r="C258" s="2427" t="s">
        <v>1691</v>
      </c>
      <c r="D258" s="2405">
        <f>[8]felhalmozás!D260</f>
        <v>54.899000000000001</v>
      </c>
    </row>
    <row r="259" spans="2:4" s="2380" customFormat="1" ht="33.75" customHeight="1" x14ac:dyDescent="0.35">
      <c r="B259" s="2424"/>
      <c r="C259" s="2427" t="s">
        <v>1692</v>
      </c>
      <c r="D259" s="2405">
        <f>[8]felhalmozás!D261</f>
        <v>59.39</v>
      </c>
    </row>
    <row r="260" spans="2:4" s="2380" customFormat="1" ht="33.75" customHeight="1" x14ac:dyDescent="0.35">
      <c r="B260" s="2424"/>
      <c r="C260" s="2427" t="s">
        <v>1693</v>
      </c>
      <c r="D260" s="2405">
        <f>[8]felhalmozás!D262</f>
        <v>72.135999999999996</v>
      </c>
    </row>
    <row r="261" spans="2:4" s="2380" customFormat="1" ht="33.75" customHeight="1" x14ac:dyDescent="0.35">
      <c r="B261" s="2424"/>
      <c r="C261" s="2427" t="s">
        <v>1694</v>
      </c>
      <c r="D261" s="2413">
        <f>[8]felhalmozás!D263</f>
        <v>2653.03</v>
      </c>
    </row>
    <row r="262" spans="2:4" s="2380" customFormat="1" ht="33.75" customHeight="1" x14ac:dyDescent="0.35">
      <c r="B262" s="2424"/>
      <c r="C262" s="2427" t="s">
        <v>1658</v>
      </c>
      <c r="D262" s="2413">
        <f>[8]felhalmozás!D264</f>
        <v>83.28</v>
      </c>
    </row>
    <row r="263" spans="2:4" s="2380" customFormat="1" ht="33.75" customHeight="1" x14ac:dyDescent="0.35">
      <c r="B263" s="2424"/>
      <c r="C263" s="2427" t="s">
        <v>1695</v>
      </c>
      <c r="D263" s="2413">
        <f>[8]felhalmozás!D265</f>
        <v>134.62</v>
      </c>
    </row>
    <row r="264" spans="2:4" s="2380" customFormat="1" ht="33.75" customHeight="1" x14ac:dyDescent="0.35">
      <c r="B264" s="2424"/>
      <c r="C264" s="2427" t="s">
        <v>1696</v>
      </c>
      <c r="D264" s="2413">
        <f>[8]felhalmozás!D266</f>
        <v>112.79</v>
      </c>
    </row>
    <row r="265" spans="2:4" s="2380" customFormat="1" ht="33.75" customHeight="1" x14ac:dyDescent="0.35">
      <c r="B265" s="2424"/>
      <c r="C265" s="2427" t="s">
        <v>1697</v>
      </c>
      <c r="D265" s="2413">
        <f>[8]felhalmozás!D267</f>
        <v>81.28</v>
      </c>
    </row>
    <row r="266" spans="2:4" s="2380" customFormat="1" ht="33.75" customHeight="1" thickBot="1" x14ac:dyDescent="0.4">
      <c r="B266" s="2561"/>
      <c r="C266" s="2562" t="s">
        <v>1698</v>
      </c>
      <c r="D266" s="2412">
        <f>[8]felhalmozás!D268</f>
        <v>53.34</v>
      </c>
    </row>
    <row r="267" spans="2:4" s="2380" customFormat="1" ht="33.75" customHeight="1" thickBot="1" x14ac:dyDescent="0.45">
      <c r="B267" s="2433" t="s">
        <v>490</v>
      </c>
      <c r="C267" s="2563"/>
      <c r="D267" s="2416">
        <f>SUM(D257:D266)</f>
        <v>3474.7560000000008</v>
      </c>
    </row>
    <row r="268" spans="2:4" s="2380" customFormat="1" ht="51" x14ac:dyDescent="0.35">
      <c r="B268" s="2424" t="s">
        <v>1699</v>
      </c>
      <c r="C268" s="2425" t="s">
        <v>1700</v>
      </c>
      <c r="D268" s="2405">
        <f>[8]felhalmozás!D270</f>
        <v>7624</v>
      </c>
    </row>
    <row r="269" spans="2:4" s="2380" customFormat="1" ht="33.75" customHeight="1" x14ac:dyDescent="0.35">
      <c r="B269" s="2424"/>
      <c r="C269" s="2427" t="s">
        <v>1701</v>
      </c>
      <c r="D269" s="2405">
        <f>[8]felhalmozás!D271</f>
        <v>4781</v>
      </c>
    </row>
    <row r="270" spans="2:4" s="2380" customFormat="1" ht="33.75" customHeight="1" x14ac:dyDescent="0.35">
      <c r="B270" s="2424"/>
      <c r="C270" s="2427" t="s">
        <v>1702</v>
      </c>
      <c r="D270" s="2405">
        <f>[8]felhalmozás!D272</f>
        <v>18000</v>
      </c>
    </row>
    <row r="271" spans="2:4" s="2380" customFormat="1" ht="33.75" customHeight="1" x14ac:dyDescent="0.35">
      <c r="B271" s="2424"/>
      <c r="C271" s="2427" t="s">
        <v>1703</v>
      </c>
      <c r="D271" s="2405">
        <f>[8]felhalmozás!D273</f>
        <v>2482</v>
      </c>
    </row>
    <row r="272" spans="2:4" s="2380" customFormat="1" ht="33.75" customHeight="1" x14ac:dyDescent="0.35">
      <c r="B272" s="2424"/>
      <c r="C272" s="2427" t="s">
        <v>1704</v>
      </c>
      <c r="D272" s="2405">
        <f>[8]felhalmozás!D274</f>
        <v>14883</v>
      </c>
    </row>
    <row r="273" spans="2:4" s="2380" customFormat="1" ht="33.75" customHeight="1" x14ac:dyDescent="0.35">
      <c r="B273" s="2424"/>
      <c r="C273" s="2427" t="s">
        <v>1705</v>
      </c>
      <c r="D273" s="2405">
        <f>[8]felhalmozás!D275</f>
        <v>1664</v>
      </c>
    </row>
    <row r="274" spans="2:4" s="2380" customFormat="1" ht="33.75" customHeight="1" x14ac:dyDescent="0.35">
      <c r="B274" s="2424"/>
      <c r="C274" s="2427" t="s">
        <v>1706</v>
      </c>
      <c r="D274" s="2405">
        <f>[8]felhalmozás!D276</f>
        <v>1751</v>
      </c>
    </row>
    <row r="275" spans="2:4" s="2380" customFormat="1" ht="33.75" customHeight="1" x14ac:dyDescent="0.35">
      <c r="B275" s="2424"/>
      <c r="C275" s="2427" t="s">
        <v>1707</v>
      </c>
      <c r="D275" s="2405">
        <f>[8]felhalmozás!D277</f>
        <v>528</v>
      </c>
    </row>
    <row r="276" spans="2:4" s="2380" customFormat="1" ht="33.75" customHeight="1" thickBot="1" x14ac:dyDescent="0.4">
      <c r="B276" s="2424"/>
      <c r="C276" s="2427" t="s">
        <v>1708</v>
      </c>
      <c r="D276" s="2405">
        <f>[8]felhalmozás!D278</f>
        <v>1423</v>
      </c>
    </row>
    <row r="277" spans="2:4" s="2380" customFormat="1" ht="33.75" customHeight="1" thickBot="1" x14ac:dyDescent="0.45">
      <c r="B277" s="2433" t="s">
        <v>490</v>
      </c>
      <c r="C277" s="2564"/>
      <c r="D277" s="2417">
        <f>SUM(D268:D276)</f>
        <v>53136</v>
      </c>
    </row>
    <row r="278" spans="2:4" s="2380" customFormat="1" ht="33.75" customHeight="1" x14ac:dyDescent="0.35">
      <c r="B278" s="2565" t="s">
        <v>1709</v>
      </c>
      <c r="C278" s="2566"/>
      <c r="D278" s="2418"/>
    </row>
    <row r="279" spans="2:4" ht="33.75" customHeight="1" x14ac:dyDescent="0.35">
      <c r="B279" s="2567" t="s">
        <v>1709</v>
      </c>
      <c r="C279" s="2425" t="s">
        <v>1710</v>
      </c>
      <c r="D279" s="2405">
        <f>[8]felhalmozás!D281</f>
        <v>168.46100000000001</v>
      </c>
    </row>
    <row r="280" spans="2:4" ht="33.75" customHeight="1" x14ac:dyDescent="0.4">
      <c r="B280" s="2568"/>
      <c r="C280" s="2427" t="s">
        <v>1711</v>
      </c>
      <c r="D280" s="2405">
        <f>[8]felhalmozás!D282</f>
        <v>566.90300000000002</v>
      </c>
    </row>
    <row r="281" spans="2:4" ht="33.75" customHeight="1" x14ac:dyDescent="0.4">
      <c r="B281" s="2568"/>
      <c r="C281" s="2427" t="s">
        <v>1712</v>
      </c>
      <c r="D281" s="2405">
        <f>[8]felhalmozás!D283</f>
        <v>516.23</v>
      </c>
    </row>
    <row r="282" spans="2:4" ht="33.75" customHeight="1" x14ac:dyDescent="0.4">
      <c r="B282" s="2568"/>
      <c r="C282" s="2427" t="s">
        <v>1713</v>
      </c>
      <c r="D282" s="2405">
        <f>[8]felhalmozás!D284</f>
        <v>48.3</v>
      </c>
    </row>
    <row r="283" spans="2:4" ht="33.75" customHeight="1" x14ac:dyDescent="0.4">
      <c r="B283" s="2568"/>
      <c r="C283" s="2427" t="s">
        <v>1714</v>
      </c>
      <c r="D283" s="2405">
        <f>[8]felhalmozás!D285</f>
        <v>455.4</v>
      </c>
    </row>
    <row r="284" spans="2:4" ht="33.75" customHeight="1" x14ac:dyDescent="0.4">
      <c r="B284" s="2568"/>
      <c r="C284" s="2427" t="s">
        <v>1715</v>
      </c>
      <c r="D284" s="2405">
        <f>[8]felhalmozás!D286</f>
        <v>503.82400000000001</v>
      </c>
    </row>
    <row r="285" spans="2:4" ht="33.75" customHeight="1" x14ac:dyDescent="0.4">
      <c r="B285" s="2568"/>
      <c r="C285" s="2427" t="s">
        <v>1716</v>
      </c>
      <c r="D285" s="2405">
        <f>[8]felhalmozás!D287</f>
        <v>17.259</v>
      </c>
    </row>
    <row r="286" spans="2:4" ht="33.75" customHeight="1" x14ac:dyDescent="0.4">
      <c r="B286" s="2568"/>
      <c r="C286" s="2427" t="s">
        <v>1717</v>
      </c>
      <c r="D286" s="2405">
        <f>[8]felhalmozás!D288</f>
        <v>312</v>
      </c>
    </row>
    <row r="287" spans="2:4" ht="33.75" customHeight="1" x14ac:dyDescent="0.4">
      <c r="B287" s="2568"/>
      <c r="C287" s="2569" t="s">
        <v>1718</v>
      </c>
      <c r="D287" s="2405">
        <f>[8]felhalmozás!D289</f>
        <v>146</v>
      </c>
    </row>
    <row r="288" spans="2:4" ht="33.75" customHeight="1" x14ac:dyDescent="0.4">
      <c r="B288" s="2568"/>
      <c r="C288" s="2569" t="s">
        <v>1719</v>
      </c>
      <c r="D288" s="2405">
        <f>[8]felhalmozás!D290</f>
        <v>40.799999999999997</v>
      </c>
    </row>
    <row r="289" spans="2:5" ht="33.75" customHeight="1" x14ac:dyDescent="0.4">
      <c r="B289" s="2568"/>
      <c r="C289" s="2569" t="s">
        <v>1720</v>
      </c>
      <c r="D289" s="2405">
        <f>[8]felhalmozás!D291</f>
        <v>197.8</v>
      </c>
    </row>
    <row r="290" spans="2:5" ht="33.75" customHeight="1" x14ac:dyDescent="0.4">
      <c r="B290" s="2568"/>
      <c r="C290" s="2569" t="s">
        <v>1721</v>
      </c>
      <c r="D290" s="2405">
        <f>[8]felhalmozás!D292</f>
        <v>317.56</v>
      </c>
    </row>
    <row r="291" spans="2:5" ht="33.75" customHeight="1" x14ac:dyDescent="0.4">
      <c r="B291" s="2568"/>
      <c r="C291" s="2569" t="s">
        <v>1722</v>
      </c>
      <c r="D291" s="2405">
        <f>[8]felhalmozás!D293</f>
        <v>86.462000000000003</v>
      </c>
    </row>
    <row r="292" spans="2:5" ht="33.75" customHeight="1" x14ac:dyDescent="0.35">
      <c r="B292" s="2570" t="s">
        <v>1723</v>
      </c>
      <c r="C292" s="2569" t="s">
        <v>1724</v>
      </c>
      <c r="D292" s="2405">
        <f>[8]felhalmozás!D294</f>
        <v>395.798</v>
      </c>
    </row>
    <row r="293" spans="2:5" ht="33.75" customHeight="1" x14ac:dyDescent="0.35">
      <c r="B293" s="2570" t="s">
        <v>1725</v>
      </c>
      <c r="C293" s="2569" t="s">
        <v>1726</v>
      </c>
      <c r="D293" s="2405">
        <f>[8]felhalmozás!D295</f>
        <v>166.80799999999999</v>
      </c>
    </row>
    <row r="294" spans="2:5" ht="33.75" customHeight="1" x14ac:dyDescent="0.35">
      <c r="B294" s="2570"/>
      <c r="C294" s="2569" t="s">
        <v>1727</v>
      </c>
      <c r="D294" s="2405">
        <f>[8]felhalmozás!D296</f>
        <v>92.97</v>
      </c>
    </row>
    <row r="295" spans="2:5" ht="33.75" customHeight="1" x14ac:dyDescent="0.4">
      <c r="B295" s="2568"/>
      <c r="C295" s="2569" t="s">
        <v>1728</v>
      </c>
      <c r="D295" s="2405">
        <f>[8]felhalmozás!D297</f>
        <v>82.054000000000002</v>
      </c>
    </row>
    <row r="296" spans="2:5" ht="33.75" customHeight="1" x14ac:dyDescent="0.4">
      <c r="B296" s="2568"/>
      <c r="C296" s="2571" t="s">
        <v>1729</v>
      </c>
      <c r="D296" s="2413">
        <f>[8]felhalmozás!D298</f>
        <v>62.651000000000003</v>
      </c>
    </row>
    <row r="297" spans="2:5" ht="33.75" customHeight="1" thickBot="1" x14ac:dyDescent="0.45">
      <c r="B297" s="2568"/>
      <c r="C297" s="2571" t="s">
        <v>1730</v>
      </c>
      <c r="D297" s="2413">
        <f>[8]felhalmozás!D299</f>
        <v>237.363</v>
      </c>
    </row>
    <row r="298" spans="2:5" ht="33.75" customHeight="1" thickBot="1" x14ac:dyDescent="0.45">
      <c r="B298" s="2433" t="s">
        <v>490</v>
      </c>
      <c r="C298" s="2536"/>
      <c r="D298" s="2416">
        <f>SUM(D279:D297)</f>
        <v>4414.643</v>
      </c>
    </row>
    <row r="299" spans="2:5" ht="33.75" customHeight="1" thickBot="1" x14ac:dyDescent="0.45">
      <c r="B299" s="2433" t="s">
        <v>1731</v>
      </c>
      <c r="C299" s="2536"/>
      <c r="D299" s="2416">
        <f>D267+D277+D298+1</f>
        <v>61026.399000000005</v>
      </c>
      <c r="E299" s="2380"/>
    </row>
    <row r="300" spans="2:5" s="2380" customFormat="1" ht="33.75" customHeight="1" thickBot="1" x14ac:dyDescent="0.45">
      <c r="B300" s="2433" t="s">
        <v>1343</v>
      </c>
      <c r="C300" s="2536"/>
      <c r="D300" s="2416">
        <f>D172+D197+D207+D255+D299-1</f>
        <v>191676.576</v>
      </c>
      <c r="E300" s="2372"/>
    </row>
    <row r="301" spans="2:5" ht="33.75" customHeight="1" thickBot="1" x14ac:dyDescent="0.45">
      <c r="B301" s="2434" t="s">
        <v>1344</v>
      </c>
      <c r="C301" s="2572"/>
      <c r="D301" s="2573">
        <f t="shared" ref="D301" si="0">D92+D300</f>
        <v>285837.91799999995</v>
      </c>
      <c r="E301" s="2380"/>
    </row>
    <row r="302" spans="2:5" ht="33.75" customHeight="1" x14ac:dyDescent="0.35">
      <c r="C302" s="2384"/>
    </row>
  </sheetData>
  <mergeCells count="3">
    <mergeCell ref="B3:D3"/>
    <mergeCell ref="B4:D4"/>
    <mergeCell ref="B36:B38"/>
  </mergeCells>
  <printOptions horizontalCentered="1" verticalCentered="1"/>
  <pageMargins left="0.39370078740157483" right="0" top="0.39370078740157483" bottom="7.874015748031496E-2" header="0.31496062992125984" footer="0.31496062992125984"/>
  <pageSetup paperSize="9" scale="42" orientation="portrait" r:id="rId1"/>
  <headerFooter alignWithMargins="0">
    <oddHeader>&amp;R&amp;"Arial CE,Félkövér"&amp;28 &amp;24 29. melléklet a ..../2019. (........) önkormányzati rendelethez</oddHeader>
  </headerFooter>
  <rowBreaks count="6" manualBreakCount="6">
    <brk id="51" min="1" max="3" man="1"/>
    <brk id="92" min="1" max="3" man="1"/>
    <brk id="140" min="1" max="3" man="1"/>
    <brk id="172" min="1" max="3" man="1"/>
    <brk id="207" min="1" max="3" man="1"/>
    <brk id="255" min="1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53"/>
  <sheetViews>
    <sheetView zoomScale="75" zoomScaleNormal="75" zoomScaleSheetLayoutView="75" workbookViewId="0">
      <selection activeCell="G23" sqref="G23"/>
    </sheetView>
  </sheetViews>
  <sheetFormatPr defaultColWidth="9.33203125" defaultRowHeight="21" customHeight="1" x14ac:dyDescent="0.3"/>
  <cols>
    <col min="1" max="1" width="19" style="245" customWidth="1"/>
    <col min="2" max="2" width="5" style="396" customWidth="1"/>
    <col min="3" max="3" width="5.6640625" style="396" customWidth="1"/>
    <col min="4" max="5" width="2.33203125" style="396" customWidth="1"/>
    <col min="6" max="6" width="164.6640625" style="396" customWidth="1"/>
    <col min="7" max="9" width="25.83203125" style="396" customWidth="1"/>
    <col min="10" max="10" width="31.1640625" style="396" customWidth="1"/>
    <col min="11" max="11" width="16.6640625" style="6" bestFit="1" customWidth="1"/>
    <col min="12" max="12" width="24.6640625" style="6" customWidth="1"/>
    <col min="13" max="13" width="25.5" style="458" bestFit="1" customWidth="1"/>
    <col min="14" max="14" width="37.83203125" style="459" customWidth="1"/>
    <col min="15" max="15" width="24.1640625" style="459" customWidth="1"/>
    <col min="16" max="16" width="10.1640625" style="459" bestFit="1" customWidth="1"/>
    <col min="17" max="17" width="9.33203125" style="11"/>
    <col min="18" max="18" width="16.83203125" style="11" bestFit="1" customWidth="1"/>
    <col min="19" max="16384" width="9.33203125" style="11"/>
  </cols>
  <sheetData>
    <row r="1" spans="1:16" ht="21" customHeight="1" x14ac:dyDescent="0.3">
      <c r="B1" s="2599"/>
      <c r="C1" s="2599"/>
      <c r="D1" s="2599"/>
      <c r="E1" s="2599"/>
      <c r="F1" s="2599"/>
    </row>
    <row r="2" spans="1:16" ht="24.75" customHeight="1" x14ac:dyDescent="0.4">
      <c r="B2" s="2603" t="s">
        <v>392</v>
      </c>
      <c r="C2" s="2603"/>
      <c r="D2" s="2603"/>
      <c r="E2" s="2603"/>
      <c r="F2" s="2603"/>
      <c r="G2" s="2603"/>
      <c r="H2" s="2603"/>
      <c r="I2" s="2603"/>
      <c r="J2" s="2603"/>
    </row>
    <row r="3" spans="1:16" ht="24.75" customHeight="1" x14ac:dyDescent="0.3">
      <c r="B3" s="394"/>
      <c r="C3" s="394"/>
      <c r="D3" s="394"/>
      <c r="E3" s="394"/>
      <c r="F3" s="394"/>
    </row>
    <row r="4" spans="1:16" ht="24.75" customHeight="1" thickBot="1" x14ac:dyDescent="0.35">
      <c r="C4" s="397"/>
      <c r="D4" s="397"/>
      <c r="E4" s="397"/>
      <c r="F4" s="398"/>
      <c r="J4" s="1969" t="s">
        <v>34</v>
      </c>
    </row>
    <row r="5" spans="1:16" ht="29.25" customHeight="1" x14ac:dyDescent="0.3">
      <c r="B5" s="494"/>
      <c r="C5" s="495"/>
      <c r="D5" s="495"/>
      <c r="E5" s="495"/>
      <c r="F5" s="496" t="s">
        <v>51</v>
      </c>
      <c r="G5" s="2604" t="s">
        <v>622</v>
      </c>
      <c r="H5" s="2605"/>
      <c r="I5" s="497" t="s">
        <v>602</v>
      </c>
      <c r="J5" s="498" t="s">
        <v>166</v>
      </c>
    </row>
    <row r="6" spans="1:16" ht="29.25" customHeight="1" thickBot="1" x14ac:dyDescent="0.35">
      <c r="B6" s="499"/>
      <c r="C6" s="500"/>
      <c r="D6" s="500"/>
      <c r="E6" s="500"/>
      <c r="F6" s="501"/>
      <c r="G6" s="502" t="s">
        <v>325</v>
      </c>
      <c r="H6" s="503" t="s">
        <v>164</v>
      </c>
      <c r="I6" s="504" t="s">
        <v>165</v>
      </c>
      <c r="J6" s="505" t="s">
        <v>167</v>
      </c>
    </row>
    <row r="7" spans="1:16" ht="29.25" customHeight="1" x14ac:dyDescent="0.3">
      <c r="B7" s="506" t="s">
        <v>396</v>
      </c>
      <c r="C7" s="507"/>
      <c r="D7" s="508"/>
      <c r="E7" s="508"/>
      <c r="F7" s="509"/>
      <c r="G7" s="812"/>
      <c r="H7" s="510"/>
      <c r="I7" s="510"/>
      <c r="J7" s="510"/>
    </row>
    <row r="8" spans="1:16" s="173" customFormat="1" ht="29.25" customHeight="1" x14ac:dyDescent="0.3">
      <c r="A8" s="817"/>
      <c r="B8" s="511"/>
      <c r="C8" s="513" t="s">
        <v>669</v>
      </c>
      <c r="D8" s="513"/>
      <c r="E8" s="513"/>
      <c r="F8" s="924"/>
      <c r="G8" s="517">
        <v>60</v>
      </c>
      <c r="H8" s="519">
        <v>3071</v>
      </c>
      <c r="I8" s="925">
        <v>3071</v>
      </c>
      <c r="J8" s="589">
        <f t="shared" ref="J8:J16" si="0">+I8/H8*100</f>
        <v>100</v>
      </c>
      <c r="K8" s="324"/>
      <c r="L8" s="324"/>
      <c r="M8" s="770"/>
      <c r="N8" s="771"/>
      <c r="O8" s="770"/>
      <c r="P8" s="460"/>
    </row>
    <row r="9" spans="1:16" s="173" customFormat="1" ht="29.25" customHeight="1" x14ac:dyDescent="0.3">
      <c r="A9" s="251"/>
      <c r="B9" s="511"/>
      <c r="C9" s="514"/>
      <c r="D9" s="971"/>
      <c r="E9" s="971"/>
      <c r="F9" s="1017" t="s">
        <v>642</v>
      </c>
      <c r="G9" s="972"/>
      <c r="H9" s="973">
        <v>2981</v>
      </c>
      <c r="I9" s="974">
        <v>2981</v>
      </c>
      <c r="J9" s="960">
        <f t="shared" si="0"/>
        <v>100</v>
      </c>
      <c r="K9" s="324"/>
      <c r="L9" s="324"/>
      <c r="M9" s="461"/>
      <c r="N9" s="462"/>
      <c r="O9" s="461"/>
      <c r="P9" s="460"/>
    </row>
    <row r="10" spans="1:16" s="173" customFormat="1" ht="29.25" customHeight="1" x14ac:dyDescent="0.3">
      <c r="A10" s="817"/>
      <c r="B10" s="511"/>
      <c r="C10" s="975" t="s">
        <v>670</v>
      </c>
      <c r="D10" s="975"/>
      <c r="E10" s="975"/>
      <c r="F10" s="976"/>
      <c r="G10" s="977">
        <v>1548543</v>
      </c>
      <c r="H10" s="978">
        <v>1565922</v>
      </c>
      <c r="I10" s="979">
        <v>1565922</v>
      </c>
      <c r="J10" s="980">
        <f t="shared" si="0"/>
        <v>100</v>
      </c>
      <c r="K10" s="324"/>
      <c r="L10" s="324"/>
      <c r="M10" s="770"/>
      <c r="N10" s="771"/>
      <c r="O10" s="770"/>
      <c r="P10" s="460"/>
    </row>
    <row r="11" spans="1:16" s="173" customFormat="1" ht="29.25" customHeight="1" x14ac:dyDescent="0.3">
      <c r="A11" s="817"/>
      <c r="B11" s="511"/>
      <c r="C11" s="975"/>
      <c r="D11" s="975"/>
      <c r="E11" s="975"/>
      <c r="F11" s="1021" t="s">
        <v>686</v>
      </c>
      <c r="G11" s="977"/>
      <c r="H11" s="1022">
        <v>1188</v>
      </c>
      <c r="I11" s="1026">
        <v>1188</v>
      </c>
      <c r="J11" s="1025">
        <f t="shared" si="0"/>
        <v>100</v>
      </c>
      <c r="K11" s="324"/>
      <c r="L11" s="324"/>
      <c r="M11" s="770"/>
      <c r="N11" s="771"/>
      <c r="O11" s="770"/>
      <c r="P11" s="460"/>
    </row>
    <row r="12" spans="1:16" s="173" customFormat="1" ht="51" customHeight="1" x14ac:dyDescent="0.3">
      <c r="A12" s="926"/>
      <c r="B12" s="511"/>
      <c r="C12" s="2600" t="s">
        <v>671</v>
      </c>
      <c r="D12" s="2601"/>
      <c r="E12" s="2601"/>
      <c r="F12" s="2602"/>
      <c r="G12" s="517">
        <v>960944</v>
      </c>
      <c r="H12" s="519">
        <v>1360326</v>
      </c>
      <c r="I12" s="925">
        <v>1360326</v>
      </c>
      <c r="J12" s="589">
        <f t="shared" si="0"/>
        <v>100</v>
      </c>
      <c r="K12" s="324"/>
      <c r="L12" s="324"/>
      <c r="M12" s="770"/>
      <c r="N12" s="771"/>
      <c r="O12" s="771"/>
      <c r="P12" s="460"/>
    </row>
    <row r="13" spans="1:16" s="173" customFormat="1" ht="29.25" customHeight="1" x14ac:dyDescent="0.3">
      <c r="A13" s="816"/>
      <c r="B13" s="511"/>
      <c r="C13" s="514"/>
      <c r="D13" s="1040" t="s">
        <v>617</v>
      </c>
      <c r="E13" s="971"/>
      <c r="F13" s="1040"/>
      <c r="G13" s="517"/>
      <c r="H13" s="515"/>
      <c r="I13" s="515"/>
      <c r="J13" s="516"/>
      <c r="K13" s="324"/>
      <c r="L13" s="324"/>
      <c r="M13" s="461"/>
      <c r="N13" s="462"/>
      <c r="O13" s="462"/>
      <c r="P13" s="460"/>
    </row>
    <row r="14" spans="1:16" s="173" customFormat="1" ht="29.25" customHeight="1" x14ac:dyDescent="0.3">
      <c r="A14" s="816"/>
      <c r="B14" s="511"/>
      <c r="C14" s="514"/>
      <c r="D14" s="1041"/>
      <c r="E14" s="1041"/>
      <c r="F14" s="1018" t="s">
        <v>688</v>
      </c>
      <c r="G14" s="517"/>
      <c r="H14" s="515">
        <v>130325</v>
      </c>
      <c r="I14" s="515">
        <v>130325</v>
      </c>
      <c r="J14" s="516">
        <f t="shared" si="0"/>
        <v>100</v>
      </c>
      <c r="K14" s="324"/>
      <c r="L14" s="324"/>
      <c r="M14" s="461"/>
      <c r="N14" s="462"/>
      <c r="O14" s="462"/>
      <c r="P14" s="460"/>
    </row>
    <row r="15" spans="1:16" s="173" customFormat="1" ht="51" customHeight="1" x14ac:dyDescent="0.3">
      <c r="A15" s="816"/>
      <c r="B15" s="511"/>
      <c r="C15" s="514"/>
      <c r="D15" s="1019" t="s">
        <v>545</v>
      </c>
      <c r="E15" s="971"/>
      <c r="F15" s="1020" t="s">
        <v>687</v>
      </c>
      <c r="G15" s="972"/>
      <c r="H15" s="974">
        <v>17977</v>
      </c>
      <c r="I15" s="974">
        <v>17977</v>
      </c>
      <c r="J15" s="960">
        <f t="shared" si="0"/>
        <v>100</v>
      </c>
      <c r="K15" s="324"/>
      <c r="L15" s="324"/>
      <c r="M15" s="461"/>
      <c r="N15" s="462"/>
      <c r="O15" s="462"/>
      <c r="P15" s="460"/>
    </row>
    <row r="16" spans="1:16" s="173" customFormat="1" ht="51" customHeight="1" x14ac:dyDescent="0.3">
      <c r="A16" s="816"/>
      <c r="B16" s="511"/>
      <c r="C16" s="975" t="s">
        <v>672</v>
      </c>
      <c r="D16" s="983"/>
      <c r="E16" s="984"/>
      <c r="F16" s="985"/>
      <c r="G16" s="977">
        <f>+G8+G10+G12</f>
        <v>2509547</v>
      </c>
      <c r="H16" s="978">
        <f t="shared" ref="H16" si="1">+H8+H10+H12</f>
        <v>2929319</v>
      </c>
      <c r="I16" s="977">
        <f>+I8+I10+I12</f>
        <v>2929319</v>
      </c>
      <c r="J16" s="993">
        <f t="shared" si="0"/>
        <v>100</v>
      </c>
      <c r="K16" s="324"/>
      <c r="L16" s="324"/>
      <c r="M16" s="461"/>
      <c r="N16" s="462"/>
      <c r="O16" s="462"/>
      <c r="P16" s="460"/>
    </row>
    <row r="17" spans="1:16" s="173" customFormat="1" ht="29.25" customHeight="1" x14ac:dyDescent="0.3">
      <c r="A17" s="816"/>
      <c r="B17" s="511"/>
      <c r="C17" s="463" t="s">
        <v>181</v>
      </c>
      <c r="D17" s="981"/>
      <c r="E17" s="981"/>
      <c r="F17" s="982"/>
      <c r="G17" s="517"/>
      <c r="H17" s="519"/>
      <c r="I17" s="519"/>
      <c r="J17" s="518"/>
      <c r="K17" s="324"/>
      <c r="L17" s="324"/>
      <c r="M17" s="461"/>
      <c r="N17" s="462"/>
      <c r="O17" s="462"/>
      <c r="P17" s="460"/>
    </row>
    <row r="18" spans="1:16" ht="29.25" customHeight="1" x14ac:dyDescent="0.3">
      <c r="A18" s="251"/>
      <c r="B18" s="520"/>
      <c r="C18" s="465"/>
      <c r="D18" s="521" t="s">
        <v>397</v>
      </c>
      <c r="E18" s="522"/>
      <c r="F18" s="523"/>
      <c r="G18" s="524">
        <v>125000</v>
      </c>
      <c r="H18" s="525">
        <v>125000</v>
      </c>
      <c r="I18" s="525">
        <v>125000</v>
      </c>
      <c r="J18" s="516">
        <f t="shared" ref="J18:J22" si="2">+I18/H18*100</f>
        <v>100</v>
      </c>
      <c r="K18" s="324"/>
      <c r="M18" s="461"/>
      <c r="N18" s="462"/>
      <c r="O18" s="461"/>
    </row>
    <row r="19" spans="1:16" ht="29.25" customHeight="1" x14ac:dyDescent="0.3">
      <c r="A19" s="251"/>
      <c r="B19" s="520"/>
      <c r="C19" s="465"/>
      <c r="D19" s="521" t="s">
        <v>398</v>
      </c>
      <c r="E19" s="522"/>
      <c r="F19" s="523"/>
      <c r="G19" s="524">
        <v>83400</v>
      </c>
      <c r="H19" s="525">
        <v>83400</v>
      </c>
      <c r="I19" s="525">
        <v>83400</v>
      </c>
      <c r="J19" s="516">
        <f t="shared" si="2"/>
        <v>100</v>
      </c>
      <c r="K19" s="324"/>
      <c r="M19" s="461"/>
      <c r="N19" s="462"/>
      <c r="O19" s="461"/>
    </row>
    <row r="20" spans="1:16" ht="29.25" customHeight="1" x14ac:dyDescent="0.3">
      <c r="A20" s="251"/>
      <c r="B20" s="520"/>
      <c r="C20" s="465"/>
      <c r="D20" s="521" t="s">
        <v>399</v>
      </c>
      <c r="E20" s="522"/>
      <c r="F20" s="523"/>
      <c r="G20" s="524">
        <v>40600</v>
      </c>
      <c r="H20" s="525">
        <v>40600</v>
      </c>
      <c r="I20" s="525">
        <v>40600</v>
      </c>
      <c r="J20" s="516">
        <f t="shared" si="2"/>
        <v>100</v>
      </c>
      <c r="K20" s="324"/>
      <c r="M20" s="461"/>
      <c r="N20" s="462"/>
      <c r="O20" s="461"/>
    </row>
    <row r="21" spans="1:16" ht="29.25" customHeight="1" x14ac:dyDescent="0.3">
      <c r="A21" s="251"/>
      <c r="B21" s="520"/>
      <c r="C21" s="465"/>
      <c r="D21" s="521" t="s">
        <v>417</v>
      </c>
      <c r="E21" s="522"/>
      <c r="F21" s="523"/>
      <c r="G21" s="524">
        <v>27000</v>
      </c>
      <c r="H21" s="525">
        <v>27000</v>
      </c>
      <c r="I21" s="525">
        <v>27000</v>
      </c>
      <c r="J21" s="516">
        <f t="shared" si="2"/>
        <v>100</v>
      </c>
      <c r="K21" s="324"/>
      <c r="M21" s="461"/>
      <c r="N21" s="462"/>
      <c r="O21" s="461"/>
    </row>
    <row r="22" spans="1:16" ht="29.25" customHeight="1" x14ac:dyDescent="0.3">
      <c r="A22" s="251"/>
      <c r="B22" s="520"/>
      <c r="C22" s="465"/>
      <c r="D22" s="522" t="s">
        <v>418</v>
      </c>
      <c r="E22" s="522"/>
      <c r="F22" s="523"/>
      <c r="G22" s="527">
        <v>254400</v>
      </c>
      <c r="H22" s="528">
        <v>254400</v>
      </c>
      <c r="I22" s="528">
        <v>254400</v>
      </c>
      <c r="J22" s="516">
        <f t="shared" si="2"/>
        <v>100</v>
      </c>
      <c r="K22" s="324"/>
      <c r="M22" s="461"/>
      <c r="N22" s="462"/>
      <c r="O22" s="461"/>
    </row>
    <row r="23" spans="1:16" ht="51" customHeight="1" x14ac:dyDescent="0.3">
      <c r="A23" s="251"/>
      <c r="B23" s="520"/>
      <c r="C23" s="465"/>
      <c r="D23" s="2606" t="s">
        <v>356</v>
      </c>
      <c r="E23" s="2606"/>
      <c r="F23" s="2607"/>
      <c r="G23" s="524">
        <v>148000</v>
      </c>
      <c r="H23" s="525">
        <v>148000</v>
      </c>
      <c r="I23" s="525">
        <v>148000</v>
      </c>
      <c r="J23" s="516">
        <f t="shared" ref="J23:J29" si="3">+I23/H23*100</f>
        <v>100</v>
      </c>
      <c r="K23" s="324"/>
      <c r="M23" s="461"/>
      <c r="N23" s="462"/>
      <c r="O23" s="461"/>
    </row>
    <row r="24" spans="1:16" ht="51" customHeight="1" x14ac:dyDescent="0.3">
      <c r="A24" s="251"/>
      <c r="B24" s="520"/>
      <c r="C24" s="465"/>
      <c r="D24" s="2606" t="s">
        <v>357</v>
      </c>
      <c r="E24" s="2606"/>
      <c r="F24" s="2607"/>
      <c r="G24" s="526">
        <v>150000</v>
      </c>
      <c r="H24" s="525">
        <v>150000</v>
      </c>
      <c r="I24" s="525">
        <v>150000</v>
      </c>
      <c r="J24" s="516">
        <f t="shared" si="3"/>
        <v>100</v>
      </c>
      <c r="K24" s="324"/>
      <c r="M24" s="461"/>
      <c r="N24" s="462"/>
      <c r="O24" s="461"/>
    </row>
    <row r="25" spans="1:16" ht="29.25" customHeight="1" x14ac:dyDescent="0.3">
      <c r="A25" s="251"/>
      <c r="B25" s="520"/>
      <c r="C25" s="465"/>
      <c r="D25" s="522" t="s">
        <v>358</v>
      </c>
      <c r="E25" s="522"/>
      <c r="F25" s="523"/>
      <c r="G25" s="524">
        <v>140316</v>
      </c>
      <c r="H25" s="525">
        <v>140316</v>
      </c>
      <c r="I25" s="525">
        <v>140316</v>
      </c>
      <c r="J25" s="516">
        <f t="shared" si="3"/>
        <v>100</v>
      </c>
      <c r="K25" s="324"/>
      <c r="M25" s="461"/>
      <c r="N25" s="462"/>
      <c r="O25" s="461"/>
    </row>
    <row r="26" spans="1:16" ht="29.25" customHeight="1" x14ac:dyDescent="0.3">
      <c r="A26" s="251"/>
      <c r="B26" s="520"/>
      <c r="C26" s="465"/>
      <c r="D26" s="522" t="s">
        <v>359</v>
      </c>
      <c r="E26" s="522"/>
      <c r="F26" s="523"/>
      <c r="G26" s="524">
        <v>34903</v>
      </c>
      <c r="H26" s="525">
        <v>34893</v>
      </c>
      <c r="I26" s="525">
        <v>34893</v>
      </c>
      <c r="J26" s="516">
        <f t="shared" si="3"/>
        <v>100</v>
      </c>
      <c r="K26" s="324"/>
      <c r="M26" s="461"/>
      <c r="N26" s="462"/>
      <c r="O26" s="461"/>
    </row>
    <row r="27" spans="1:16" ht="29.25" customHeight="1" x14ac:dyDescent="0.3">
      <c r="A27" s="251"/>
      <c r="B27" s="520"/>
      <c r="C27" s="465"/>
      <c r="D27" s="526" t="s">
        <v>67</v>
      </c>
      <c r="E27" s="522"/>
      <c r="F27" s="523"/>
      <c r="G27" s="524"/>
      <c r="H27" s="525">
        <v>3470</v>
      </c>
      <c r="I27" s="525">
        <v>3470</v>
      </c>
      <c r="J27" s="516">
        <f t="shared" si="3"/>
        <v>100</v>
      </c>
      <c r="K27" s="324"/>
      <c r="M27" s="461"/>
      <c r="N27" s="462"/>
      <c r="O27" s="462"/>
    </row>
    <row r="28" spans="1:16" ht="29.25" customHeight="1" x14ac:dyDescent="0.3">
      <c r="A28" s="251"/>
      <c r="B28" s="520"/>
      <c r="C28" s="465"/>
      <c r="D28" s="986" t="s">
        <v>544</v>
      </c>
      <c r="E28" s="534"/>
      <c r="F28" s="553"/>
      <c r="G28" s="959"/>
      <c r="H28" s="768">
        <v>78729</v>
      </c>
      <c r="I28" s="959">
        <v>78729</v>
      </c>
      <c r="J28" s="960">
        <f t="shared" si="3"/>
        <v>100</v>
      </c>
      <c r="K28" s="324"/>
      <c r="M28" s="461"/>
      <c r="N28" s="462"/>
      <c r="O28" s="462"/>
    </row>
    <row r="29" spans="1:16" s="27" customFormat="1" ht="29.25" customHeight="1" x14ac:dyDescent="0.3">
      <c r="A29" s="817"/>
      <c r="B29" s="769"/>
      <c r="C29" s="987" t="s">
        <v>503</v>
      </c>
      <c r="D29" s="988"/>
      <c r="E29" s="989"/>
      <c r="F29" s="990"/>
      <c r="G29" s="991">
        <f>SUM(G18:G27)</f>
        <v>1003619</v>
      </c>
      <c r="H29" s="992">
        <f>SUM(H18:H28)</f>
        <v>1085808</v>
      </c>
      <c r="I29" s="991">
        <f>SUM(I18:I28)</f>
        <v>1085808</v>
      </c>
      <c r="J29" s="993">
        <f t="shared" si="3"/>
        <v>100</v>
      </c>
      <c r="K29" s="324"/>
      <c r="L29" s="405"/>
      <c r="M29" s="770"/>
      <c r="N29" s="771"/>
      <c r="O29" s="771"/>
      <c r="P29" s="467"/>
    </row>
    <row r="30" spans="1:16" s="170" customFormat="1" ht="29.25" customHeight="1" x14ac:dyDescent="0.3">
      <c r="A30" s="253"/>
      <c r="B30" s="511"/>
      <c r="C30" s="513" t="s">
        <v>215</v>
      </c>
      <c r="D30" s="513"/>
      <c r="E30" s="513"/>
      <c r="F30" s="924"/>
      <c r="G30" s="517"/>
      <c r="H30" s="519"/>
      <c r="I30" s="519"/>
      <c r="J30" s="518"/>
      <c r="K30" s="324"/>
      <c r="L30" s="340"/>
      <c r="M30" s="461"/>
      <c r="N30" s="462"/>
      <c r="O30" s="462"/>
      <c r="P30" s="463"/>
    </row>
    <row r="31" spans="1:16" ht="29.25" customHeight="1" x14ac:dyDescent="0.3">
      <c r="A31" s="251"/>
      <c r="B31" s="520"/>
      <c r="C31" s="529"/>
      <c r="D31" s="1976" t="s">
        <v>645</v>
      </c>
      <c r="E31" s="1976"/>
      <c r="F31" s="530"/>
      <c r="G31" s="527"/>
      <c r="H31" s="528">
        <v>140895</v>
      </c>
      <c r="I31" s="528">
        <v>140895</v>
      </c>
      <c r="J31" s="531">
        <f t="shared" ref="J31:J40" si="4">+I31/H31*100</f>
        <v>100</v>
      </c>
      <c r="K31" s="324"/>
      <c r="M31" s="461"/>
      <c r="N31" s="462"/>
      <c r="O31" s="462"/>
    </row>
    <row r="32" spans="1:16" ht="29.25" customHeight="1" x14ac:dyDescent="0.3">
      <c r="A32" s="251"/>
      <c r="B32" s="520"/>
      <c r="C32" s="529"/>
      <c r="D32" s="1976" t="s">
        <v>699</v>
      </c>
      <c r="E32" s="532"/>
      <c r="F32" s="533"/>
      <c r="G32" s="524"/>
      <c r="H32" s="525">
        <v>1500</v>
      </c>
      <c r="I32" s="525">
        <v>1500</v>
      </c>
      <c r="J32" s="531">
        <f t="shared" si="4"/>
        <v>100</v>
      </c>
      <c r="K32" s="324"/>
      <c r="M32" s="461"/>
      <c r="N32" s="462"/>
      <c r="O32" s="462"/>
    </row>
    <row r="33" spans="1:16" ht="47.25" customHeight="1" x14ac:dyDescent="0.3">
      <c r="A33" s="251"/>
      <c r="B33" s="520"/>
      <c r="C33" s="529"/>
      <c r="D33" s="2608" t="s">
        <v>1257</v>
      </c>
      <c r="E33" s="2608"/>
      <c r="F33" s="2609"/>
      <c r="G33" s="959"/>
      <c r="H33" s="768">
        <v>2292</v>
      </c>
      <c r="I33" s="768">
        <v>2292</v>
      </c>
      <c r="J33" s="531">
        <f t="shared" si="4"/>
        <v>100</v>
      </c>
      <c r="K33" s="324"/>
      <c r="M33" s="461"/>
      <c r="N33" s="462"/>
      <c r="O33" s="462"/>
    </row>
    <row r="34" spans="1:16" ht="29.25" customHeight="1" x14ac:dyDescent="0.3">
      <c r="A34" s="251"/>
      <c r="B34" s="520"/>
      <c r="C34" s="529"/>
      <c r="D34" s="534" t="s">
        <v>217</v>
      </c>
      <c r="E34" s="535"/>
      <c r="F34" s="536"/>
      <c r="G34" s="537"/>
      <c r="H34" s="538">
        <v>26856</v>
      </c>
      <c r="I34" s="538">
        <v>26856</v>
      </c>
      <c r="J34" s="539">
        <f t="shared" si="4"/>
        <v>100</v>
      </c>
      <c r="K34" s="324"/>
      <c r="M34" s="461"/>
      <c r="N34" s="462"/>
      <c r="O34" s="462"/>
    </row>
    <row r="35" spans="1:16" ht="29.25" customHeight="1" x14ac:dyDescent="0.3">
      <c r="A35" s="251"/>
      <c r="B35" s="520"/>
      <c r="C35" s="529"/>
      <c r="D35" s="529" t="s">
        <v>646</v>
      </c>
      <c r="E35" s="529"/>
      <c r="F35" s="553"/>
      <c r="G35" s="537"/>
      <c r="H35" s="538">
        <v>23636</v>
      </c>
      <c r="I35" s="538">
        <v>23636</v>
      </c>
      <c r="J35" s="539">
        <f t="shared" si="4"/>
        <v>100</v>
      </c>
      <c r="K35" s="324"/>
      <c r="M35" s="461"/>
      <c r="N35" s="462"/>
      <c r="O35" s="462"/>
    </row>
    <row r="36" spans="1:16" s="170" customFormat="1" ht="29.25" customHeight="1" x14ac:dyDescent="0.3">
      <c r="A36" s="253"/>
      <c r="B36" s="511"/>
      <c r="C36" s="975" t="s">
        <v>504</v>
      </c>
      <c r="D36" s="975"/>
      <c r="E36" s="975"/>
      <c r="F36" s="976"/>
      <c r="G36" s="977">
        <f>SUM(G31:G35)</f>
        <v>0</v>
      </c>
      <c r="H36" s="978">
        <f>SUM(H31:H35)</f>
        <v>195179</v>
      </c>
      <c r="I36" s="977">
        <f>SUM(I31:I35)</f>
        <v>195179</v>
      </c>
      <c r="J36" s="993">
        <f t="shared" si="4"/>
        <v>100</v>
      </c>
      <c r="K36" s="324"/>
      <c r="L36" s="340"/>
      <c r="M36" s="461"/>
      <c r="N36" s="462"/>
      <c r="O36" s="462"/>
      <c r="P36" s="463"/>
    </row>
    <row r="37" spans="1:16" s="99" customFormat="1" ht="29.25" customHeight="1" x14ac:dyDescent="0.3">
      <c r="A37" s="817"/>
      <c r="B37" s="540"/>
      <c r="C37" s="513" t="s">
        <v>216</v>
      </c>
      <c r="D37" s="994"/>
      <c r="E37" s="995"/>
      <c r="F37" s="996"/>
      <c r="G37" s="997"/>
      <c r="H37" s="925"/>
      <c r="I37" s="925"/>
      <c r="J37" s="518"/>
      <c r="K37" s="324"/>
      <c r="L37" s="168"/>
      <c r="M37" s="461"/>
      <c r="N37" s="462"/>
      <c r="O37" s="462"/>
      <c r="P37" s="464"/>
    </row>
    <row r="38" spans="1:16" ht="29.25" customHeight="1" x14ac:dyDescent="0.3">
      <c r="B38" s="541"/>
      <c r="C38" s="535" t="s">
        <v>647</v>
      </c>
      <c r="D38" s="998"/>
      <c r="E38" s="998"/>
      <c r="F38" s="999"/>
      <c r="G38" s="1000"/>
      <c r="H38" s="569">
        <v>4656</v>
      </c>
      <c r="I38" s="569">
        <v>4656</v>
      </c>
      <c r="J38" s="1001">
        <f t="shared" si="4"/>
        <v>100</v>
      </c>
      <c r="K38" s="479"/>
      <c r="L38" s="479"/>
      <c r="M38" s="480"/>
      <c r="N38" s="462"/>
      <c r="O38" s="461"/>
    </row>
    <row r="39" spans="1:16" s="27" customFormat="1" ht="29.25" customHeight="1" thickBot="1" x14ac:dyDescent="0.35">
      <c r="A39" s="818"/>
      <c r="B39" s="543"/>
      <c r="C39" s="1002" t="s">
        <v>505</v>
      </c>
      <c r="D39" s="581"/>
      <c r="E39" s="581"/>
      <c r="F39" s="1003"/>
      <c r="G39" s="1004">
        <f>SUM(G38)</f>
        <v>0</v>
      </c>
      <c r="H39" s="582">
        <f t="shared" ref="H39:I39" si="5">SUM(H38)</f>
        <v>4656</v>
      </c>
      <c r="I39" s="1004">
        <f t="shared" si="5"/>
        <v>4656</v>
      </c>
      <c r="J39" s="599">
        <f t="shared" si="4"/>
        <v>100</v>
      </c>
      <c r="K39" s="784"/>
      <c r="L39" s="784"/>
      <c r="M39" s="785"/>
      <c r="N39" s="771"/>
      <c r="O39" s="770"/>
      <c r="P39" s="467"/>
    </row>
    <row r="40" spans="1:16" s="27" customFormat="1" ht="29.25" customHeight="1" thickBot="1" x14ac:dyDescent="0.35">
      <c r="A40" s="818"/>
      <c r="B40" s="543" t="s">
        <v>506</v>
      </c>
      <c r="C40" s="778" t="s">
        <v>179</v>
      </c>
      <c r="D40" s="779"/>
      <c r="E40" s="779"/>
      <c r="F40" s="780"/>
      <c r="G40" s="781">
        <f>+G16+G29+G36+G39</f>
        <v>3513166</v>
      </c>
      <c r="H40" s="781">
        <f>+H16+H29+H36+H39</f>
        <v>4214962</v>
      </c>
      <c r="I40" s="781">
        <f>+I16+I29+I36+I39</f>
        <v>4214962</v>
      </c>
      <c r="J40" s="777">
        <f t="shared" si="4"/>
        <v>100</v>
      </c>
      <c r="K40" s="405"/>
      <c r="L40" s="405"/>
      <c r="M40" s="770"/>
      <c r="N40" s="771"/>
      <c r="O40" s="770"/>
      <c r="P40" s="467"/>
    </row>
    <row r="41" spans="1:16" ht="29.25" customHeight="1" thickBot="1" x14ac:dyDescent="0.35">
      <c r="B41" s="541"/>
      <c r="C41" s="787" t="s">
        <v>508</v>
      </c>
      <c r="D41" s="772"/>
      <c r="E41" s="772"/>
      <c r="F41" s="773"/>
      <c r="G41" s="774">
        <v>0</v>
      </c>
      <c r="H41" s="767">
        <v>0</v>
      </c>
      <c r="I41" s="775">
        <v>0</v>
      </c>
      <c r="J41" s="542"/>
      <c r="M41" s="461"/>
      <c r="N41" s="462"/>
      <c r="O41" s="461"/>
    </row>
    <row r="42" spans="1:16" s="27" customFormat="1" ht="29.25" customHeight="1" thickBot="1" x14ac:dyDescent="0.35">
      <c r="A42" s="818"/>
      <c r="B42" s="543" t="s">
        <v>507</v>
      </c>
      <c r="C42" s="512" t="s">
        <v>193</v>
      </c>
      <c r="D42" s="508"/>
      <c r="E42" s="508"/>
      <c r="F42" s="780"/>
      <c r="G42" s="783">
        <f>SUM(G41)</f>
        <v>0</v>
      </c>
      <c r="H42" s="782">
        <f t="shared" ref="H42:I42" si="6">SUM(H41)</f>
        <v>0</v>
      </c>
      <c r="I42" s="783">
        <f t="shared" si="6"/>
        <v>0</v>
      </c>
      <c r="J42" s="777"/>
      <c r="K42" s="405"/>
      <c r="L42" s="405"/>
      <c r="M42" s="770"/>
      <c r="N42" s="771"/>
      <c r="O42" s="770"/>
      <c r="P42" s="467"/>
    </row>
    <row r="43" spans="1:16" ht="29.25" customHeight="1" x14ac:dyDescent="0.3">
      <c r="A43" s="251"/>
      <c r="B43" s="616"/>
      <c r="C43" s="617"/>
      <c r="D43" s="618" t="s">
        <v>70</v>
      </c>
      <c r="E43" s="618"/>
      <c r="F43" s="619"/>
      <c r="G43" s="813">
        <v>30000</v>
      </c>
      <c r="H43" s="813">
        <v>58768</v>
      </c>
      <c r="I43" s="620">
        <v>58768</v>
      </c>
      <c r="J43" s="1985">
        <f>+I43/H43*100</f>
        <v>100</v>
      </c>
      <c r="M43" s="461"/>
      <c r="N43" s="462"/>
      <c r="O43" s="462"/>
    </row>
    <row r="44" spans="1:16" ht="29.25" customHeight="1" x14ac:dyDescent="0.3">
      <c r="A44" s="251"/>
      <c r="B44" s="545"/>
      <c r="C44" s="546"/>
      <c r="D44" s="549" t="s">
        <v>77</v>
      </c>
      <c r="E44" s="549"/>
      <c r="F44" s="550"/>
      <c r="G44" s="814"/>
      <c r="H44" s="814">
        <v>3944</v>
      </c>
      <c r="I44" s="548">
        <v>3944</v>
      </c>
      <c r="J44" s="516">
        <f t="shared" ref="J44:J52" si="7">+I44/H44*100</f>
        <v>100</v>
      </c>
      <c r="M44" s="461"/>
      <c r="N44" s="462"/>
      <c r="O44" s="462"/>
    </row>
    <row r="45" spans="1:16" ht="29.25" customHeight="1" x14ac:dyDescent="0.3">
      <c r="A45" s="251"/>
      <c r="B45" s="545"/>
      <c r="C45" s="546"/>
      <c r="D45" s="1975" t="s">
        <v>509</v>
      </c>
      <c r="E45" s="551"/>
      <c r="F45" s="550"/>
      <c r="G45" s="814">
        <v>4320</v>
      </c>
      <c r="H45" s="814">
        <v>4050</v>
      </c>
      <c r="I45" s="548">
        <v>4050</v>
      </c>
      <c r="J45" s="516">
        <f t="shared" si="7"/>
        <v>100</v>
      </c>
      <c r="M45" s="461"/>
      <c r="N45" s="462"/>
      <c r="O45" s="462"/>
    </row>
    <row r="46" spans="1:16" ht="29.25" customHeight="1" x14ac:dyDescent="0.3">
      <c r="A46" s="251"/>
      <c r="B46" s="545"/>
      <c r="C46" s="546"/>
      <c r="D46" s="1975" t="s">
        <v>117</v>
      </c>
      <c r="E46" s="551"/>
      <c r="F46" s="550"/>
      <c r="G46" s="814"/>
      <c r="H46" s="814">
        <v>884</v>
      </c>
      <c r="I46" s="548">
        <v>884</v>
      </c>
      <c r="J46" s="516">
        <f t="shared" si="7"/>
        <v>100</v>
      </c>
      <c r="M46" s="461"/>
      <c r="N46" s="462"/>
      <c r="O46" s="462"/>
    </row>
    <row r="47" spans="1:16" ht="29.25" customHeight="1" x14ac:dyDescent="0.3">
      <c r="B47" s="545"/>
      <c r="C47" s="546"/>
      <c r="D47" s="547" t="s">
        <v>422</v>
      </c>
      <c r="E47" s="551"/>
      <c r="F47" s="550"/>
      <c r="G47" s="776"/>
      <c r="H47" s="776">
        <v>1000</v>
      </c>
      <c r="I47" s="552">
        <v>1000</v>
      </c>
      <c r="J47" s="516">
        <f t="shared" si="7"/>
        <v>100</v>
      </c>
      <c r="M47" s="461"/>
      <c r="N47" s="462"/>
      <c r="O47" s="462"/>
    </row>
    <row r="48" spans="1:16" ht="29.25" customHeight="1" x14ac:dyDescent="0.3">
      <c r="B48" s="545"/>
      <c r="C48" s="546"/>
      <c r="D48" s="547" t="s">
        <v>1259</v>
      </c>
      <c r="E48" s="551"/>
      <c r="F48" s="550"/>
      <c r="G48" s="776"/>
      <c r="H48" s="776">
        <v>439</v>
      </c>
      <c r="I48" s="552">
        <v>439</v>
      </c>
      <c r="J48" s="516">
        <f t="shared" si="7"/>
        <v>100</v>
      </c>
      <c r="M48" s="461"/>
      <c r="N48" s="462"/>
      <c r="O48" s="462"/>
    </row>
    <row r="49" spans="1:15" ht="29.25" customHeight="1" x14ac:dyDescent="0.3">
      <c r="B49" s="545"/>
      <c r="C49" s="546"/>
      <c r="D49" s="547" t="s">
        <v>1261</v>
      </c>
      <c r="E49" s="551"/>
      <c r="F49" s="550"/>
      <c r="G49" s="776"/>
      <c r="H49" s="776">
        <v>14</v>
      </c>
      <c r="I49" s="552">
        <v>14</v>
      </c>
      <c r="J49" s="516">
        <f t="shared" si="7"/>
        <v>100</v>
      </c>
      <c r="M49" s="461"/>
      <c r="N49" s="462"/>
      <c r="O49" s="462"/>
    </row>
    <row r="50" spans="1:15" ht="29.25" customHeight="1" x14ac:dyDescent="0.3">
      <c r="B50" s="545"/>
      <c r="C50" s="546"/>
      <c r="D50" s="1975" t="s">
        <v>1258</v>
      </c>
      <c r="E50" s="551"/>
      <c r="F50" s="550"/>
      <c r="G50" s="776">
        <v>1500</v>
      </c>
      <c r="H50" s="776">
        <v>915</v>
      </c>
      <c r="I50" s="552">
        <v>915</v>
      </c>
      <c r="J50" s="516">
        <f t="shared" si="7"/>
        <v>100</v>
      </c>
      <c r="M50" s="461"/>
      <c r="N50" s="462"/>
      <c r="O50" s="462"/>
    </row>
    <row r="51" spans="1:15" ht="29.25" customHeight="1" x14ac:dyDescent="0.3">
      <c r="B51" s="520"/>
      <c r="C51" s="529"/>
      <c r="D51" s="522" t="s">
        <v>208</v>
      </c>
      <c r="E51" s="522"/>
      <c r="F51" s="523"/>
      <c r="G51" s="527"/>
      <c r="H51" s="528">
        <v>10811</v>
      </c>
      <c r="I51" s="528">
        <v>10811</v>
      </c>
      <c r="J51" s="516">
        <f t="shared" si="7"/>
        <v>100</v>
      </c>
      <c r="M51" s="461"/>
      <c r="N51" s="462"/>
      <c r="O51" s="462"/>
    </row>
    <row r="52" spans="1:15" ht="29.25" customHeight="1" x14ac:dyDescent="0.3">
      <c r="B52" s="520"/>
      <c r="C52" s="529"/>
      <c r="D52" s="522" t="s">
        <v>1260</v>
      </c>
      <c r="E52" s="534"/>
      <c r="F52" s="553"/>
      <c r="G52" s="527"/>
      <c r="H52" s="528">
        <v>1150</v>
      </c>
      <c r="I52" s="528">
        <v>1150</v>
      </c>
      <c r="J52" s="516">
        <f t="shared" si="7"/>
        <v>100</v>
      </c>
      <c r="M52" s="461"/>
      <c r="N52" s="462"/>
      <c r="O52" s="462"/>
    </row>
    <row r="53" spans="1:15" ht="29.25" customHeight="1" x14ac:dyDescent="0.3">
      <c r="B53" s="520"/>
      <c r="C53" s="529"/>
      <c r="D53" s="2596" t="s">
        <v>258</v>
      </c>
      <c r="E53" s="2597"/>
      <c r="F53" s="2598"/>
      <c r="G53" s="527"/>
      <c r="H53" s="528">
        <v>15323</v>
      </c>
      <c r="I53" s="528">
        <v>1921</v>
      </c>
      <c r="J53" s="516">
        <f t="shared" ref="J53:J58" si="8">+I53/H53*100</f>
        <v>12.536709521634146</v>
      </c>
      <c r="M53" s="461"/>
      <c r="N53" s="462"/>
      <c r="O53" s="462"/>
    </row>
    <row r="54" spans="1:15" ht="29.25" customHeight="1" x14ac:dyDescent="0.3">
      <c r="B54" s="520"/>
      <c r="C54" s="529"/>
      <c r="D54" s="2596" t="s">
        <v>648</v>
      </c>
      <c r="E54" s="2597"/>
      <c r="F54" s="2598"/>
      <c r="G54" s="527"/>
      <c r="H54" s="528">
        <v>107660</v>
      </c>
      <c r="I54" s="528">
        <v>29504</v>
      </c>
      <c r="J54" s="516">
        <f t="shared" si="8"/>
        <v>27.404792866431361</v>
      </c>
      <c r="M54" s="461"/>
      <c r="N54" s="462"/>
      <c r="O54" s="462"/>
    </row>
    <row r="55" spans="1:15" ht="29.25" customHeight="1" x14ac:dyDescent="0.3">
      <c r="B55" s="520"/>
      <c r="C55" s="529"/>
      <c r="D55" s="2596" t="s">
        <v>610</v>
      </c>
      <c r="E55" s="2597"/>
      <c r="F55" s="2598"/>
      <c r="G55" s="527"/>
      <c r="H55" s="528">
        <v>13095</v>
      </c>
      <c r="I55" s="528">
        <v>13095</v>
      </c>
      <c r="J55" s="516">
        <f t="shared" si="8"/>
        <v>100</v>
      </c>
      <c r="M55" s="461"/>
      <c r="N55" s="462"/>
      <c r="O55" s="462"/>
    </row>
    <row r="56" spans="1:15" ht="29.25" customHeight="1" thickBot="1" x14ac:dyDescent="0.35">
      <c r="B56" s="931"/>
      <c r="C56" s="788"/>
      <c r="D56" s="932" t="s">
        <v>616</v>
      </c>
      <c r="E56" s="940"/>
      <c r="F56" s="941"/>
      <c r="G56" s="815"/>
      <c r="H56" s="789">
        <v>18262</v>
      </c>
      <c r="I56" s="789">
        <v>15589</v>
      </c>
      <c r="J56" s="1986">
        <f t="shared" si="8"/>
        <v>85.363048954112358</v>
      </c>
      <c r="M56" s="461"/>
      <c r="N56" s="462"/>
      <c r="O56" s="462"/>
    </row>
    <row r="57" spans="1:15" ht="51" customHeight="1" thickBot="1" x14ac:dyDescent="0.35">
      <c r="B57" s="543" t="s">
        <v>510</v>
      </c>
      <c r="C57" s="2594" t="s">
        <v>192</v>
      </c>
      <c r="D57" s="2594"/>
      <c r="E57" s="2594"/>
      <c r="F57" s="2595"/>
      <c r="G57" s="605">
        <f>SUM(G43:G56)</f>
        <v>35820</v>
      </c>
      <c r="H57" s="586">
        <f>SUM(H43:H56)</f>
        <v>236315</v>
      </c>
      <c r="I57" s="605">
        <f>SUM(I43:I56)</f>
        <v>142084</v>
      </c>
      <c r="J57" s="786">
        <f t="shared" si="8"/>
        <v>60.124833379176103</v>
      </c>
      <c r="M57" s="461"/>
      <c r="N57" s="462"/>
      <c r="O57" s="462"/>
    </row>
    <row r="58" spans="1:15" ht="29.25" customHeight="1" thickBot="1" x14ac:dyDescent="0.35">
      <c r="B58" s="790" t="s">
        <v>1262</v>
      </c>
      <c r="C58" s="791"/>
      <c r="D58" s="779"/>
      <c r="E58" s="779"/>
      <c r="F58" s="780"/>
      <c r="G58" s="792">
        <f>+G40+G42+G57</f>
        <v>3548986</v>
      </c>
      <c r="H58" s="792">
        <f>+H40+H42+H57</f>
        <v>4451277</v>
      </c>
      <c r="I58" s="792">
        <f>+I40+I42+I57</f>
        <v>4357046</v>
      </c>
      <c r="J58" s="1987">
        <f t="shared" si="8"/>
        <v>97.883056929505855</v>
      </c>
      <c r="M58" s="461"/>
      <c r="N58" s="462"/>
      <c r="O58" s="461"/>
    </row>
    <row r="59" spans="1:15" ht="29.25" customHeight="1" x14ac:dyDescent="0.3">
      <c r="B59" s="506" t="s">
        <v>434</v>
      </c>
      <c r="C59" s="507"/>
      <c r="D59" s="556"/>
      <c r="E59" s="556"/>
      <c r="F59" s="509"/>
      <c r="G59" s="557"/>
      <c r="H59" s="558"/>
      <c r="I59" s="557"/>
      <c r="J59" s="587"/>
      <c r="M59" s="461"/>
      <c r="N59" s="462"/>
      <c r="O59" s="461"/>
    </row>
    <row r="60" spans="1:15" ht="29.25" customHeight="1" x14ac:dyDescent="0.3">
      <c r="B60" s="559"/>
      <c r="C60" s="546" t="s">
        <v>182</v>
      </c>
      <c r="D60" s="560"/>
      <c r="E60" s="560"/>
      <c r="F60" s="561"/>
      <c r="G60" s="562"/>
      <c r="H60" s="563"/>
      <c r="I60" s="562"/>
      <c r="J60" s="1988"/>
      <c r="M60" s="461"/>
      <c r="N60" s="462"/>
      <c r="O60" s="461"/>
    </row>
    <row r="61" spans="1:15" ht="29.25" customHeight="1" x14ac:dyDescent="0.3">
      <c r="A61" s="251"/>
      <c r="B61" s="520"/>
      <c r="C61" s="465"/>
      <c r="D61" s="522" t="s">
        <v>29</v>
      </c>
      <c r="E61" s="522"/>
      <c r="F61" s="523"/>
      <c r="G61" s="564">
        <v>700</v>
      </c>
      <c r="H61" s="564">
        <v>1432</v>
      </c>
      <c r="I61" s="564">
        <v>1432</v>
      </c>
      <c r="J61" s="531">
        <f>+I61/H61*100</f>
        <v>100</v>
      </c>
      <c r="M61" s="461"/>
      <c r="N61" s="462"/>
      <c r="O61" s="462"/>
    </row>
    <row r="62" spans="1:15" ht="29.25" customHeight="1" x14ac:dyDescent="0.3">
      <c r="B62" s="559"/>
      <c r="C62" s="546" t="s">
        <v>183</v>
      </c>
      <c r="D62" s="560"/>
      <c r="E62" s="560"/>
      <c r="F62" s="561"/>
      <c r="G62" s="562"/>
      <c r="H62" s="562"/>
      <c r="I62" s="562"/>
      <c r="J62" s="1988"/>
      <c r="M62" s="461"/>
      <c r="N62" s="462"/>
      <c r="O62" s="462"/>
    </row>
    <row r="63" spans="1:15" ht="29.25" customHeight="1" x14ac:dyDescent="0.3">
      <c r="A63" s="251"/>
      <c r="B63" s="520"/>
      <c r="C63" s="465"/>
      <c r="D63" s="522" t="s">
        <v>52</v>
      </c>
      <c r="E63" s="522"/>
      <c r="F63" s="523"/>
      <c r="G63" s="564">
        <v>1222000</v>
      </c>
      <c r="H63" s="564">
        <v>1269835</v>
      </c>
      <c r="I63" s="564">
        <v>1269835</v>
      </c>
      <c r="J63" s="531">
        <f>+I63/H63*100</f>
        <v>100</v>
      </c>
      <c r="L63" s="2100"/>
      <c r="M63" s="461"/>
      <c r="N63" s="462"/>
      <c r="O63" s="461"/>
    </row>
    <row r="64" spans="1:15" ht="29.25" customHeight="1" x14ac:dyDescent="0.3">
      <c r="B64" s="559"/>
      <c r="C64" s="546" t="s">
        <v>184</v>
      </c>
      <c r="D64" s="560"/>
      <c r="E64" s="560"/>
      <c r="F64" s="561"/>
      <c r="G64" s="562"/>
      <c r="H64" s="562"/>
      <c r="I64" s="562"/>
      <c r="J64" s="565"/>
      <c r="M64" s="461"/>
      <c r="N64" s="462"/>
      <c r="O64" s="461"/>
    </row>
    <row r="65" spans="1:15" ht="29.25" customHeight="1" x14ac:dyDescent="0.3">
      <c r="B65" s="545"/>
      <c r="C65" s="546"/>
      <c r="D65" s="1975" t="s">
        <v>30</v>
      </c>
      <c r="E65" s="551"/>
      <c r="F65" s="550"/>
      <c r="G65" s="552">
        <v>8525000</v>
      </c>
      <c r="H65" s="552">
        <v>9036623</v>
      </c>
      <c r="I65" s="552">
        <v>9036623</v>
      </c>
      <c r="J65" s="516">
        <f>+I65/H65*100</f>
        <v>100</v>
      </c>
      <c r="L65" s="2100"/>
      <c r="M65" s="461"/>
      <c r="N65" s="462"/>
      <c r="O65" s="461"/>
    </row>
    <row r="66" spans="1:15" ht="29.25" customHeight="1" x14ac:dyDescent="0.3">
      <c r="A66" s="251"/>
      <c r="B66" s="545"/>
      <c r="C66" s="546"/>
      <c r="D66" s="566" t="s">
        <v>76</v>
      </c>
      <c r="E66" s="567"/>
      <c r="F66" s="568"/>
      <c r="G66" s="569">
        <v>270000</v>
      </c>
      <c r="H66" s="569">
        <v>275846</v>
      </c>
      <c r="I66" s="552">
        <v>275846</v>
      </c>
      <c r="J66" s="516">
        <f>+I66/H66*100</f>
        <v>100</v>
      </c>
      <c r="M66" s="461"/>
      <c r="N66" s="462"/>
      <c r="O66" s="462"/>
    </row>
    <row r="67" spans="1:15" ht="29.25" customHeight="1" x14ac:dyDescent="0.3">
      <c r="B67" s="545"/>
      <c r="C67" s="546"/>
      <c r="D67" s="1975" t="s">
        <v>74</v>
      </c>
      <c r="E67" s="1975"/>
      <c r="F67" s="550"/>
      <c r="G67" s="552">
        <v>22000</v>
      </c>
      <c r="H67" s="552">
        <v>23665</v>
      </c>
      <c r="I67" s="552">
        <v>23665</v>
      </c>
      <c r="J67" s="516">
        <f>+I67/H67*100</f>
        <v>100</v>
      </c>
      <c r="L67" s="2100"/>
      <c r="M67" s="461"/>
      <c r="N67" s="462"/>
      <c r="O67" s="462"/>
    </row>
    <row r="68" spans="1:15" ht="29.25" customHeight="1" x14ac:dyDescent="0.3">
      <c r="B68" s="559"/>
      <c r="C68" s="546" t="s">
        <v>185</v>
      </c>
      <c r="D68" s="560"/>
      <c r="E68" s="560"/>
      <c r="F68" s="561"/>
      <c r="G68" s="562"/>
      <c r="H68" s="562"/>
      <c r="I68" s="562"/>
      <c r="J68" s="565"/>
      <c r="M68" s="461"/>
      <c r="N68" s="462"/>
      <c r="O68" s="462"/>
    </row>
    <row r="69" spans="1:15" ht="29.25" customHeight="1" x14ac:dyDescent="0.3">
      <c r="B69" s="545"/>
      <c r="C69" s="546"/>
      <c r="D69" s="1975" t="s">
        <v>49</v>
      </c>
      <c r="E69" s="551"/>
      <c r="F69" s="550"/>
      <c r="G69" s="552">
        <v>2500</v>
      </c>
      <c r="H69" s="552">
        <v>430</v>
      </c>
      <c r="I69" s="552">
        <v>430</v>
      </c>
      <c r="J69" s="516">
        <f t="shared" ref="J69:J75" si="9">+I69/H69*100</f>
        <v>100</v>
      </c>
      <c r="M69" s="461"/>
      <c r="N69" s="462"/>
      <c r="O69" s="462"/>
    </row>
    <row r="70" spans="1:15" ht="29.25" customHeight="1" x14ac:dyDescent="0.3">
      <c r="B70" s="545"/>
      <c r="C70" s="546"/>
      <c r="D70" s="1975" t="s">
        <v>558</v>
      </c>
      <c r="E70" s="551"/>
      <c r="F70" s="550"/>
      <c r="G70" s="552"/>
      <c r="H70" s="552">
        <v>4</v>
      </c>
      <c r="I70" s="552">
        <v>4</v>
      </c>
      <c r="J70" s="516">
        <f t="shared" si="9"/>
        <v>100</v>
      </c>
      <c r="M70" s="461"/>
      <c r="N70" s="462"/>
      <c r="O70" s="462"/>
    </row>
    <row r="71" spans="1:15" ht="29.25" customHeight="1" x14ac:dyDescent="0.3">
      <c r="B71" s="545"/>
      <c r="C71" s="546"/>
      <c r="D71" s="1975" t="s">
        <v>343</v>
      </c>
      <c r="E71" s="1975"/>
      <c r="F71" s="550"/>
      <c r="G71" s="552">
        <v>10000</v>
      </c>
      <c r="H71" s="552">
        <v>6868</v>
      </c>
      <c r="I71" s="552">
        <f>6868</f>
        <v>6868</v>
      </c>
      <c r="J71" s="516">
        <f t="shared" si="9"/>
        <v>100</v>
      </c>
      <c r="M71" s="461"/>
      <c r="N71" s="462"/>
      <c r="O71" s="462"/>
    </row>
    <row r="72" spans="1:15" ht="29.25" customHeight="1" x14ac:dyDescent="0.3">
      <c r="A72" s="251"/>
      <c r="B72" s="545"/>
      <c r="C72" s="546"/>
      <c r="D72" s="1975" t="s">
        <v>93</v>
      </c>
      <c r="E72" s="551"/>
      <c r="F72" s="550"/>
      <c r="G72" s="552">
        <v>1000</v>
      </c>
      <c r="H72" s="552">
        <v>553</v>
      </c>
      <c r="I72" s="552">
        <v>553</v>
      </c>
      <c r="J72" s="516">
        <f t="shared" si="9"/>
        <v>100</v>
      </c>
      <c r="M72" s="461"/>
      <c r="N72" s="462"/>
      <c r="O72" s="462"/>
    </row>
    <row r="73" spans="1:15" ht="29.25" customHeight="1" x14ac:dyDescent="0.3">
      <c r="B73" s="545"/>
      <c r="C73" s="529"/>
      <c r="D73" s="522" t="s">
        <v>42</v>
      </c>
      <c r="E73" s="522"/>
      <c r="F73" s="550"/>
      <c r="G73" s="552"/>
      <c r="H73" s="552">
        <v>6253</v>
      </c>
      <c r="I73" s="552">
        <v>6253</v>
      </c>
      <c r="J73" s="516">
        <f t="shared" si="9"/>
        <v>100</v>
      </c>
      <c r="M73" s="461"/>
      <c r="N73" s="462"/>
      <c r="O73" s="462"/>
    </row>
    <row r="74" spans="1:15" ht="29.25" customHeight="1" x14ac:dyDescent="0.3">
      <c r="A74" s="251"/>
      <c r="B74" s="545"/>
      <c r="C74" s="546"/>
      <c r="D74" s="1975" t="s">
        <v>63</v>
      </c>
      <c r="E74" s="551"/>
      <c r="F74" s="550"/>
      <c r="G74" s="552"/>
      <c r="H74" s="552">
        <v>5</v>
      </c>
      <c r="I74" s="552">
        <v>5</v>
      </c>
      <c r="J74" s="516">
        <f t="shared" si="9"/>
        <v>100</v>
      </c>
      <c r="M74" s="461"/>
      <c r="N74" s="462"/>
      <c r="O74" s="462"/>
    </row>
    <row r="75" spans="1:15" ht="29.25" customHeight="1" thickBot="1" x14ac:dyDescent="0.35">
      <c r="B75" s="554" t="s">
        <v>435</v>
      </c>
      <c r="C75" s="512"/>
      <c r="D75" s="500"/>
      <c r="E75" s="500"/>
      <c r="F75" s="544"/>
      <c r="G75" s="555">
        <f>SUM(G61:G74)</f>
        <v>10053200</v>
      </c>
      <c r="H75" s="555">
        <f>SUM(H61:H74)</f>
        <v>10621514</v>
      </c>
      <c r="I75" s="555">
        <f>SUM(I61:I74)</f>
        <v>10621514</v>
      </c>
      <c r="J75" s="1989">
        <f t="shared" si="9"/>
        <v>100</v>
      </c>
      <c r="L75" s="2100"/>
      <c r="M75" s="461"/>
      <c r="N75" s="462"/>
      <c r="O75" s="462"/>
    </row>
    <row r="76" spans="1:15" ht="29.25" customHeight="1" x14ac:dyDescent="0.3">
      <c r="B76" s="543" t="s">
        <v>448</v>
      </c>
      <c r="C76" s="570"/>
      <c r="D76" s="570"/>
      <c r="E76" s="570"/>
      <c r="F76" s="570"/>
      <c r="G76" s="497"/>
      <c r="H76" s="498"/>
      <c r="I76" s="556"/>
      <c r="J76" s="571"/>
      <c r="M76" s="461"/>
      <c r="N76" s="462"/>
      <c r="O76" s="462"/>
    </row>
    <row r="77" spans="1:15" ht="29.25" customHeight="1" x14ac:dyDescent="0.3">
      <c r="A77" s="251"/>
      <c r="B77" s="545"/>
      <c r="C77" s="546"/>
      <c r="D77" s="1975" t="s">
        <v>376</v>
      </c>
      <c r="E77" s="1975"/>
      <c r="F77" s="550"/>
      <c r="G77" s="552"/>
      <c r="H77" s="552">
        <v>906</v>
      </c>
      <c r="I77" s="552">
        <v>906</v>
      </c>
      <c r="J77" s="531">
        <f>+I77/H77*100</f>
        <v>100</v>
      </c>
      <c r="M77" s="461"/>
      <c r="N77" s="462"/>
      <c r="O77" s="461"/>
    </row>
    <row r="78" spans="1:15" ht="29.25" customHeight="1" x14ac:dyDescent="0.3">
      <c r="B78" s="545"/>
      <c r="C78" s="546"/>
      <c r="D78" s="566" t="s">
        <v>100</v>
      </c>
      <c r="E78" s="567"/>
      <c r="F78" s="568"/>
      <c r="G78" s="569">
        <v>5000</v>
      </c>
      <c r="H78" s="569">
        <v>1635</v>
      </c>
      <c r="I78" s="569">
        <v>1635</v>
      </c>
      <c r="J78" s="516">
        <f t="shared" ref="J78:J88" si="10">+I78/H78*100</f>
        <v>100</v>
      </c>
      <c r="M78" s="461"/>
      <c r="N78" s="462"/>
      <c r="O78" s="461"/>
    </row>
    <row r="79" spans="1:15" ht="29.25" customHeight="1" x14ac:dyDescent="0.3">
      <c r="B79" s="545"/>
      <c r="C79" s="546"/>
      <c r="D79" s="1975" t="s">
        <v>393</v>
      </c>
      <c r="E79" s="1975"/>
      <c r="F79" s="550"/>
      <c r="G79" s="552">
        <v>10215</v>
      </c>
      <c r="H79" s="552">
        <v>16079</v>
      </c>
      <c r="I79" s="552">
        <v>16079</v>
      </c>
      <c r="J79" s="516">
        <f t="shared" si="10"/>
        <v>100</v>
      </c>
      <c r="M79" s="461"/>
      <c r="N79" s="462"/>
      <c r="O79" s="461"/>
    </row>
    <row r="80" spans="1:15" ht="29.25" customHeight="1" x14ac:dyDescent="0.3">
      <c r="B80" s="545"/>
      <c r="C80" s="546"/>
      <c r="D80" s="566" t="s">
        <v>371</v>
      </c>
      <c r="E80" s="567"/>
      <c r="F80" s="568"/>
      <c r="G80" s="569"/>
      <c r="H80" s="569">
        <v>15888</v>
      </c>
      <c r="I80" s="569">
        <v>15888</v>
      </c>
      <c r="J80" s="516">
        <f t="shared" si="10"/>
        <v>100</v>
      </c>
      <c r="M80" s="461"/>
      <c r="N80" s="462"/>
      <c r="O80" s="461"/>
    </row>
    <row r="81" spans="1:15" ht="29.25" customHeight="1" x14ac:dyDescent="0.3">
      <c r="B81" s="545"/>
      <c r="C81" s="546"/>
      <c r="D81" s="1975" t="s">
        <v>394</v>
      </c>
      <c r="E81" s="1975"/>
      <c r="F81" s="550"/>
      <c r="G81" s="552">
        <v>37000</v>
      </c>
      <c r="H81" s="552">
        <v>37404</v>
      </c>
      <c r="I81" s="552">
        <v>37404</v>
      </c>
      <c r="J81" s="516">
        <f t="shared" si="10"/>
        <v>100</v>
      </c>
      <c r="M81" s="461"/>
      <c r="N81" s="462"/>
      <c r="O81" s="461"/>
    </row>
    <row r="82" spans="1:15" ht="29.25" customHeight="1" x14ac:dyDescent="0.3">
      <c r="B82" s="545"/>
      <c r="C82" s="546"/>
      <c r="D82" s="566" t="s">
        <v>511</v>
      </c>
      <c r="E82" s="567"/>
      <c r="F82" s="568"/>
      <c r="G82" s="569"/>
      <c r="H82" s="569">
        <v>410</v>
      </c>
      <c r="I82" s="569">
        <v>410</v>
      </c>
      <c r="J82" s="516">
        <f t="shared" si="10"/>
        <v>100</v>
      </c>
      <c r="M82" s="461"/>
      <c r="N82" s="462"/>
      <c r="O82" s="462"/>
    </row>
    <row r="83" spans="1:15" ht="29.25" customHeight="1" x14ac:dyDescent="0.3">
      <c r="B83" s="545"/>
      <c r="C83" s="546"/>
      <c r="D83" s="1975" t="s">
        <v>389</v>
      </c>
      <c r="E83" s="1975"/>
      <c r="F83" s="550"/>
      <c r="G83" s="552"/>
      <c r="H83" s="552">
        <v>4112</v>
      </c>
      <c r="I83" s="552">
        <v>4112</v>
      </c>
      <c r="J83" s="516">
        <f t="shared" si="10"/>
        <v>100</v>
      </c>
      <c r="M83" s="461"/>
      <c r="N83" s="462"/>
      <c r="O83" s="462"/>
    </row>
    <row r="84" spans="1:15" ht="29.25" customHeight="1" x14ac:dyDescent="0.3">
      <c r="B84" s="545"/>
      <c r="C84" s="546"/>
      <c r="D84" s="1975" t="s">
        <v>377</v>
      </c>
      <c r="E84" s="1975"/>
      <c r="F84" s="550"/>
      <c r="G84" s="552">
        <v>460000</v>
      </c>
      <c r="H84" s="552">
        <v>478834</v>
      </c>
      <c r="I84" s="552">
        <v>478834</v>
      </c>
      <c r="J84" s="516">
        <f t="shared" si="10"/>
        <v>100</v>
      </c>
      <c r="M84" s="461"/>
      <c r="N84" s="462"/>
      <c r="O84" s="461"/>
    </row>
    <row r="85" spans="1:15" ht="29.25" customHeight="1" x14ac:dyDescent="0.3">
      <c r="A85" s="251"/>
      <c r="B85" s="545"/>
      <c r="C85" s="546"/>
      <c r="D85" s="1975" t="s">
        <v>493</v>
      </c>
      <c r="E85" s="1975"/>
      <c r="F85" s="550"/>
      <c r="G85" s="552">
        <v>13000</v>
      </c>
      <c r="H85" s="552">
        <v>10005</v>
      </c>
      <c r="I85" s="552">
        <v>10005</v>
      </c>
      <c r="J85" s="516">
        <f t="shared" si="10"/>
        <v>100</v>
      </c>
      <c r="M85" s="461"/>
      <c r="N85" s="462"/>
      <c r="O85" s="461"/>
    </row>
    <row r="86" spans="1:15" ht="29.25" customHeight="1" x14ac:dyDescent="0.3">
      <c r="A86" s="251"/>
      <c r="B86" s="545"/>
      <c r="C86" s="546"/>
      <c r="D86" s="566" t="s">
        <v>114</v>
      </c>
      <c r="E86" s="567"/>
      <c r="F86" s="568"/>
      <c r="G86" s="569">
        <v>3600</v>
      </c>
      <c r="H86" s="569">
        <v>3129</v>
      </c>
      <c r="I86" s="569">
        <v>3129</v>
      </c>
      <c r="J86" s="516">
        <f t="shared" si="10"/>
        <v>100</v>
      </c>
      <c r="M86" s="461"/>
      <c r="N86" s="462"/>
      <c r="O86" s="461"/>
    </row>
    <row r="87" spans="1:15" ht="29.25" customHeight="1" x14ac:dyDescent="0.3">
      <c r="B87" s="545"/>
      <c r="C87" s="546"/>
      <c r="D87" s="1975" t="s">
        <v>113</v>
      </c>
      <c r="E87" s="1975"/>
      <c r="F87" s="550"/>
      <c r="G87" s="552">
        <v>700000</v>
      </c>
      <c r="H87" s="552">
        <v>700000</v>
      </c>
      <c r="I87" s="552">
        <v>619678</v>
      </c>
      <c r="J87" s="516">
        <f t="shared" si="10"/>
        <v>88.525428571428563</v>
      </c>
      <c r="M87" s="461"/>
      <c r="N87" s="462"/>
      <c r="O87" s="461"/>
    </row>
    <row r="88" spans="1:15" ht="29.25" customHeight="1" x14ac:dyDescent="0.3">
      <c r="B88" s="545"/>
      <c r="C88" s="546"/>
      <c r="D88" s="1975" t="s">
        <v>64</v>
      </c>
      <c r="E88" s="1975"/>
      <c r="F88" s="550"/>
      <c r="G88" s="552">
        <v>83000</v>
      </c>
      <c r="H88" s="552">
        <v>14028</v>
      </c>
      <c r="I88" s="552">
        <v>14028</v>
      </c>
      <c r="J88" s="516">
        <f t="shared" si="10"/>
        <v>100</v>
      </c>
      <c r="M88" s="461"/>
      <c r="N88" s="462"/>
      <c r="O88" s="461"/>
    </row>
    <row r="89" spans="1:15" ht="29.25" customHeight="1" x14ac:dyDescent="0.3">
      <c r="B89" s="545"/>
      <c r="C89" s="546"/>
      <c r="D89" s="1975" t="s">
        <v>101</v>
      </c>
      <c r="E89" s="1975"/>
      <c r="F89" s="550"/>
      <c r="G89" s="552">
        <v>30000</v>
      </c>
      <c r="H89" s="552">
        <v>30802</v>
      </c>
      <c r="I89" s="552">
        <v>30802</v>
      </c>
      <c r="J89" s="516">
        <f t="shared" ref="J89:J95" si="11">+I89/H89*100</f>
        <v>100</v>
      </c>
      <c r="M89" s="461"/>
      <c r="N89" s="462"/>
      <c r="O89" s="461"/>
    </row>
    <row r="90" spans="1:15" ht="29.25" customHeight="1" x14ac:dyDescent="0.3">
      <c r="B90" s="545"/>
      <c r="C90" s="546"/>
      <c r="D90" s="566" t="s">
        <v>673</v>
      </c>
      <c r="E90" s="566"/>
      <c r="F90" s="568"/>
      <c r="G90" s="569"/>
      <c r="H90" s="569">
        <v>139</v>
      </c>
      <c r="I90" s="569">
        <v>139</v>
      </c>
      <c r="J90" s="516">
        <f t="shared" si="11"/>
        <v>100</v>
      </c>
      <c r="M90" s="461"/>
      <c r="N90" s="462"/>
      <c r="O90" s="461"/>
    </row>
    <row r="91" spans="1:15" ht="29.25" customHeight="1" x14ac:dyDescent="0.3">
      <c r="B91" s="545"/>
      <c r="C91" s="546"/>
      <c r="D91" s="566" t="s">
        <v>351</v>
      </c>
      <c r="E91" s="566"/>
      <c r="F91" s="568"/>
      <c r="G91" s="569"/>
      <c r="H91" s="569">
        <v>501627</v>
      </c>
      <c r="I91" s="569">
        <v>501627</v>
      </c>
      <c r="J91" s="539">
        <f t="shared" si="11"/>
        <v>100</v>
      </c>
      <c r="M91" s="461"/>
      <c r="N91" s="462"/>
      <c r="O91" s="462"/>
    </row>
    <row r="92" spans="1:15" ht="29.25" customHeight="1" x14ac:dyDescent="0.3">
      <c r="B92" s="545"/>
      <c r="C92" s="546"/>
      <c r="D92" s="1975" t="s">
        <v>211</v>
      </c>
      <c r="E92" s="1975"/>
      <c r="F92" s="550"/>
      <c r="G92" s="552"/>
      <c r="H92" s="552">
        <v>339</v>
      </c>
      <c r="I92" s="552">
        <v>339</v>
      </c>
      <c r="J92" s="531">
        <f t="shared" si="11"/>
        <v>100</v>
      </c>
      <c r="M92" s="461"/>
      <c r="N92" s="462"/>
      <c r="O92" s="462"/>
    </row>
    <row r="93" spans="1:15" ht="29.25" customHeight="1" x14ac:dyDescent="0.3">
      <c r="B93" s="545"/>
      <c r="C93" s="546"/>
      <c r="D93" s="566" t="s">
        <v>1263</v>
      </c>
      <c r="E93" s="566"/>
      <c r="F93" s="568"/>
      <c r="G93" s="569"/>
      <c r="H93" s="569">
        <v>192</v>
      </c>
      <c r="I93" s="569">
        <f>51+141</f>
        <v>192</v>
      </c>
      <c r="J93" s="516">
        <f t="shared" si="11"/>
        <v>100</v>
      </c>
      <c r="M93" s="461"/>
      <c r="N93" s="462"/>
      <c r="O93" s="461"/>
    </row>
    <row r="94" spans="1:15" ht="29.25" customHeight="1" x14ac:dyDescent="0.3">
      <c r="B94" s="545"/>
      <c r="C94" s="546"/>
      <c r="D94" s="566" t="s">
        <v>259</v>
      </c>
      <c r="E94" s="566"/>
      <c r="F94" s="568"/>
      <c r="G94" s="569"/>
      <c r="H94" s="569">
        <v>20</v>
      </c>
      <c r="I94" s="569">
        <v>20</v>
      </c>
      <c r="J94" s="539">
        <f t="shared" si="11"/>
        <v>100</v>
      </c>
      <c r="M94" s="461"/>
      <c r="N94" s="462"/>
      <c r="O94" s="462"/>
    </row>
    <row r="95" spans="1:15" ht="29.25" customHeight="1" x14ac:dyDescent="0.3">
      <c r="B95" s="545"/>
      <c r="C95" s="546"/>
      <c r="D95" s="572" t="s">
        <v>370</v>
      </c>
      <c r="E95" s="566"/>
      <c r="F95" s="568"/>
      <c r="G95" s="569">
        <v>2700</v>
      </c>
      <c r="H95" s="569">
        <v>1226</v>
      </c>
      <c r="I95" s="569">
        <v>1226</v>
      </c>
      <c r="J95" s="516">
        <f t="shared" si="11"/>
        <v>100</v>
      </c>
      <c r="M95" s="461"/>
      <c r="N95" s="462"/>
      <c r="O95" s="461"/>
    </row>
    <row r="96" spans="1:15" ht="29.25" customHeight="1" x14ac:dyDescent="0.3">
      <c r="B96" s="545"/>
      <c r="C96" s="546"/>
      <c r="D96" s="572" t="s">
        <v>618</v>
      </c>
      <c r="E96" s="572"/>
      <c r="F96" s="568"/>
      <c r="G96" s="569"/>
      <c r="H96" s="569">
        <v>21293</v>
      </c>
      <c r="I96" s="569">
        <v>21293</v>
      </c>
      <c r="J96" s="516">
        <f t="shared" ref="J96:J97" si="12">+I96/H96*100</f>
        <v>100</v>
      </c>
      <c r="M96" s="461"/>
      <c r="N96" s="462"/>
      <c r="O96" s="461"/>
    </row>
    <row r="97" spans="2:15" ht="29.25" customHeight="1" x14ac:dyDescent="0.3">
      <c r="B97" s="545"/>
      <c r="C97" s="546"/>
      <c r="D97" s="572" t="s">
        <v>705</v>
      </c>
      <c r="E97" s="572"/>
      <c r="F97" s="568"/>
      <c r="G97" s="569"/>
      <c r="H97" s="569">
        <v>25000</v>
      </c>
      <c r="I97" s="569">
        <v>25000</v>
      </c>
      <c r="J97" s="516">
        <f t="shared" si="12"/>
        <v>100</v>
      </c>
      <c r="M97" s="461"/>
      <c r="N97" s="462"/>
      <c r="O97" s="461"/>
    </row>
    <row r="98" spans="2:15" ht="29.25" customHeight="1" x14ac:dyDescent="0.3">
      <c r="B98" s="559"/>
      <c r="C98" s="546" t="s">
        <v>194</v>
      </c>
      <c r="D98" s="560"/>
      <c r="E98" s="560"/>
      <c r="F98" s="550"/>
      <c r="G98" s="552"/>
      <c r="H98" s="552"/>
      <c r="I98" s="552"/>
      <c r="J98" s="531"/>
      <c r="M98" s="461"/>
      <c r="N98" s="462"/>
      <c r="O98" s="461"/>
    </row>
    <row r="99" spans="2:15" ht="29.25" customHeight="1" x14ac:dyDescent="0.3">
      <c r="B99" s="545"/>
      <c r="C99" s="546"/>
      <c r="D99" s="550" t="s">
        <v>378</v>
      </c>
      <c r="E99" s="1975"/>
      <c r="F99" s="550"/>
      <c r="G99" s="552">
        <v>82750</v>
      </c>
      <c r="H99" s="552">
        <v>86800</v>
      </c>
      <c r="I99" s="573"/>
      <c r="J99" s="531">
        <f t="shared" ref="J99:J107" si="13">+I99/H99*100</f>
        <v>0</v>
      </c>
      <c r="M99" s="461"/>
      <c r="N99" s="462"/>
      <c r="O99" s="461"/>
    </row>
    <row r="100" spans="2:15" ht="29.25" customHeight="1" x14ac:dyDescent="0.3">
      <c r="B100" s="545"/>
      <c r="C100" s="546"/>
      <c r="D100" s="550" t="s">
        <v>43</v>
      </c>
      <c r="E100" s="1975"/>
      <c r="F100" s="550"/>
      <c r="G100" s="552">
        <v>250000</v>
      </c>
      <c r="H100" s="552">
        <v>250000</v>
      </c>
      <c r="I100" s="552">
        <f>318700+2</f>
        <v>318702</v>
      </c>
      <c r="J100" s="516">
        <f t="shared" si="13"/>
        <v>127.48079999999999</v>
      </c>
      <c r="M100" s="461"/>
      <c r="N100" s="462"/>
      <c r="O100" s="462"/>
    </row>
    <row r="101" spans="2:15" ht="29.25" customHeight="1" x14ac:dyDescent="0.3">
      <c r="B101" s="545"/>
      <c r="C101" s="546"/>
      <c r="D101" s="1975" t="s">
        <v>242</v>
      </c>
      <c r="E101" s="1975"/>
      <c r="F101" s="550"/>
      <c r="G101" s="552">
        <v>20000</v>
      </c>
      <c r="H101" s="552">
        <v>20000</v>
      </c>
      <c r="I101" s="552"/>
      <c r="J101" s="516">
        <f t="shared" si="13"/>
        <v>0</v>
      </c>
      <c r="M101" s="461"/>
      <c r="N101" s="462"/>
      <c r="O101" s="461"/>
    </row>
    <row r="102" spans="2:15" ht="29.25" customHeight="1" x14ac:dyDescent="0.3">
      <c r="B102" s="545"/>
      <c r="C102" s="546"/>
      <c r="D102" s="1975" t="s">
        <v>706</v>
      </c>
      <c r="E102" s="1975"/>
      <c r="F102" s="550"/>
      <c r="G102" s="552"/>
      <c r="H102" s="552">
        <v>3902</v>
      </c>
      <c r="I102" s="552"/>
      <c r="J102" s="516">
        <f t="shared" si="13"/>
        <v>0</v>
      </c>
      <c r="M102" s="461"/>
      <c r="N102" s="462"/>
      <c r="O102" s="461"/>
    </row>
    <row r="103" spans="2:15" ht="29.25" customHeight="1" x14ac:dyDescent="0.3">
      <c r="B103" s="545"/>
      <c r="C103" s="546"/>
      <c r="D103" s="522" t="s">
        <v>85</v>
      </c>
      <c r="E103" s="1975"/>
      <c r="F103" s="550"/>
      <c r="G103" s="552"/>
      <c r="H103" s="552">
        <v>132206</v>
      </c>
      <c r="I103" s="552"/>
      <c r="J103" s="516">
        <f t="shared" si="13"/>
        <v>0</v>
      </c>
      <c r="M103" s="461"/>
      <c r="N103" s="462"/>
      <c r="O103" s="462"/>
    </row>
    <row r="104" spans="2:15" ht="29.25" customHeight="1" x14ac:dyDescent="0.3">
      <c r="B104" s="545"/>
      <c r="C104" s="546"/>
      <c r="D104" s="522" t="s">
        <v>260</v>
      </c>
      <c r="E104" s="1975"/>
      <c r="F104" s="550"/>
      <c r="G104" s="552"/>
      <c r="H104" s="552">
        <v>10591</v>
      </c>
      <c r="I104" s="552"/>
      <c r="J104" s="516">
        <f t="shared" si="13"/>
        <v>0</v>
      </c>
      <c r="M104" s="461"/>
      <c r="N104" s="462"/>
      <c r="O104" s="462"/>
    </row>
    <row r="105" spans="2:15" ht="29.25" customHeight="1" x14ac:dyDescent="0.3">
      <c r="B105" s="545"/>
      <c r="C105" s="546"/>
      <c r="D105" s="574" t="s">
        <v>486</v>
      </c>
      <c r="E105" s="1975"/>
      <c r="F105" s="550"/>
      <c r="G105" s="552"/>
      <c r="H105" s="552">
        <v>190829</v>
      </c>
      <c r="I105" s="552"/>
      <c r="J105" s="516">
        <f t="shared" si="13"/>
        <v>0</v>
      </c>
      <c r="M105" s="461"/>
      <c r="N105" s="462"/>
      <c r="O105" s="462"/>
    </row>
    <row r="106" spans="2:15" ht="29.25" customHeight="1" x14ac:dyDescent="0.3">
      <c r="B106" s="545"/>
      <c r="C106" s="546"/>
      <c r="D106" s="574" t="s">
        <v>546</v>
      </c>
      <c r="E106" s="1975"/>
      <c r="F106" s="550"/>
      <c r="G106" s="552"/>
      <c r="H106" s="552">
        <v>78343</v>
      </c>
      <c r="I106" s="552"/>
      <c r="J106" s="516">
        <f t="shared" si="13"/>
        <v>0</v>
      </c>
      <c r="M106" s="461"/>
      <c r="N106" s="462"/>
      <c r="O106" s="462"/>
    </row>
    <row r="107" spans="2:15" ht="29.25" customHeight="1" x14ac:dyDescent="0.3">
      <c r="B107" s="545"/>
      <c r="C107" s="546"/>
      <c r="D107" s="574" t="s">
        <v>619</v>
      </c>
      <c r="E107" s="1975"/>
      <c r="F107" s="550"/>
      <c r="G107" s="552"/>
      <c r="H107" s="552">
        <v>65772</v>
      </c>
      <c r="I107" s="552"/>
      <c r="J107" s="516">
        <f t="shared" si="13"/>
        <v>0</v>
      </c>
      <c r="M107" s="461"/>
      <c r="N107" s="462"/>
      <c r="O107" s="462"/>
    </row>
    <row r="108" spans="2:15" ht="29.25" customHeight="1" x14ac:dyDescent="0.3">
      <c r="B108" s="559"/>
      <c r="C108" s="546" t="s">
        <v>195</v>
      </c>
      <c r="D108" s="575"/>
      <c r="E108" s="575"/>
      <c r="F108" s="576"/>
      <c r="G108" s="577"/>
      <c r="H108" s="577"/>
      <c r="I108" s="577"/>
      <c r="J108" s="565"/>
      <c r="M108" s="461"/>
      <c r="N108" s="462"/>
      <c r="O108" s="462"/>
    </row>
    <row r="109" spans="2:15" ht="29.25" customHeight="1" x14ac:dyDescent="0.3">
      <c r="B109" s="545"/>
      <c r="C109" s="529"/>
      <c r="D109" s="2610" t="s">
        <v>395</v>
      </c>
      <c r="E109" s="2611"/>
      <c r="F109" s="2612"/>
      <c r="G109" s="548"/>
      <c r="H109" s="548">
        <v>1993</v>
      </c>
      <c r="I109" s="548">
        <v>1993</v>
      </c>
      <c r="J109" s="516">
        <f>+I109/H109*100</f>
        <v>100</v>
      </c>
      <c r="M109" s="461"/>
      <c r="N109" s="462"/>
      <c r="O109" s="461"/>
    </row>
    <row r="110" spans="2:15" ht="29.25" customHeight="1" x14ac:dyDescent="0.3">
      <c r="B110" s="559"/>
      <c r="C110" s="546" t="s">
        <v>255</v>
      </c>
      <c r="D110" s="575"/>
      <c r="E110" s="575"/>
      <c r="F110" s="576"/>
      <c r="G110" s="577"/>
      <c r="H110" s="578"/>
      <c r="I110" s="577"/>
      <c r="J110" s="516"/>
    </row>
    <row r="111" spans="2:15" ht="29.25" customHeight="1" thickBot="1" x14ac:dyDescent="0.35">
      <c r="B111" s="579" t="s">
        <v>444</v>
      </c>
      <c r="C111" s="580"/>
      <c r="D111" s="581"/>
      <c r="E111" s="581"/>
      <c r="F111" s="581"/>
      <c r="G111" s="582">
        <f>SUM(G77:G110)</f>
        <v>1697265</v>
      </c>
      <c r="H111" s="582">
        <f>SUM(H77:H110)</f>
        <v>2703504</v>
      </c>
      <c r="I111" s="582">
        <f>SUM(I77:I110)</f>
        <v>2103441</v>
      </c>
      <c r="J111" s="583">
        <f>+I111/H111*100</f>
        <v>77.804249596079757</v>
      </c>
    </row>
    <row r="112" spans="2:15" ht="29.25" customHeight="1" x14ac:dyDescent="0.3">
      <c r="B112" s="543" t="s">
        <v>433</v>
      </c>
      <c r="C112" s="584"/>
      <c r="D112" s="585"/>
      <c r="E112" s="585"/>
      <c r="F112" s="585"/>
      <c r="G112" s="586"/>
      <c r="H112" s="573"/>
      <c r="I112" s="586"/>
      <c r="J112" s="587"/>
      <c r="N112" s="458"/>
    </row>
    <row r="113" spans="1:16" s="28" customFormat="1" ht="51" customHeight="1" x14ac:dyDescent="0.3">
      <c r="A113" s="251"/>
      <c r="B113" s="543"/>
      <c r="C113" s="2614" t="s">
        <v>190</v>
      </c>
      <c r="D113" s="2614"/>
      <c r="E113" s="2614"/>
      <c r="F113" s="2615"/>
      <c r="G113" s="588"/>
      <c r="H113" s="588"/>
      <c r="I113" s="588"/>
      <c r="J113" s="589"/>
      <c r="K113" s="106"/>
      <c r="L113" s="106"/>
      <c r="M113" s="458"/>
      <c r="N113" s="459"/>
      <c r="O113" s="459"/>
      <c r="P113" s="465"/>
    </row>
    <row r="114" spans="1:16" ht="33" customHeight="1" x14ac:dyDescent="0.3">
      <c r="B114" s="559"/>
      <c r="C114" s="590"/>
      <c r="D114" s="2608" t="s">
        <v>559</v>
      </c>
      <c r="E114" s="2597"/>
      <c r="F114" s="2598"/>
      <c r="G114" s="591"/>
      <c r="H114" s="591">
        <v>34132</v>
      </c>
      <c r="I114" s="591">
        <v>34132</v>
      </c>
      <c r="J114" s="592">
        <f>+I114/H114*100</f>
        <v>100</v>
      </c>
    </row>
    <row r="115" spans="1:16" ht="29.25" customHeight="1" x14ac:dyDescent="0.3">
      <c r="B115" s="559"/>
      <c r="C115" s="590"/>
      <c r="D115" s="2613" t="s">
        <v>423</v>
      </c>
      <c r="E115" s="2611"/>
      <c r="F115" s="2612"/>
      <c r="G115" s="591"/>
      <c r="H115" s="591">
        <v>20000</v>
      </c>
      <c r="I115" s="591"/>
      <c r="J115" s="592">
        <f>+I115/H115*100</f>
        <v>0</v>
      </c>
    </row>
    <row r="116" spans="1:16" ht="29.25" customHeight="1" x14ac:dyDescent="0.3">
      <c r="A116" s="251"/>
      <c r="B116" s="543"/>
      <c r="C116" s="584" t="s">
        <v>191</v>
      </c>
      <c r="D116" s="585"/>
      <c r="E116" s="585"/>
      <c r="F116" s="585"/>
      <c r="G116" s="586"/>
      <c r="H116" s="586"/>
      <c r="I116" s="586"/>
      <c r="J116" s="594"/>
    </row>
    <row r="117" spans="1:16" ht="29.25" customHeight="1" x14ac:dyDescent="0.3">
      <c r="B117" s="559"/>
      <c r="C117" s="590"/>
      <c r="D117" s="595" t="s">
        <v>644</v>
      </c>
      <c r="E117" s="1976"/>
      <c r="F117" s="596"/>
      <c r="G117" s="829"/>
      <c r="H117" s="593">
        <v>3810</v>
      </c>
      <c r="I117" s="593">
        <v>3810</v>
      </c>
      <c r="J117" s="592">
        <f>+I117/H117*100</f>
        <v>100</v>
      </c>
    </row>
    <row r="118" spans="1:16" ht="29.25" customHeight="1" x14ac:dyDescent="0.3">
      <c r="B118" s="559"/>
      <c r="C118" s="590"/>
      <c r="D118" s="590" t="s">
        <v>649</v>
      </c>
      <c r="E118" s="1976"/>
      <c r="F118" s="596"/>
      <c r="G118" s="593"/>
      <c r="H118" s="593">
        <v>3430</v>
      </c>
      <c r="I118" s="593">
        <v>2999</v>
      </c>
      <c r="J118" s="592">
        <f t="shared" ref="J118:J120" si="14">+I118/H118*100</f>
        <v>87.434402332361515</v>
      </c>
    </row>
    <row r="119" spans="1:16" ht="29.25" customHeight="1" x14ac:dyDescent="0.3">
      <c r="B119" s="559"/>
      <c r="C119" s="590"/>
      <c r="D119" s="572" t="s">
        <v>701</v>
      </c>
      <c r="E119" s="1976"/>
      <c r="F119" s="596"/>
      <c r="G119" s="593"/>
      <c r="H119" s="593">
        <v>49</v>
      </c>
      <c r="I119" s="593">
        <v>49</v>
      </c>
      <c r="J119" s="592">
        <f t="shared" si="14"/>
        <v>100</v>
      </c>
    </row>
    <row r="120" spans="1:16" ht="29.25" customHeight="1" x14ac:dyDescent="0.3">
      <c r="B120" s="559"/>
      <c r="C120" s="590"/>
      <c r="D120" s="590" t="s">
        <v>1264</v>
      </c>
      <c r="E120" s="1976"/>
      <c r="F120" s="596"/>
      <c r="G120" s="593"/>
      <c r="H120" s="593">
        <v>150</v>
      </c>
      <c r="I120" s="593">
        <v>150</v>
      </c>
      <c r="J120" s="592">
        <f t="shared" si="14"/>
        <v>100</v>
      </c>
    </row>
    <row r="121" spans="1:16" ht="29.25" customHeight="1" thickBot="1" x14ac:dyDescent="0.35">
      <c r="B121" s="543" t="s">
        <v>512</v>
      </c>
      <c r="C121" s="580"/>
      <c r="D121" s="597"/>
      <c r="E121" s="597"/>
      <c r="F121" s="581"/>
      <c r="G121" s="598">
        <f>SUM(G114:G120)</f>
        <v>0</v>
      </c>
      <c r="H121" s="598">
        <f>SUM(H114:H120)</f>
        <v>61571</v>
      </c>
      <c r="I121" s="598">
        <f>SUM(I114:I120)</f>
        <v>41140</v>
      </c>
      <c r="J121" s="599">
        <f>+I121/H121*100</f>
        <v>66.817170421139821</v>
      </c>
    </row>
    <row r="122" spans="1:16" ht="29.25" customHeight="1" x14ac:dyDescent="0.3">
      <c r="B122" s="506" t="s">
        <v>186</v>
      </c>
      <c r="C122" s="495"/>
      <c r="D122" s="495"/>
      <c r="E122" s="495"/>
      <c r="F122" s="600"/>
      <c r="G122" s="601"/>
      <c r="H122" s="601"/>
      <c r="I122" s="601"/>
      <c r="J122" s="602"/>
    </row>
    <row r="123" spans="1:16" s="27" customFormat="1" ht="29.25" customHeight="1" x14ac:dyDescent="0.3">
      <c r="A123" s="818"/>
      <c r="B123" s="603"/>
      <c r="C123" s="604" t="s">
        <v>132</v>
      </c>
      <c r="D123" s="570"/>
      <c r="E123" s="570"/>
      <c r="F123" s="605"/>
      <c r="G123" s="606">
        <v>21041</v>
      </c>
      <c r="H123" s="606">
        <v>32512</v>
      </c>
      <c r="I123" s="606">
        <v>32491</v>
      </c>
      <c r="J123" s="516">
        <f>+I123/H123*100</f>
        <v>99.935408464566933</v>
      </c>
      <c r="K123" s="405"/>
      <c r="L123" s="405"/>
      <c r="M123" s="458"/>
      <c r="N123" s="459"/>
      <c r="O123" s="459"/>
      <c r="P123" s="467"/>
    </row>
    <row r="124" spans="1:16" s="27" customFormat="1" ht="29.25" customHeight="1" x14ac:dyDescent="0.3">
      <c r="A124" s="818"/>
      <c r="B124" s="603"/>
      <c r="C124" s="607" t="s">
        <v>494</v>
      </c>
      <c r="D124" s="608"/>
      <c r="E124" s="609"/>
      <c r="F124" s="610"/>
      <c r="G124" s="606">
        <v>423926</v>
      </c>
      <c r="H124" s="606">
        <v>378734</v>
      </c>
      <c r="I124" s="606">
        <v>378732</v>
      </c>
      <c r="J124" s="516">
        <f t="shared" ref="J124:J134" si="15">+I124/H124*100</f>
        <v>99.999471924886592</v>
      </c>
      <c r="K124" s="405"/>
      <c r="L124" s="405"/>
      <c r="M124" s="458"/>
      <c r="N124" s="459"/>
      <c r="O124" s="459"/>
      <c r="P124" s="467"/>
    </row>
    <row r="125" spans="1:16" s="27" customFormat="1" ht="29.25" customHeight="1" x14ac:dyDescent="0.3">
      <c r="A125" s="818"/>
      <c r="B125" s="603"/>
      <c r="C125" s="608" t="s">
        <v>437</v>
      </c>
      <c r="D125" s="611"/>
      <c r="E125" s="609"/>
      <c r="F125" s="610"/>
      <c r="G125" s="606">
        <v>267832</v>
      </c>
      <c r="H125" s="606">
        <v>321121</v>
      </c>
      <c r="I125" s="606">
        <v>321121</v>
      </c>
      <c r="J125" s="516">
        <f t="shared" si="15"/>
        <v>100</v>
      </c>
      <c r="K125" s="405"/>
      <c r="L125" s="405"/>
      <c r="M125" s="458"/>
      <c r="N125" s="459"/>
      <c r="O125" s="459"/>
      <c r="P125" s="467"/>
    </row>
    <row r="126" spans="1:16" s="27" customFormat="1" ht="29.25" customHeight="1" x14ac:dyDescent="0.3">
      <c r="A126" s="818"/>
      <c r="B126" s="603"/>
      <c r="C126" s="608" t="s">
        <v>373</v>
      </c>
      <c r="D126" s="611"/>
      <c r="E126" s="609"/>
      <c r="F126" s="610"/>
      <c r="G126" s="606">
        <v>33830</v>
      </c>
      <c r="H126" s="606">
        <v>49997</v>
      </c>
      <c r="I126" s="606">
        <v>49422</v>
      </c>
      <c r="J126" s="516">
        <f t="shared" si="15"/>
        <v>98.849930995859751</v>
      </c>
      <c r="K126" s="405"/>
      <c r="L126" s="405"/>
      <c r="M126" s="458"/>
      <c r="N126" s="459"/>
      <c r="O126" s="459"/>
      <c r="P126" s="467"/>
    </row>
    <row r="127" spans="1:16" s="27" customFormat="1" ht="29.25" customHeight="1" x14ac:dyDescent="0.3">
      <c r="A127" s="818"/>
      <c r="B127" s="603"/>
      <c r="C127" s="608" t="s">
        <v>374</v>
      </c>
      <c r="D127" s="611"/>
      <c r="E127" s="609"/>
      <c r="F127" s="610"/>
      <c r="G127" s="606">
        <v>111000</v>
      </c>
      <c r="H127" s="606">
        <v>114712</v>
      </c>
      <c r="I127" s="606">
        <v>114200</v>
      </c>
      <c r="J127" s="516">
        <f t="shared" si="15"/>
        <v>99.553664830183422</v>
      </c>
      <c r="K127" s="405"/>
      <c r="L127" s="405"/>
      <c r="M127" s="458"/>
      <c r="N127" s="459"/>
      <c r="O127" s="459"/>
      <c r="P127" s="467"/>
    </row>
    <row r="128" spans="1:16" s="27" customFormat="1" ht="29.25" customHeight="1" x14ac:dyDescent="0.3">
      <c r="A128" s="818"/>
      <c r="B128" s="603"/>
      <c r="C128" s="608" t="s">
        <v>439</v>
      </c>
      <c r="D128" s="611"/>
      <c r="E128" s="609"/>
      <c r="F128" s="610"/>
      <c r="G128" s="606">
        <v>24000</v>
      </c>
      <c r="H128" s="606">
        <v>30167</v>
      </c>
      <c r="I128" s="606">
        <v>30168</v>
      </c>
      <c r="J128" s="516">
        <f t="shared" ref="J128" si="16">+I128/H128*100</f>
        <v>100.00331488049856</v>
      </c>
      <c r="K128" s="405"/>
      <c r="L128" s="405"/>
      <c r="M128" s="458"/>
      <c r="N128" s="459"/>
      <c r="O128" s="459"/>
      <c r="P128" s="467"/>
    </row>
    <row r="129" spans="1:16" s="27" customFormat="1" ht="29.25" customHeight="1" x14ac:dyDescent="0.3">
      <c r="A129" s="818"/>
      <c r="B129" s="603"/>
      <c r="C129" s="608" t="s">
        <v>438</v>
      </c>
      <c r="D129" s="611"/>
      <c r="E129" s="609"/>
      <c r="F129" s="610"/>
      <c r="G129" s="606">
        <v>148850</v>
      </c>
      <c r="H129" s="606">
        <v>337901</v>
      </c>
      <c r="I129" s="606">
        <v>338766</v>
      </c>
      <c r="J129" s="516">
        <f t="shared" si="15"/>
        <v>100.25599213970955</v>
      </c>
      <c r="K129" s="405"/>
      <c r="L129" s="405"/>
      <c r="M129" s="458"/>
      <c r="N129" s="459"/>
      <c r="O129" s="459"/>
      <c r="P129" s="467"/>
    </row>
    <row r="130" spans="1:16" s="27" customFormat="1" ht="29.25" customHeight="1" x14ac:dyDescent="0.3">
      <c r="A130" s="818"/>
      <c r="B130" s="603"/>
      <c r="C130" s="2606" t="s">
        <v>78</v>
      </c>
      <c r="D130" s="2597"/>
      <c r="E130" s="2597"/>
      <c r="F130" s="2598"/>
      <c r="G130" s="606">
        <v>87867</v>
      </c>
      <c r="H130" s="606">
        <v>120390</v>
      </c>
      <c r="I130" s="606">
        <v>120390</v>
      </c>
      <c r="J130" s="516">
        <f t="shared" si="15"/>
        <v>100</v>
      </c>
      <c r="K130" s="405"/>
      <c r="L130" s="405"/>
      <c r="M130" s="458"/>
      <c r="N130" s="459"/>
      <c r="O130" s="459"/>
      <c r="P130" s="467"/>
    </row>
    <row r="131" spans="1:16" s="27" customFormat="1" ht="29.25" customHeight="1" x14ac:dyDescent="0.3">
      <c r="A131" s="818"/>
      <c r="B131" s="603"/>
      <c r="C131" s="607" t="s">
        <v>495</v>
      </c>
      <c r="D131" s="609"/>
      <c r="E131" s="609"/>
      <c r="F131" s="610"/>
      <c r="G131" s="606">
        <v>260732</v>
      </c>
      <c r="H131" s="606">
        <v>312638</v>
      </c>
      <c r="I131" s="606">
        <v>312638</v>
      </c>
      <c r="J131" s="516">
        <f t="shared" si="15"/>
        <v>100</v>
      </c>
      <c r="K131" s="405"/>
      <c r="L131" s="405"/>
      <c r="M131" s="458"/>
      <c r="N131" s="459"/>
      <c r="O131" s="459"/>
      <c r="P131" s="467"/>
    </row>
    <row r="132" spans="1:16" s="27" customFormat="1" ht="29.25" customHeight="1" x14ac:dyDescent="0.3">
      <c r="A132" s="818"/>
      <c r="B132" s="603"/>
      <c r="C132" s="607" t="s">
        <v>110</v>
      </c>
      <c r="D132" s="609"/>
      <c r="E132" s="609"/>
      <c r="F132" s="610"/>
      <c r="G132" s="606">
        <v>47906</v>
      </c>
      <c r="H132" s="606">
        <v>52532</v>
      </c>
      <c r="I132" s="606">
        <v>52532</v>
      </c>
      <c r="J132" s="516">
        <f t="shared" si="15"/>
        <v>100</v>
      </c>
      <c r="K132" s="405"/>
      <c r="L132" s="405"/>
      <c r="M132" s="458"/>
      <c r="N132" s="459"/>
      <c r="O132" s="459"/>
      <c r="P132" s="467"/>
    </row>
    <row r="133" spans="1:16" s="27" customFormat="1" ht="29.25" customHeight="1" x14ac:dyDescent="0.3">
      <c r="A133" s="818"/>
      <c r="B133" s="603"/>
      <c r="C133" s="607" t="s">
        <v>111</v>
      </c>
      <c r="D133" s="609"/>
      <c r="E133" s="609"/>
      <c r="F133" s="610"/>
      <c r="G133" s="606">
        <v>139748</v>
      </c>
      <c r="H133" s="606">
        <v>140617</v>
      </c>
      <c r="I133" s="606">
        <v>140616</v>
      </c>
      <c r="J133" s="516">
        <f t="shared" si="15"/>
        <v>99.999288848432272</v>
      </c>
      <c r="K133" s="405"/>
      <c r="L133" s="405"/>
      <c r="M133" s="458"/>
      <c r="N133" s="459"/>
      <c r="O133" s="459"/>
      <c r="P133" s="467"/>
    </row>
    <row r="134" spans="1:16" s="27" customFormat="1" ht="29.25" customHeight="1" x14ac:dyDescent="0.3">
      <c r="A134" s="818"/>
      <c r="B134" s="603"/>
      <c r="C134" s="604" t="s">
        <v>75</v>
      </c>
      <c r="D134" s="570"/>
      <c r="E134" s="570"/>
      <c r="F134" s="605"/>
      <c r="G134" s="613">
        <v>16750</v>
      </c>
      <c r="H134" s="613">
        <v>41543</v>
      </c>
      <c r="I134" s="613">
        <v>39073</v>
      </c>
      <c r="J134" s="612">
        <f t="shared" si="15"/>
        <v>94.054353320655707</v>
      </c>
      <c r="K134" s="405"/>
      <c r="L134" s="405"/>
      <c r="M134" s="466"/>
      <c r="N134" s="467"/>
      <c r="O134" s="467"/>
      <c r="P134" s="467"/>
    </row>
    <row r="135" spans="1:16" s="27" customFormat="1" ht="29.25" customHeight="1" x14ac:dyDescent="0.3">
      <c r="A135" s="818"/>
      <c r="B135" s="603"/>
      <c r="C135" s="607" t="s">
        <v>99</v>
      </c>
      <c r="D135" s="609"/>
      <c r="E135" s="609"/>
      <c r="F135" s="610"/>
      <c r="G135" s="564"/>
      <c r="H135" s="564"/>
      <c r="I135" s="564">
        <v>724</v>
      </c>
      <c r="J135" s="612"/>
      <c r="K135" s="405"/>
      <c r="L135" s="405"/>
      <c r="M135" s="466"/>
      <c r="N135" s="467"/>
      <c r="O135" s="467"/>
      <c r="P135" s="467"/>
    </row>
    <row r="136" spans="1:16" ht="29.25" customHeight="1" thickBot="1" x14ac:dyDescent="0.35">
      <c r="B136" s="579" t="s">
        <v>513</v>
      </c>
      <c r="C136" s="614"/>
      <c r="D136" s="581"/>
      <c r="E136" s="581"/>
      <c r="F136" s="581"/>
      <c r="G136" s="598">
        <f t="shared" ref="G136:I136" si="17">SUM(G123:G135)</f>
        <v>1583482</v>
      </c>
      <c r="H136" s="598">
        <f t="shared" si="17"/>
        <v>1932864</v>
      </c>
      <c r="I136" s="598">
        <f t="shared" si="17"/>
        <v>1930873</v>
      </c>
      <c r="J136" s="583">
        <f>+I136/H136*100</f>
        <v>99.896992235356436</v>
      </c>
      <c r="M136" s="466"/>
      <c r="N136" s="467"/>
      <c r="O136" s="467"/>
    </row>
    <row r="137" spans="1:16" ht="29.25" customHeight="1" thickBot="1" x14ac:dyDescent="0.35">
      <c r="B137" s="579" t="s">
        <v>444</v>
      </c>
      <c r="C137" s="614"/>
      <c r="D137" s="580"/>
      <c r="E137" s="580"/>
      <c r="F137" s="580"/>
      <c r="G137" s="615">
        <f>+G58+G121+G111+G75+G136</f>
        <v>16882933</v>
      </c>
      <c r="H137" s="615">
        <f>+H58+H121+H111+H75+H136</f>
        <v>19770730</v>
      </c>
      <c r="I137" s="615">
        <f>+I58+I121+I111+I75+I136</f>
        <v>19054014</v>
      </c>
      <c r="J137" s="583">
        <f>+I137/H137*100</f>
        <v>96.374863244806846</v>
      </c>
      <c r="M137" s="466"/>
      <c r="N137" s="467"/>
      <c r="O137" s="467"/>
    </row>
    <row r="138" spans="1:16" ht="21" customHeight="1" x14ac:dyDescent="0.3">
      <c r="M138" s="466"/>
      <c r="N138" s="467"/>
      <c r="O138" s="467"/>
    </row>
    <row r="139" spans="1:16" ht="21" customHeight="1" x14ac:dyDescent="0.3">
      <c r="I139" s="245"/>
      <c r="M139" s="466"/>
      <c r="N139" s="467"/>
      <c r="O139" s="467"/>
    </row>
    <row r="140" spans="1:16" ht="21" customHeight="1" x14ac:dyDescent="0.3">
      <c r="I140" s="245"/>
      <c r="M140" s="466"/>
      <c r="N140" s="467"/>
      <c r="O140" s="467"/>
    </row>
    <row r="141" spans="1:16" ht="21" customHeight="1" x14ac:dyDescent="0.3">
      <c r="I141" s="245"/>
      <c r="M141" s="466"/>
      <c r="N141" s="467"/>
      <c r="O141" s="467"/>
    </row>
    <row r="142" spans="1:16" ht="21" customHeight="1" x14ac:dyDescent="0.3">
      <c r="I142" s="245"/>
      <c r="M142" s="466"/>
      <c r="N142" s="467"/>
      <c r="O142" s="467"/>
    </row>
    <row r="143" spans="1:16" ht="21" customHeight="1" x14ac:dyDescent="0.3">
      <c r="I143" s="245"/>
      <c r="M143" s="466"/>
      <c r="N143" s="467"/>
      <c r="O143" s="467"/>
    </row>
    <row r="144" spans="1:16" ht="21" customHeight="1" x14ac:dyDescent="0.3">
      <c r="I144" s="245"/>
      <c r="M144" s="468"/>
      <c r="N144" s="464"/>
      <c r="O144" s="464"/>
    </row>
    <row r="145" spans="9:15" ht="21" customHeight="1" x14ac:dyDescent="0.3">
      <c r="I145" s="245"/>
      <c r="M145" s="466"/>
      <c r="N145" s="467"/>
      <c r="O145" s="467"/>
    </row>
    <row r="146" spans="9:15" ht="21" customHeight="1" x14ac:dyDescent="0.3">
      <c r="I146" s="245"/>
      <c r="M146" s="466"/>
      <c r="N146" s="467"/>
      <c r="O146" s="467"/>
    </row>
    <row r="149" spans="9:15" ht="21" customHeight="1" x14ac:dyDescent="0.3">
      <c r="I149" s="245"/>
    </row>
    <row r="150" spans="9:15" ht="21" customHeight="1" x14ac:dyDescent="0.3">
      <c r="I150" s="245"/>
    </row>
    <row r="151" spans="9:15" ht="21" customHeight="1" x14ac:dyDescent="0.3">
      <c r="I151" s="245"/>
    </row>
    <row r="152" spans="9:15" ht="21" customHeight="1" x14ac:dyDescent="0.3">
      <c r="I152" s="245"/>
    </row>
    <row r="153" spans="9:15" ht="21" customHeight="1" x14ac:dyDescent="0.3">
      <c r="I153" s="245"/>
    </row>
  </sheetData>
  <mergeCells count="16">
    <mergeCell ref="C130:F130"/>
    <mergeCell ref="D109:F109"/>
    <mergeCell ref="D115:F115"/>
    <mergeCell ref="D114:F114"/>
    <mergeCell ref="C113:F113"/>
    <mergeCell ref="C57:F57"/>
    <mergeCell ref="D53:F53"/>
    <mergeCell ref="B1:F1"/>
    <mergeCell ref="C12:F12"/>
    <mergeCell ref="B2:J2"/>
    <mergeCell ref="G5:H5"/>
    <mergeCell ref="D23:F23"/>
    <mergeCell ref="D24:F24"/>
    <mergeCell ref="D54:F54"/>
    <mergeCell ref="D55:F55"/>
    <mergeCell ref="D33:F33"/>
  </mergeCells>
  <phoneticPr fontId="0" type="noConversion"/>
  <printOptions horizontalCentered="1" verticalCentered="1"/>
  <pageMargins left="0.39370078740157483" right="0" top="0" bottom="0" header="0.51181102362204722" footer="0"/>
  <pageSetup paperSize="9" scale="42" orientation="portrait" r:id="rId1"/>
  <headerFooter alignWithMargins="0">
    <oddHeader>&amp;R&amp;"Arial,Félkövér"&amp;20  3. melléklet .../2019. (........) önkormányzati rendelethez</oddHeader>
  </headerFooter>
  <rowBreaks count="2" manualBreakCount="2">
    <brk id="58" min="1" max="10" man="1"/>
    <brk id="111" min="1" max="10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D71"/>
  <sheetViews>
    <sheetView zoomScale="55" zoomScaleNormal="55" zoomScaleSheetLayoutView="50" workbookViewId="0">
      <selection activeCell="B4" sqref="B4:D4"/>
    </sheetView>
  </sheetViews>
  <sheetFormatPr defaultColWidth="12" defaultRowHeight="18.75" x14ac:dyDescent="0.3"/>
  <cols>
    <col min="1" max="1" width="12" style="2372"/>
    <col min="2" max="2" width="130.83203125" style="2370" customWidth="1"/>
    <col min="3" max="3" width="172.33203125" style="2376" customWidth="1"/>
    <col min="4" max="4" width="49.1640625" style="2376" customWidth="1"/>
    <col min="5" max="5" width="12" style="2372"/>
    <col min="6" max="6" width="18.83203125" style="2372" bestFit="1" customWidth="1"/>
    <col min="7" max="7" width="12.1640625" style="2372" bestFit="1" customWidth="1"/>
    <col min="8" max="16384" width="12" style="2372"/>
  </cols>
  <sheetData>
    <row r="1" spans="2:4" ht="18.75" customHeight="1" x14ac:dyDescent="0.3">
      <c r="C1" s="2371"/>
      <c r="D1" s="2371"/>
    </row>
    <row r="2" spans="2:4" ht="18.75" customHeight="1" x14ac:dyDescent="0.3">
      <c r="B2" s="2373"/>
      <c r="C2" s="2371"/>
      <c r="D2" s="2371"/>
    </row>
    <row r="3" spans="2:4" s="2374" customFormat="1" ht="33.75" customHeight="1" x14ac:dyDescent="0.5">
      <c r="B3" s="2833" t="s">
        <v>1788</v>
      </c>
      <c r="C3" s="2833"/>
      <c r="D3" s="2833"/>
    </row>
    <row r="4" spans="2:4" s="2375" customFormat="1" ht="40.5" customHeight="1" x14ac:dyDescent="0.5">
      <c r="B4" s="2833" t="s">
        <v>1732</v>
      </c>
      <c r="C4" s="2833"/>
      <c r="D4" s="2833"/>
    </row>
    <row r="5" spans="2:4" ht="27" customHeight="1" thickBot="1" x14ac:dyDescent="0.35"/>
    <row r="6" spans="2:4" s="2378" customFormat="1" ht="37.5" customHeight="1" x14ac:dyDescent="0.4">
      <c r="B6" s="2385" t="s">
        <v>1410</v>
      </c>
      <c r="C6" s="2386" t="s">
        <v>1733</v>
      </c>
      <c r="D6" s="2377" t="s">
        <v>1441</v>
      </c>
    </row>
    <row r="7" spans="2:4" s="2378" customFormat="1" ht="25.5" customHeight="1" thickBot="1" x14ac:dyDescent="0.45">
      <c r="B7" s="2387"/>
      <c r="C7" s="2388"/>
      <c r="D7" s="2379" t="s">
        <v>34</v>
      </c>
    </row>
    <row r="8" spans="2:4" ht="35.1" customHeight="1" x14ac:dyDescent="0.4">
      <c r="B8" s="2389" t="s">
        <v>1423</v>
      </c>
      <c r="C8" s="2390"/>
      <c r="D8" s="2391"/>
    </row>
    <row r="9" spans="2:4" ht="33.75" customHeight="1" x14ac:dyDescent="0.35">
      <c r="B9" s="2440" t="s">
        <v>1443</v>
      </c>
      <c r="C9" s="2441" t="s">
        <v>1734</v>
      </c>
      <c r="D9" s="2442">
        <f>[8]felújítás!D10</f>
        <v>414.52800000000002</v>
      </c>
    </row>
    <row r="10" spans="2:4" ht="33.75" customHeight="1" thickBot="1" x14ac:dyDescent="0.4">
      <c r="B10" s="2443"/>
      <c r="C10" s="2444" t="s">
        <v>1735</v>
      </c>
      <c r="D10" s="2445">
        <f>[8]felújítás!D11</f>
        <v>4258.7420000000002</v>
      </c>
    </row>
    <row r="11" spans="2:4" ht="33.75" customHeight="1" x14ac:dyDescent="0.35">
      <c r="B11" s="2446" t="s">
        <v>1448</v>
      </c>
      <c r="C11" s="2447" t="s">
        <v>1736</v>
      </c>
      <c r="D11" s="2442">
        <f>[8]felújítás!D12</f>
        <v>1955.8</v>
      </c>
    </row>
    <row r="12" spans="2:4" ht="33.75" customHeight="1" thickBot="1" x14ac:dyDescent="0.4">
      <c r="B12" s="2443"/>
      <c r="C12" s="2448" t="s">
        <v>1737</v>
      </c>
      <c r="D12" s="2445">
        <f>[8]felújítás!D13</f>
        <v>2150</v>
      </c>
    </row>
    <row r="13" spans="2:4" ht="33.75" customHeight="1" x14ac:dyDescent="0.35">
      <c r="B13" s="2446" t="s">
        <v>1452</v>
      </c>
      <c r="C13" s="2449" t="s">
        <v>1738</v>
      </c>
      <c r="D13" s="2450">
        <f>[8]felújítás!D14</f>
        <v>470.637</v>
      </c>
    </row>
    <row r="14" spans="2:4" ht="34.5" customHeight="1" thickBot="1" x14ac:dyDescent="0.4">
      <c r="B14" s="2440"/>
      <c r="C14" s="2451" t="s">
        <v>1739</v>
      </c>
      <c r="D14" s="2445">
        <f>[8]felújítás!D15</f>
        <v>766.81</v>
      </c>
    </row>
    <row r="15" spans="2:4" ht="33.75" customHeight="1" x14ac:dyDescent="0.35">
      <c r="B15" s="2446" t="s">
        <v>1461</v>
      </c>
      <c r="C15" s="2447" t="s">
        <v>1740</v>
      </c>
      <c r="D15" s="2442">
        <f>[8]felújítás!D16</f>
        <v>3000</v>
      </c>
    </row>
    <row r="16" spans="2:4" ht="33.75" customHeight="1" thickBot="1" x14ac:dyDescent="0.4">
      <c r="B16" s="2440"/>
      <c r="C16" s="2452" t="s">
        <v>1741</v>
      </c>
      <c r="D16" s="2445">
        <f>[8]felújítás!D17</f>
        <v>8524.3160000000007</v>
      </c>
    </row>
    <row r="17" spans="2:4" ht="33.75" customHeight="1" thickBot="1" x14ac:dyDescent="0.4">
      <c r="B17" s="2446" t="s">
        <v>1470</v>
      </c>
      <c r="C17" s="2447" t="s">
        <v>1742</v>
      </c>
      <c r="D17" s="2453">
        <f>[8]felújítás!D18</f>
        <v>8890</v>
      </c>
    </row>
    <row r="18" spans="2:4" ht="33.75" customHeight="1" thickBot="1" x14ac:dyDescent="0.4">
      <c r="B18" s="2446" t="s">
        <v>1318</v>
      </c>
      <c r="C18" s="2454" t="s">
        <v>1743</v>
      </c>
      <c r="D18" s="2455">
        <f>[8]felújítás!D19</f>
        <v>694.69</v>
      </c>
    </row>
    <row r="19" spans="2:4" ht="33.75" customHeight="1" thickBot="1" x14ac:dyDescent="0.4">
      <c r="B19" s="2456" t="s">
        <v>1483</v>
      </c>
      <c r="C19" s="2454" t="s">
        <v>1744</v>
      </c>
      <c r="D19" s="2453">
        <f>[8]felújítás!D20</f>
        <v>2264.587</v>
      </c>
    </row>
    <row r="20" spans="2:4" ht="33.75" customHeight="1" thickBot="1" x14ac:dyDescent="0.4">
      <c r="B20" s="2446" t="s">
        <v>1424</v>
      </c>
      <c r="C20" s="2457" t="s">
        <v>1745</v>
      </c>
      <c r="D20" s="2458">
        <f>[8]felújítás!D21</f>
        <v>1912.4929999999999</v>
      </c>
    </row>
    <row r="21" spans="2:4" ht="33.75" customHeight="1" x14ac:dyDescent="0.35">
      <c r="B21" s="2446" t="s">
        <v>1323</v>
      </c>
      <c r="C21" s="2449" t="s">
        <v>1746</v>
      </c>
      <c r="D21" s="2450">
        <f>[8]felújítás!D22</f>
        <v>723.13800000000003</v>
      </c>
    </row>
    <row r="22" spans="2:4" ht="33.75" customHeight="1" x14ac:dyDescent="0.35">
      <c r="B22" s="2459"/>
      <c r="C22" s="2460" t="s">
        <v>1747</v>
      </c>
      <c r="D22" s="2461">
        <f>[8]felújítás!D23</f>
        <v>933.45</v>
      </c>
    </row>
    <row r="23" spans="2:4" ht="33.75" customHeight="1" thickBot="1" x14ac:dyDescent="0.4">
      <c r="B23" s="2462"/>
      <c r="C23" s="2452" t="s">
        <v>1748</v>
      </c>
      <c r="D23" s="2445">
        <f>[8]felújítás!D24</f>
        <v>1595.501</v>
      </c>
    </row>
    <row r="24" spans="2:4" s="2380" customFormat="1" ht="33.75" customHeight="1" thickBot="1" x14ac:dyDescent="0.45">
      <c r="B24" s="2463" t="s">
        <v>1425</v>
      </c>
      <c r="C24" s="2464"/>
      <c r="D24" s="2465">
        <f>[8]felújítás!D25</f>
        <v>38553.692000000003</v>
      </c>
    </row>
    <row r="25" spans="2:4" s="2380" customFormat="1" ht="33.75" customHeight="1" x14ac:dyDescent="0.35">
      <c r="B25" s="2466" t="s">
        <v>214</v>
      </c>
      <c r="C25" s="2467" t="s">
        <v>1749</v>
      </c>
      <c r="D25" s="2450">
        <f>[8]felújítás!D26</f>
        <v>1281.18</v>
      </c>
    </row>
    <row r="26" spans="2:4" s="2380" customFormat="1" ht="33.75" customHeight="1" x14ac:dyDescent="0.35">
      <c r="B26" s="2468"/>
      <c r="C26" s="2469" t="s">
        <v>1750</v>
      </c>
      <c r="D26" s="2461">
        <f>[8]felújítás!D27</f>
        <v>4284.3459999999995</v>
      </c>
    </row>
    <row r="27" spans="2:4" s="2382" customFormat="1" ht="33.75" customHeight="1" x14ac:dyDescent="0.35">
      <c r="B27" s="2470"/>
      <c r="C27" s="2469" t="s">
        <v>1751</v>
      </c>
      <c r="D27" s="2442">
        <f>[8]felújítás!D28</f>
        <v>711.2</v>
      </c>
    </row>
    <row r="28" spans="2:4" s="2382" customFormat="1" ht="33.75" customHeight="1" x14ac:dyDescent="0.35">
      <c r="B28" s="2470"/>
      <c r="C28" s="2469" t="s">
        <v>1752</v>
      </c>
      <c r="D28" s="2442">
        <f>[8]felújítás!D29</f>
        <v>4473.12</v>
      </c>
    </row>
    <row r="29" spans="2:4" s="2380" customFormat="1" ht="33.75" customHeight="1" x14ac:dyDescent="0.35">
      <c r="B29" s="2468"/>
      <c r="C29" s="2469" t="s">
        <v>1753</v>
      </c>
      <c r="D29" s="2442">
        <f>[8]felújítás!D30</f>
        <v>9938.7189999999991</v>
      </c>
    </row>
    <row r="30" spans="2:4" s="2380" customFormat="1" ht="34.5" customHeight="1" x14ac:dyDescent="0.35">
      <c r="B30" s="2468"/>
      <c r="C30" s="2469" t="s">
        <v>1754</v>
      </c>
      <c r="D30" s="2442">
        <f>[8]felújítás!D31</f>
        <v>940.70799999999997</v>
      </c>
    </row>
    <row r="31" spans="2:4" s="2380" customFormat="1" ht="33.75" customHeight="1" x14ac:dyDescent="0.35">
      <c r="B31" s="2470"/>
      <c r="C31" s="2469" t="s">
        <v>1755</v>
      </c>
      <c r="D31" s="2461">
        <f>[8]felújítás!D32</f>
        <v>1157.7829999999999</v>
      </c>
    </row>
    <row r="32" spans="2:4" ht="33.75" customHeight="1" x14ac:dyDescent="0.35">
      <c r="B32" s="2468"/>
      <c r="C32" s="2469" t="s">
        <v>1756</v>
      </c>
      <c r="D32" s="2461">
        <f>[8]felújítás!D33</f>
        <v>401.99900000000002</v>
      </c>
    </row>
    <row r="33" spans="2:4" ht="34.5" customHeight="1" x14ac:dyDescent="0.35">
      <c r="B33" s="2468"/>
      <c r="C33" s="2469" t="s">
        <v>1757</v>
      </c>
      <c r="D33" s="2442">
        <f>[8]felújítás!D34</f>
        <v>774.7</v>
      </c>
    </row>
    <row r="34" spans="2:4" s="2380" customFormat="1" ht="33.75" customHeight="1" x14ac:dyDescent="0.35">
      <c r="B34" s="2468"/>
      <c r="C34" s="2469" t="s">
        <v>1758</v>
      </c>
      <c r="D34" s="2442">
        <f>[8]felújítás!D35</f>
        <v>173.02099999999999</v>
      </c>
    </row>
    <row r="35" spans="2:4" s="2380" customFormat="1" ht="33.75" customHeight="1" x14ac:dyDescent="0.35">
      <c r="B35" s="2470"/>
      <c r="C35" s="2469" t="s">
        <v>1759</v>
      </c>
      <c r="D35" s="2461">
        <f>[8]felújítás!D36</f>
        <v>2500</v>
      </c>
    </row>
    <row r="36" spans="2:4" s="2380" customFormat="1" ht="33.75" customHeight="1" x14ac:dyDescent="0.35">
      <c r="B36" s="2470"/>
      <c r="C36" s="2469" t="s">
        <v>1760</v>
      </c>
      <c r="D36" s="2461">
        <f>[8]felújítás!D37</f>
        <v>459.58699999999999</v>
      </c>
    </row>
    <row r="37" spans="2:4" s="2380" customFormat="1" ht="33.75" customHeight="1" x14ac:dyDescent="0.35">
      <c r="B37" s="2470"/>
      <c r="C37" s="2469" t="s">
        <v>1761</v>
      </c>
      <c r="D37" s="2461">
        <f>[8]felújítás!D38</f>
        <v>2228.85</v>
      </c>
    </row>
    <row r="38" spans="2:4" s="2382" customFormat="1" ht="33.75" customHeight="1" thickBot="1" x14ac:dyDescent="0.4">
      <c r="B38" s="2468"/>
      <c r="C38" s="2471" t="s">
        <v>1762</v>
      </c>
      <c r="D38" s="2472">
        <f>[8]felújítás!D39</f>
        <v>3999.23</v>
      </c>
    </row>
    <row r="39" spans="2:4" s="2380" customFormat="1" ht="33.75" customHeight="1" thickBot="1" x14ac:dyDescent="0.45">
      <c r="B39" s="2473" t="s">
        <v>1333</v>
      </c>
      <c r="C39" s="2474"/>
      <c r="D39" s="2475">
        <f>[8]felújítás!D40</f>
        <v>33324.442999999999</v>
      </c>
    </row>
    <row r="40" spans="2:4" s="2380" customFormat="1" ht="33.75" customHeight="1" thickBot="1" x14ac:dyDescent="0.45">
      <c r="B40" s="2476" t="s">
        <v>3</v>
      </c>
      <c r="C40" s="2477"/>
      <c r="D40" s="2478">
        <f>D24+D39</f>
        <v>71878.135000000009</v>
      </c>
    </row>
    <row r="41" spans="2:4" ht="33.75" customHeight="1" x14ac:dyDescent="0.35">
      <c r="B41" s="2479" t="s">
        <v>1536</v>
      </c>
      <c r="C41" s="2477"/>
      <c r="D41" s="2480"/>
    </row>
    <row r="42" spans="2:4" ht="33.75" customHeight="1" thickBot="1" x14ac:dyDescent="0.45">
      <c r="B42" s="2481" t="s">
        <v>1426</v>
      </c>
      <c r="C42" s="2482" t="s">
        <v>95</v>
      </c>
      <c r="D42" s="2458" t="s">
        <v>95</v>
      </c>
    </row>
    <row r="43" spans="2:4" ht="33.75" customHeight="1" x14ac:dyDescent="0.35">
      <c r="B43" s="2483" t="s">
        <v>1329</v>
      </c>
      <c r="C43" s="2484" t="s">
        <v>1763</v>
      </c>
      <c r="D43" s="2450">
        <f>[8]felújítás!D45</f>
        <v>585.47</v>
      </c>
    </row>
    <row r="44" spans="2:4" ht="33.75" customHeight="1" x14ac:dyDescent="0.35">
      <c r="B44" s="2485"/>
      <c r="C44" s="2486" t="s">
        <v>1764</v>
      </c>
      <c r="D44" s="2442">
        <f>[8]felújítás!D46</f>
        <v>1390.65</v>
      </c>
    </row>
    <row r="45" spans="2:4" ht="33.75" customHeight="1" thickBot="1" x14ac:dyDescent="0.4">
      <c r="B45" s="2485"/>
      <c r="C45" s="2487" t="s">
        <v>1765</v>
      </c>
      <c r="D45" s="2472">
        <f>[8]felújítás!D47</f>
        <v>626.36400000000003</v>
      </c>
    </row>
    <row r="46" spans="2:4" ht="33.75" customHeight="1" thickBot="1" x14ac:dyDescent="0.45">
      <c r="B46" s="2473" t="s">
        <v>1333</v>
      </c>
      <c r="C46" s="2488"/>
      <c r="D46" s="2475">
        <f>[8]felújítás!D48</f>
        <v>2602.4839999999999</v>
      </c>
    </row>
    <row r="47" spans="2:4" ht="33.75" customHeight="1" thickBot="1" x14ac:dyDescent="0.45">
      <c r="B47" s="2489" t="s">
        <v>1334</v>
      </c>
      <c r="C47" s="2490" t="s">
        <v>95</v>
      </c>
      <c r="D47" s="2453" t="s">
        <v>95</v>
      </c>
    </row>
    <row r="48" spans="2:4" ht="54" x14ac:dyDescent="0.35">
      <c r="B48" s="2491" t="s">
        <v>1335</v>
      </c>
      <c r="C48" s="2492" t="s">
        <v>1766</v>
      </c>
      <c r="D48" s="2442">
        <f>[8]felújítás!D50</f>
        <v>991.28700000000003</v>
      </c>
    </row>
    <row r="49" spans="2:4" ht="33.75" customHeight="1" x14ac:dyDescent="0.35">
      <c r="B49" s="2493"/>
      <c r="C49" s="2494" t="s">
        <v>1767</v>
      </c>
      <c r="D49" s="2461">
        <f>[8]felújítás!D51</f>
        <v>511.24700000000001</v>
      </c>
    </row>
    <row r="50" spans="2:4" ht="34.5" customHeight="1" x14ac:dyDescent="0.35">
      <c r="B50" s="2495"/>
      <c r="C50" s="2496" t="s">
        <v>1768</v>
      </c>
      <c r="D50" s="2461">
        <f>[8]felújítás!D52</f>
        <v>1864.7190000000001</v>
      </c>
    </row>
    <row r="51" spans="2:4" ht="66" customHeight="1" x14ac:dyDescent="0.35">
      <c r="B51" s="2495"/>
      <c r="C51" s="2496" t="s">
        <v>1769</v>
      </c>
      <c r="D51" s="2461">
        <f>[8]felújítás!D53</f>
        <v>1329.6479999999999</v>
      </c>
    </row>
    <row r="52" spans="2:4" ht="60.75" customHeight="1" thickBot="1" x14ac:dyDescent="0.4">
      <c r="B52" s="2495"/>
      <c r="C52" s="2497" t="s">
        <v>1770</v>
      </c>
      <c r="D52" s="2472">
        <f>[8]felújítás!D54</f>
        <v>747.14099999999996</v>
      </c>
    </row>
    <row r="53" spans="2:4" s="2380" customFormat="1" ht="33.75" customHeight="1" thickBot="1" x14ac:dyDescent="0.45">
      <c r="B53" s="2473" t="s">
        <v>1333</v>
      </c>
      <c r="C53" s="2498"/>
      <c r="D53" s="2475">
        <f>[8]felújítás!D55</f>
        <v>5444.0420000000004</v>
      </c>
    </row>
    <row r="54" spans="2:4" ht="33.75" customHeight="1" thickBot="1" x14ac:dyDescent="0.45">
      <c r="B54" s="2489" t="s">
        <v>1771</v>
      </c>
      <c r="C54" s="2490" t="s">
        <v>95</v>
      </c>
      <c r="D54" s="2453" t="s">
        <v>95</v>
      </c>
    </row>
    <row r="55" spans="2:4" ht="54" x14ac:dyDescent="0.35">
      <c r="B55" s="2491" t="s">
        <v>1772</v>
      </c>
      <c r="C55" s="2499" t="s">
        <v>1773</v>
      </c>
      <c r="D55" s="2442">
        <f>[8]felújítás!D57</f>
        <v>923.35599999999999</v>
      </c>
    </row>
    <row r="56" spans="2:4" ht="60" customHeight="1" x14ac:dyDescent="0.35">
      <c r="B56" s="2493"/>
      <c r="C56" s="2496" t="s">
        <v>1774</v>
      </c>
      <c r="D56" s="2461">
        <f>[8]felújítás!D58</f>
        <v>3652.6790000000001</v>
      </c>
    </row>
    <row r="57" spans="2:4" ht="34.5" customHeight="1" x14ac:dyDescent="0.35">
      <c r="B57" s="2495"/>
      <c r="C57" s="2496" t="s">
        <v>1775</v>
      </c>
      <c r="D57" s="2461">
        <f>[8]felújítás!D59</f>
        <v>16293.411</v>
      </c>
    </row>
    <row r="58" spans="2:4" ht="33.75" customHeight="1" x14ac:dyDescent="0.35">
      <c r="B58" s="2495"/>
      <c r="C58" s="2494" t="s">
        <v>1776</v>
      </c>
      <c r="D58" s="2461">
        <f>[8]felújítás!D60</f>
        <v>3578.56</v>
      </c>
    </row>
    <row r="59" spans="2:4" ht="61.5" customHeight="1" x14ac:dyDescent="0.35">
      <c r="B59" s="2495"/>
      <c r="C59" s="2496" t="s">
        <v>1777</v>
      </c>
      <c r="D59" s="2461">
        <f>[8]felújítás!D61</f>
        <v>1456.69</v>
      </c>
    </row>
    <row r="60" spans="2:4" ht="33.75" customHeight="1" x14ac:dyDescent="0.35">
      <c r="B60" s="2495"/>
      <c r="C60" s="2494" t="s">
        <v>1778</v>
      </c>
      <c r="D60" s="2461">
        <f>[8]felújítás!D62</f>
        <v>1868.424</v>
      </c>
    </row>
    <row r="61" spans="2:4" ht="34.5" customHeight="1" x14ac:dyDescent="0.35">
      <c r="B61" s="2495"/>
      <c r="C61" s="2496" t="s">
        <v>1779</v>
      </c>
      <c r="D61" s="2461">
        <f>[8]felújítás!D63</f>
        <v>582</v>
      </c>
    </row>
    <row r="62" spans="2:4" ht="33.75" customHeight="1" x14ac:dyDescent="0.35">
      <c r="B62" s="2495"/>
      <c r="C62" s="2494" t="s">
        <v>1780</v>
      </c>
      <c r="D62" s="2461">
        <f>[8]felújítás!D64</f>
        <v>35</v>
      </c>
    </row>
    <row r="63" spans="2:4" ht="33.75" customHeight="1" thickBot="1" x14ac:dyDescent="0.4">
      <c r="B63" s="2495"/>
      <c r="C63" s="2500" t="s">
        <v>1781</v>
      </c>
      <c r="D63" s="2472">
        <f>[8]felújítás!D65</f>
        <v>847.34400000000005</v>
      </c>
    </row>
    <row r="64" spans="2:4" s="2380" customFormat="1" ht="33.75" customHeight="1" thickBot="1" x14ac:dyDescent="0.45">
      <c r="B64" s="2473" t="s">
        <v>1333</v>
      </c>
      <c r="C64" s="2498"/>
      <c r="D64" s="2475">
        <f>[8]felújítás!D66</f>
        <v>29238.464</v>
      </c>
    </row>
    <row r="65" spans="2:4" ht="33.75" customHeight="1" thickBot="1" x14ac:dyDescent="0.45">
      <c r="B65" s="2489" t="s">
        <v>1338</v>
      </c>
      <c r="C65" s="2498"/>
      <c r="D65" s="2455"/>
    </row>
    <row r="66" spans="2:4" ht="63" customHeight="1" x14ac:dyDescent="0.35">
      <c r="B66" s="2491" t="s">
        <v>1782</v>
      </c>
      <c r="C66" s="2501" t="s">
        <v>1783</v>
      </c>
      <c r="D66" s="2502">
        <f>[8]felújítás!D68</f>
        <v>10862</v>
      </c>
    </row>
    <row r="67" spans="2:4" ht="63.75" customHeight="1" thickBot="1" x14ac:dyDescent="0.4">
      <c r="B67" s="2383"/>
      <c r="C67" s="2503" t="s">
        <v>1784</v>
      </c>
      <c r="D67" s="2504">
        <f>[8]felújítás!D69</f>
        <v>970</v>
      </c>
    </row>
    <row r="68" spans="2:4" ht="33.75" customHeight="1" thickBot="1" x14ac:dyDescent="0.45">
      <c r="B68" s="2473" t="s">
        <v>1333</v>
      </c>
      <c r="C68" s="2505"/>
      <c r="D68" s="2506">
        <f>[8]felújítás!D70</f>
        <v>11832</v>
      </c>
    </row>
    <row r="69" spans="2:4" s="2380" customFormat="1" ht="33.75" customHeight="1" thickBot="1" x14ac:dyDescent="0.45">
      <c r="B69" s="2507" t="s">
        <v>1343</v>
      </c>
      <c r="C69" s="2474"/>
      <c r="D69" s="2475">
        <f>[8]felújítás!D71</f>
        <v>49115.99</v>
      </c>
    </row>
    <row r="70" spans="2:4" s="2380" customFormat="1" ht="33.75" customHeight="1" thickBot="1" x14ac:dyDescent="0.45">
      <c r="B70" s="2508" t="s">
        <v>1344</v>
      </c>
      <c r="C70" s="2453"/>
      <c r="D70" s="2475">
        <f>D40+D69</f>
        <v>120994.125</v>
      </c>
    </row>
    <row r="71" spans="2:4" ht="19.5" customHeight="1" x14ac:dyDescent="0.3"/>
  </sheetData>
  <mergeCells count="2">
    <mergeCell ref="B3:D3"/>
    <mergeCell ref="B4:D4"/>
  </mergeCells>
  <printOptions horizontalCentered="1" verticalCentered="1"/>
  <pageMargins left="0.39370078740157483" right="0" top="0.39370078740157483" bottom="7.874015748031496E-2" header="0.31496062992125984" footer="0.31496062992125984"/>
  <pageSetup paperSize="9" scale="33" orientation="portrait" r:id="rId1"/>
  <headerFooter alignWithMargins="0">
    <oddHeader>&amp;R&amp;"Arial CE,Félkövér"&amp;24 30. melléklet a ..../2019. (........) önkormányzati rendelethez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46"/>
  <sheetViews>
    <sheetView zoomScaleNormal="100" workbookViewId="0">
      <selection activeCell="L17" sqref="L17"/>
    </sheetView>
  </sheetViews>
  <sheetFormatPr defaultColWidth="12" defaultRowHeight="14.25" x14ac:dyDescent="0.2"/>
  <cols>
    <col min="1" max="1" width="17.83203125" style="1778" customWidth="1"/>
    <col min="2" max="2" width="15.33203125" style="1778" customWidth="1"/>
    <col min="3" max="3" width="16.5" style="1778" customWidth="1"/>
    <col min="4" max="4" width="16.6640625" style="1778" customWidth="1"/>
    <col min="5" max="5" width="35" style="1778" customWidth="1"/>
    <col min="6" max="6" width="15.6640625" style="1778" customWidth="1"/>
    <col min="7" max="7" width="16.83203125" style="1780" customWidth="1"/>
    <col min="8" max="8" width="18.6640625" style="1778" customWidth="1"/>
    <col min="9" max="9" width="18.83203125" style="1780" customWidth="1"/>
    <col min="10" max="10" width="18.5" style="1778" customWidth="1"/>
    <col min="11" max="12" width="13.1640625" style="1778" customWidth="1"/>
    <col min="13" max="13" width="14.6640625" style="1778" bestFit="1" customWidth="1"/>
    <col min="14" max="16384" width="12" style="1778"/>
  </cols>
  <sheetData>
    <row r="1" spans="1:13" ht="18" x14ac:dyDescent="0.25">
      <c r="B1" s="2840" t="s">
        <v>722</v>
      </c>
      <c r="C1" s="2840"/>
      <c r="D1" s="2840"/>
      <c r="E1" s="2840"/>
      <c r="F1" s="2840"/>
      <c r="G1" s="2840"/>
      <c r="H1" s="2840"/>
      <c r="I1" s="2840"/>
      <c r="J1" s="2840"/>
    </row>
    <row r="2" spans="1:13" ht="18.75" x14ac:dyDescent="0.3">
      <c r="B2" s="2841" t="s">
        <v>1249</v>
      </c>
      <c r="C2" s="2740"/>
      <c r="D2" s="2740"/>
      <c r="E2" s="2740"/>
      <c r="F2" s="2740"/>
      <c r="G2" s="2740"/>
      <c r="H2" s="2740"/>
      <c r="I2" s="2740"/>
      <c r="J2" s="2740"/>
    </row>
    <row r="3" spans="1:13" ht="23.25" customHeight="1" x14ac:dyDescent="0.25">
      <c r="B3" s="1779"/>
      <c r="I3" s="1781"/>
      <c r="J3" s="1779"/>
      <c r="K3" s="1779"/>
      <c r="L3" s="1779"/>
    </row>
    <row r="4" spans="1:13" ht="15" x14ac:dyDescent="0.25">
      <c r="B4" s="1782"/>
      <c r="I4" s="1783"/>
      <c r="J4" s="1782"/>
      <c r="K4" s="1782"/>
      <c r="L4" s="1782"/>
    </row>
    <row r="5" spans="1:13" ht="15" thickBot="1" x14ac:dyDescent="0.25">
      <c r="J5" s="1190" t="s">
        <v>34</v>
      </c>
      <c r="K5" s="1784"/>
      <c r="L5" s="1784"/>
    </row>
    <row r="6" spans="1:13" ht="22.5" customHeight="1" x14ac:dyDescent="0.25">
      <c r="A6" s="1785"/>
      <c r="B6" s="1786" t="s">
        <v>51</v>
      </c>
      <c r="C6" s="1787"/>
      <c r="D6" s="1787"/>
      <c r="E6" s="1788"/>
      <c r="F6" s="2842" t="s">
        <v>1218</v>
      </c>
      <c r="G6" s="2843"/>
      <c r="H6" s="2844"/>
      <c r="I6" s="1789" t="s">
        <v>1219</v>
      </c>
      <c r="J6" s="1790" t="s">
        <v>1220</v>
      </c>
      <c r="K6" s="1791"/>
      <c r="L6" s="1791"/>
    </row>
    <row r="7" spans="1:13" ht="29.25" customHeight="1" thickBot="1" x14ac:dyDescent="0.3">
      <c r="A7" s="1785"/>
      <c r="B7" s="1792"/>
      <c r="C7" s="1793"/>
      <c r="D7" s="1793"/>
      <c r="E7" s="1794"/>
      <c r="F7" s="1795" t="s">
        <v>1221</v>
      </c>
      <c r="G7" s="1796" t="s">
        <v>1222</v>
      </c>
      <c r="H7" s="1797" t="s">
        <v>1223</v>
      </c>
      <c r="I7" s="1798" t="s">
        <v>1224</v>
      </c>
      <c r="J7" s="1799" t="s">
        <v>1062</v>
      </c>
      <c r="K7" s="1791"/>
      <c r="L7" s="1791"/>
    </row>
    <row r="8" spans="1:13" ht="27" customHeight="1" x14ac:dyDescent="0.2">
      <c r="B8" s="1809" t="s">
        <v>1227</v>
      </c>
      <c r="C8" s="1810"/>
      <c r="D8" s="1810"/>
      <c r="E8" s="1811"/>
      <c r="F8" s="1812">
        <v>100</v>
      </c>
      <c r="G8" s="1804">
        <v>3000</v>
      </c>
      <c r="H8" s="1805">
        <v>3000</v>
      </c>
      <c r="I8" s="1814">
        <v>3000</v>
      </c>
      <c r="J8" s="1813">
        <f t="shared" ref="J8:J13" si="0">H8-I8</f>
        <v>0</v>
      </c>
      <c r="K8" s="1807"/>
      <c r="L8" s="1807"/>
    </row>
    <row r="9" spans="1:13" ht="27" customHeight="1" x14ac:dyDescent="0.2">
      <c r="B9" s="1809" t="s">
        <v>1228</v>
      </c>
      <c r="C9" s="1810"/>
      <c r="D9" s="1810"/>
      <c r="E9" s="1811"/>
      <c r="F9" s="1812">
        <v>52.85</v>
      </c>
      <c r="G9" s="1804">
        <f>7537500-5992312.5-370845</f>
        <v>1174342.5</v>
      </c>
      <c r="H9" s="1805">
        <f>635197-14552</f>
        <v>620645</v>
      </c>
      <c r="I9" s="1814"/>
      <c r="J9" s="1815">
        <f t="shared" si="0"/>
        <v>620645</v>
      </c>
      <c r="K9" s="1807"/>
      <c r="L9" s="1807"/>
    </row>
    <row r="10" spans="1:13" ht="27" customHeight="1" x14ac:dyDescent="0.2">
      <c r="B10" s="1816" t="s">
        <v>1229</v>
      </c>
      <c r="C10" s="1810"/>
      <c r="D10" s="1810"/>
      <c r="E10" s="1811"/>
      <c r="F10" s="1803">
        <v>16.45</v>
      </c>
      <c r="G10" s="1804">
        <v>100000</v>
      </c>
      <c r="H10" s="1805">
        <f>5000-150-1320+8670</f>
        <v>12200</v>
      </c>
      <c r="I10" s="1814"/>
      <c r="J10" s="1813">
        <f t="shared" si="0"/>
        <v>12200</v>
      </c>
      <c r="K10" s="1807"/>
      <c r="L10" s="1807"/>
      <c r="M10" s="1808"/>
    </row>
    <row r="11" spans="1:13" s="1817" customFormat="1" ht="27" customHeight="1" x14ac:dyDescent="0.2">
      <c r="B11" s="1818" t="s">
        <v>1230</v>
      </c>
      <c r="C11" s="1819"/>
      <c r="D11" s="1819"/>
      <c r="E11" s="1820"/>
      <c r="F11" s="1821">
        <v>35</v>
      </c>
      <c r="G11" s="1822">
        <v>150000</v>
      </c>
      <c r="H11" s="1823">
        <v>69490</v>
      </c>
      <c r="I11" s="1824"/>
      <c r="J11" s="1815">
        <f t="shared" si="0"/>
        <v>69490</v>
      </c>
      <c r="K11" s="1825"/>
      <c r="L11" s="1825"/>
    </row>
    <row r="12" spans="1:13" s="1817" customFormat="1" ht="27" customHeight="1" x14ac:dyDescent="0.2">
      <c r="B12" s="1818" t="s">
        <v>1231</v>
      </c>
      <c r="C12" s="1819"/>
      <c r="D12" s="1819"/>
      <c r="E12" s="1819"/>
      <c r="F12" s="1821">
        <v>100</v>
      </c>
      <c r="G12" s="1804">
        <v>25500</v>
      </c>
      <c r="H12" s="1826">
        <v>25500</v>
      </c>
      <c r="I12" s="1814"/>
      <c r="J12" s="1827">
        <f t="shared" si="0"/>
        <v>25500</v>
      </c>
      <c r="K12" s="1825"/>
      <c r="L12" s="1825"/>
    </row>
    <row r="13" spans="1:13" s="1817" customFormat="1" ht="27" customHeight="1" x14ac:dyDescent="0.2">
      <c r="B13" s="1818" t="s">
        <v>1232</v>
      </c>
      <c r="C13" s="1819"/>
      <c r="D13" s="1819"/>
      <c r="E13" s="1819"/>
      <c r="F13" s="1821">
        <v>100</v>
      </c>
      <c r="G13" s="1804">
        <v>3000000</v>
      </c>
      <c r="H13" s="1826">
        <v>102627</v>
      </c>
      <c r="I13" s="1814"/>
      <c r="J13" s="1827">
        <f t="shared" si="0"/>
        <v>102627</v>
      </c>
      <c r="K13" s="1825"/>
      <c r="L13" s="1825"/>
    </row>
    <row r="14" spans="1:13" s="1817" customFormat="1" ht="27" customHeight="1" x14ac:dyDescent="0.25">
      <c r="B14" s="1829" t="s">
        <v>1233</v>
      </c>
      <c r="C14" s="1819"/>
      <c r="D14" s="1819"/>
      <c r="E14" s="1819"/>
      <c r="F14" s="1803"/>
      <c r="G14" s="1804"/>
      <c r="H14" s="1830">
        <f>SUM(H8:H13)</f>
        <v>833462</v>
      </c>
      <c r="I14" s="1830">
        <f>SUM(I8:I12)</f>
        <v>3000</v>
      </c>
      <c r="J14" s="1854">
        <f>SUM(J8:J13)</f>
        <v>830462</v>
      </c>
      <c r="K14" s="1825"/>
      <c r="L14" s="1825"/>
    </row>
    <row r="15" spans="1:13" ht="27" customHeight="1" x14ac:dyDescent="0.2">
      <c r="B15" s="1800" t="s">
        <v>1225</v>
      </c>
      <c r="C15" s="1801"/>
      <c r="D15" s="1801"/>
      <c r="E15" s="1802"/>
      <c r="F15" s="1803">
        <v>100</v>
      </c>
      <c r="G15" s="1804">
        <v>5102808</v>
      </c>
      <c r="H15" s="1805">
        <v>5496616</v>
      </c>
      <c r="I15" s="1806">
        <v>0</v>
      </c>
      <c r="J15" s="1853">
        <f t="shared" ref="J15:J16" si="1">H15-I15</f>
        <v>5496616</v>
      </c>
      <c r="K15" s="1807"/>
      <c r="L15" s="1807"/>
      <c r="M15" s="1808"/>
    </row>
    <row r="16" spans="1:13" ht="27" customHeight="1" x14ac:dyDescent="0.2">
      <c r="B16" s="1809" t="s">
        <v>1226</v>
      </c>
      <c r="C16" s="1810"/>
      <c r="D16" s="1810"/>
      <c r="E16" s="1811"/>
      <c r="F16" s="1812">
        <v>75</v>
      </c>
      <c r="G16" s="1804"/>
      <c r="H16" s="1805"/>
      <c r="I16" s="1806"/>
      <c r="J16" s="1813">
        <f t="shared" si="1"/>
        <v>0</v>
      </c>
      <c r="K16" s="1807"/>
      <c r="L16" s="1807"/>
    </row>
    <row r="17" spans="2:13" s="1817" customFormat="1" ht="36.75" customHeight="1" x14ac:dyDescent="0.2">
      <c r="B17" s="2848" t="s">
        <v>1234</v>
      </c>
      <c r="C17" s="2849"/>
      <c r="D17" s="2849"/>
      <c r="E17" s="2850"/>
      <c r="F17" s="1803">
        <v>100</v>
      </c>
      <c r="G17" s="1804">
        <f>3000+17000</f>
        <v>20000</v>
      </c>
      <c r="H17" s="1805">
        <f>3000+17000</f>
        <v>20000</v>
      </c>
      <c r="I17" s="1814"/>
      <c r="J17" s="1815">
        <f t="shared" ref="J17:J26" si="2">H17-I17</f>
        <v>20000</v>
      </c>
      <c r="K17" s="1825"/>
      <c r="L17" s="1825"/>
    </row>
    <row r="18" spans="2:13" s="1817" customFormat="1" ht="27" customHeight="1" x14ac:dyDescent="0.2">
      <c r="B18" s="1800" t="s">
        <v>1235</v>
      </c>
      <c r="C18" s="1801"/>
      <c r="D18" s="1801"/>
      <c r="E18" s="1802"/>
      <c r="F18" s="1803">
        <v>100</v>
      </c>
      <c r="G18" s="1804">
        <v>4700</v>
      </c>
      <c r="H18" s="1805">
        <v>4700</v>
      </c>
      <c r="I18" s="1814"/>
      <c r="J18" s="1815">
        <f t="shared" si="2"/>
        <v>4700</v>
      </c>
      <c r="K18" s="1825"/>
      <c r="L18" s="1825"/>
    </row>
    <row r="19" spans="2:13" s="1817" customFormat="1" ht="27" customHeight="1" x14ac:dyDescent="0.2">
      <c r="B19" s="1800" t="s">
        <v>1236</v>
      </c>
      <c r="C19" s="1801"/>
      <c r="D19" s="1801"/>
      <c r="E19" s="1802"/>
      <c r="F19" s="1803">
        <v>100</v>
      </c>
      <c r="G19" s="1804">
        <v>3000</v>
      </c>
      <c r="H19" s="1805">
        <v>3000</v>
      </c>
      <c r="I19" s="1814"/>
      <c r="J19" s="1815">
        <f t="shared" si="2"/>
        <v>3000</v>
      </c>
      <c r="K19" s="1825"/>
      <c r="L19" s="1825"/>
      <c r="M19" s="1831"/>
    </row>
    <row r="20" spans="2:13" s="1817" customFormat="1" ht="27" customHeight="1" x14ac:dyDescent="0.2">
      <c r="B20" s="1800" t="s">
        <v>1237</v>
      </c>
      <c r="C20" s="1801"/>
      <c r="D20" s="1801"/>
      <c r="E20" s="1802"/>
      <c r="F20" s="1803">
        <v>100</v>
      </c>
      <c r="G20" s="1804">
        <v>15000</v>
      </c>
      <c r="H20" s="1805">
        <v>15000</v>
      </c>
      <c r="I20" s="1814"/>
      <c r="J20" s="1815">
        <f t="shared" si="2"/>
        <v>15000</v>
      </c>
      <c r="K20" s="1825"/>
      <c r="L20" s="1825"/>
      <c r="M20" s="1831"/>
    </row>
    <row r="21" spans="2:13" s="1817" customFormat="1" ht="27" customHeight="1" x14ac:dyDescent="0.25">
      <c r="B21" s="1832" t="s">
        <v>1238</v>
      </c>
      <c r="C21" s="1801"/>
      <c r="D21" s="1801"/>
      <c r="E21" s="1802"/>
      <c r="F21" s="1803">
        <v>100</v>
      </c>
      <c r="G21" s="1804">
        <v>3530</v>
      </c>
      <c r="H21" s="1805">
        <f>6000-2000-170+40000-2400+3587</f>
        <v>45017</v>
      </c>
      <c r="I21" s="1814"/>
      <c r="J21" s="1815">
        <f t="shared" si="2"/>
        <v>45017</v>
      </c>
      <c r="K21" s="1825"/>
      <c r="L21" s="1825"/>
      <c r="M21" s="1831"/>
    </row>
    <row r="22" spans="2:13" s="1817" customFormat="1" ht="27" customHeight="1" x14ac:dyDescent="0.2">
      <c r="B22" s="1818" t="s">
        <v>1239</v>
      </c>
      <c r="C22" s="1819"/>
      <c r="D22" s="1819"/>
      <c r="E22" s="1819"/>
      <c r="F22" s="1821">
        <v>100</v>
      </c>
      <c r="G22" s="1804">
        <v>3000</v>
      </c>
      <c r="H22" s="1826">
        <v>3000</v>
      </c>
      <c r="I22" s="1814"/>
      <c r="J22" s="1827">
        <f t="shared" si="2"/>
        <v>3000</v>
      </c>
      <c r="K22" s="1825"/>
      <c r="L22" s="1825"/>
    </row>
    <row r="23" spans="2:13" s="1817" customFormat="1" ht="27" customHeight="1" x14ac:dyDescent="0.2">
      <c r="B23" s="1818" t="s">
        <v>1240</v>
      </c>
      <c r="C23" s="1819"/>
      <c r="D23" s="1819"/>
      <c r="E23" s="1819"/>
      <c r="F23" s="1821">
        <f>H23/G23*100</f>
        <v>85</v>
      </c>
      <c r="G23" s="1804">
        <v>3000</v>
      </c>
      <c r="H23" s="1826">
        <f>1700+850</f>
        <v>2550</v>
      </c>
      <c r="I23" s="1828"/>
      <c r="J23" s="1827">
        <f t="shared" si="2"/>
        <v>2550</v>
      </c>
      <c r="K23" s="1825"/>
      <c r="L23" s="1825"/>
    </row>
    <row r="24" spans="2:13" s="1817" customFormat="1" ht="36.75" customHeight="1" x14ac:dyDescent="0.25">
      <c r="B24" s="2845" t="s">
        <v>1241</v>
      </c>
      <c r="C24" s="2846"/>
      <c r="D24" s="2846"/>
      <c r="E24" s="2847"/>
      <c r="F24" s="1803">
        <v>20</v>
      </c>
      <c r="G24" s="1804">
        <v>3000</v>
      </c>
      <c r="H24" s="1805">
        <v>600</v>
      </c>
      <c r="I24" s="1814"/>
      <c r="J24" s="1815">
        <f t="shared" si="2"/>
        <v>600</v>
      </c>
      <c r="K24" s="1825"/>
      <c r="L24" s="1825"/>
      <c r="M24" s="1831"/>
    </row>
    <row r="25" spans="2:13" s="1817" customFormat="1" ht="40.5" customHeight="1" x14ac:dyDescent="0.25">
      <c r="B25" s="2845" t="s">
        <v>1242</v>
      </c>
      <c r="C25" s="2846"/>
      <c r="D25" s="2846"/>
      <c r="E25" s="2847"/>
      <c r="F25" s="1803">
        <v>90</v>
      </c>
      <c r="G25" s="1804">
        <v>3000</v>
      </c>
      <c r="H25" s="1805">
        <v>2700</v>
      </c>
      <c r="I25" s="1828">
        <v>2700</v>
      </c>
      <c r="J25" s="1815">
        <f t="shared" si="2"/>
        <v>0</v>
      </c>
      <c r="K25" s="1825"/>
      <c r="L25" s="1825"/>
      <c r="M25" s="1831"/>
    </row>
    <row r="26" spans="2:13" s="1817" customFormat="1" ht="27" customHeight="1" x14ac:dyDescent="0.2">
      <c r="B26" s="1800" t="s">
        <v>1243</v>
      </c>
      <c r="C26" s="1801"/>
      <c r="D26" s="1801"/>
      <c r="E26" s="1801"/>
      <c r="F26" s="1803">
        <v>100</v>
      </c>
      <c r="G26" s="1804">
        <v>13000</v>
      </c>
      <c r="H26" s="1805">
        <v>13000</v>
      </c>
      <c r="I26" s="1828"/>
      <c r="J26" s="1815">
        <f t="shared" si="2"/>
        <v>13000</v>
      </c>
      <c r="K26" s="1825"/>
      <c r="L26" s="1825"/>
      <c r="M26" s="1831"/>
    </row>
    <row r="27" spans="2:13" s="1817" customFormat="1" ht="36.75" customHeight="1" x14ac:dyDescent="0.25">
      <c r="B27" s="2837" t="s">
        <v>1244</v>
      </c>
      <c r="C27" s="2838"/>
      <c r="D27" s="2838"/>
      <c r="E27" s="2839"/>
      <c r="F27" s="1833"/>
      <c r="G27" s="1804"/>
      <c r="H27" s="1830">
        <f>SUM(H15:H26)</f>
        <v>5606183</v>
      </c>
      <c r="I27" s="1830">
        <f t="shared" ref="I27:J27" si="3">SUM(I15:I26)</f>
        <v>2700</v>
      </c>
      <c r="J27" s="1830">
        <f t="shared" si="3"/>
        <v>5603483</v>
      </c>
      <c r="K27" s="1825"/>
      <c r="L27" s="1825"/>
    </row>
    <row r="28" spans="2:13" s="1817" customFormat="1" ht="27" customHeight="1" x14ac:dyDescent="0.2">
      <c r="B28" s="1818" t="s">
        <v>1245</v>
      </c>
      <c r="C28" s="1819"/>
      <c r="D28" s="1819"/>
      <c r="E28" s="1819"/>
      <c r="F28" s="1821">
        <v>3.51</v>
      </c>
      <c r="G28" s="1822">
        <v>728840</v>
      </c>
      <c r="H28" s="1826">
        <v>25570</v>
      </c>
      <c r="I28" s="1824"/>
      <c r="J28" s="1827">
        <f>H28-I28</f>
        <v>25570</v>
      </c>
      <c r="K28" s="1825"/>
      <c r="L28" s="1825"/>
    </row>
    <row r="29" spans="2:13" s="1817" customFormat="1" ht="27" customHeight="1" x14ac:dyDescent="0.2">
      <c r="B29" s="1818" t="s">
        <v>1246</v>
      </c>
      <c r="C29" s="1819"/>
      <c r="D29" s="1819"/>
      <c r="E29" s="1820"/>
      <c r="F29" s="1821">
        <v>0.11</v>
      </c>
      <c r="G29" s="1822">
        <v>13473446</v>
      </c>
      <c r="H29" s="1834">
        <v>14590</v>
      </c>
      <c r="I29" s="1824"/>
      <c r="J29" s="1827">
        <f>H29-I29</f>
        <v>14590</v>
      </c>
      <c r="K29" s="1825"/>
      <c r="L29" s="1825"/>
    </row>
    <row r="30" spans="2:13" s="1817" customFormat="1" ht="27" customHeight="1" x14ac:dyDescent="0.2">
      <c r="B30" s="1818" t="s">
        <v>1247</v>
      </c>
      <c r="C30" s="1819"/>
      <c r="D30" s="1819"/>
      <c r="E30" s="1820"/>
      <c r="F30" s="1835">
        <v>3.7999999999999999E-2</v>
      </c>
      <c r="G30" s="1822">
        <v>9000001</v>
      </c>
      <c r="H30" s="1836">
        <v>3462</v>
      </c>
      <c r="I30" s="1824"/>
      <c r="J30" s="1827">
        <f>H30-I30</f>
        <v>3462</v>
      </c>
      <c r="K30" s="1825"/>
      <c r="L30" s="1825"/>
      <c r="M30" s="1831"/>
    </row>
    <row r="31" spans="2:13" ht="27" customHeight="1" thickBot="1" x14ac:dyDescent="0.3">
      <c r="B31" s="1837" t="s">
        <v>1248</v>
      </c>
      <c r="C31" s="1838"/>
      <c r="D31" s="1838"/>
      <c r="E31" s="1838"/>
      <c r="F31" s="1839"/>
      <c r="G31" s="1840"/>
      <c r="H31" s="1841">
        <f>SUM(H28:H30)</f>
        <v>43622</v>
      </c>
      <c r="I31" s="1841">
        <f>SUM(I28:I30)</f>
        <v>0</v>
      </c>
      <c r="J31" s="1841">
        <f>SUM(J28:J30)</f>
        <v>43622</v>
      </c>
      <c r="K31" s="1807"/>
      <c r="L31" s="1807"/>
      <c r="M31" s="1808"/>
    </row>
    <row r="32" spans="2:13" ht="27.75" customHeight="1" thickBot="1" x14ac:dyDescent="0.3">
      <c r="B32" s="1842" t="s">
        <v>490</v>
      </c>
      <c r="C32" s="1843"/>
      <c r="D32" s="1843"/>
      <c r="E32" s="1843"/>
      <c r="F32" s="1844"/>
      <c r="G32" s="1845"/>
      <c r="H32" s="1846">
        <f>H14+H27+H31</f>
        <v>6483267</v>
      </c>
      <c r="I32" s="1847">
        <f>I14+I27+I31</f>
        <v>5700</v>
      </c>
      <c r="J32" s="1847">
        <f>J14+J27+J31</f>
        <v>6477567</v>
      </c>
      <c r="K32" s="1807"/>
      <c r="L32" s="1807"/>
    </row>
    <row r="33" spans="2:13" x14ac:dyDescent="0.2">
      <c r="H33" s="1780"/>
      <c r="J33" s="1848"/>
      <c r="M33" s="1849"/>
    </row>
    <row r="34" spans="2:13" x14ac:dyDescent="0.2">
      <c r="H34" s="1780"/>
    </row>
    <row r="35" spans="2:13" x14ac:dyDescent="0.2">
      <c r="J35" s="1780"/>
      <c r="M35" s="1850"/>
    </row>
    <row r="36" spans="2:13" x14ac:dyDescent="0.2">
      <c r="B36" s="1851"/>
      <c r="H36" s="1780"/>
      <c r="M36" s="1850"/>
    </row>
    <row r="37" spans="2:13" x14ac:dyDescent="0.2">
      <c r="M37" s="1850"/>
    </row>
    <row r="38" spans="2:13" x14ac:dyDescent="0.2">
      <c r="M38" s="1850"/>
    </row>
    <row r="39" spans="2:13" x14ac:dyDescent="0.2">
      <c r="M39" s="1852"/>
    </row>
    <row r="40" spans="2:13" x14ac:dyDescent="0.2">
      <c r="M40" s="1850"/>
    </row>
    <row r="41" spans="2:13" x14ac:dyDescent="0.2">
      <c r="M41" s="1850"/>
    </row>
    <row r="42" spans="2:13" x14ac:dyDescent="0.2">
      <c r="M42" s="1850"/>
    </row>
    <row r="43" spans="2:13" x14ac:dyDescent="0.2">
      <c r="M43" s="1807"/>
    </row>
    <row r="44" spans="2:13" x14ac:dyDescent="0.2">
      <c r="M44" s="1850"/>
    </row>
    <row r="45" spans="2:13" x14ac:dyDescent="0.2">
      <c r="M45" s="1850"/>
    </row>
    <row r="46" spans="2:13" x14ac:dyDescent="0.2">
      <c r="M46" s="1849"/>
    </row>
  </sheetData>
  <mergeCells count="7">
    <mergeCell ref="B27:E27"/>
    <mergeCell ref="B1:J1"/>
    <mergeCell ref="B2:J2"/>
    <mergeCell ref="F6:H6"/>
    <mergeCell ref="B24:E24"/>
    <mergeCell ref="B25:E25"/>
    <mergeCell ref="B17:E17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68" orientation="portrait" r:id="rId1"/>
  <headerFooter alignWithMargins="0">
    <oddHeader xml:space="preserve">&amp;R&amp;"Arial,Félkövér"&amp;14 31. melléklet a …../2019. (…….) önkormányzati rendelethez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57"/>
  <sheetViews>
    <sheetView zoomScale="50" zoomScaleNormal="50" zoomScaleSheetLayoutView="50" workbookViewId="0">
      <pane xSplit="1" ySplit="8" topLeftCell="B9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RowHeight="26.45" customHeight="1" x14ac:dyDescent="0.6"/>
  <cols>
    <col min="1" max="1" width="193.33203125" style="2188" customWidth="1"/>
    <col min="2" max="2" width="47.1640625" style="2189" customWidth="1"/>
    <col min="3" max="3" width="47.33203125" style="2189" customWidth="1"/>
    <col min="4" max="4" width="47.1640625" style="2189" customWidth="1"/>
    <col min="5" max="5" width="43.6640625" style="2189" customWidth="1"/>
    <col min="6" max="7" width="47.33203125" style="2189" customWidth="1"/>
    <col min="8" max="8" width="47.1640625" style="2189" customWidth="1"/>
    <col min="9" max="9" width="43.6640625" style="2189" customWidth="1"/>
    <col min="10" max="11" width="47.33203125" style="2189" customWidth="1"/>
    <col min="12" max="12" width="47.1640625" style="2189" customWidth="1"/>
    <col min="13" max="13" width="43.6640625" style="2189" customWidth="1"/>
    <col min="14" max="15" width="45" style="2189" customWidth="1"/>
    <col min="16" max="16" width="44.83203125" style="2189" customWidth="1"/>
    <col min="17" max="17" width="45" style="2189" customWidth="1"/>
    <col min="18" max="19" width="47.33203125" style="2189" customWidth="1"/>
    <col min="20" max="20" width="47.1640625" style="2189" customWidth="1"/>
    <col min="21" max="21" width="43.6640625" style="2189" customWidth="1"/>
    <col min="22" max="22" width="193.33203125" style="2190" customWidth="1"/>
    <col min="23" max="25" width="47.33203125" style="2189" customWidth="1"/>
    <col min="26" max="26" width="43.6640625" style="2189" customWidth="1"/>
    <col min="27" max="29" width="47.33203125" style="2189" customWidth="1"/>
    <col min="30" max="30" width="44" style="2189" customWidth="1"/>
    <col min="31" max="33" width="47.33203125" style="2189" customWidth="1"/>
    <col min="34" max="34" width="43.6640625" style="2189" customWidth="1"/>
    <col min="35" max="37" width="47.33203125" style="2189" customWidth="1"/>
    <col min="38" max="38" width="43.6640625" style="2189" customWidth="1"/>
    <col min="39" max="41" width="47.33203125" style="2188" customWidth="1"/>
    <col min="42" max="42" width="43.6640625" style="2188" customWidth="1"/>
    <col min="43" max="43" width="193.33203125" style="2190" customWidth="1"/>
    <col min="44" max="53" width="56" style="2188" customWidth="1"/>
    <col min="54" max="57" width="56" style="2191" customWidth="1"/>
    <col min="58" max="59" width="56" style="2189" customWidth="1"/>
    <col min="60" max="60" width="59" style="2192" customWidth="1"/>
    <col min="61" max="61" width="46" style="2192" customWidth="1"/>
    <col min="62" max="256" width="9.33203125" style="2192"/>
    <col min="257" max="257" width="193.33203125" style="2192" customWidth="1"/>
    <col min="258" max="258" width="47.1640625" style="2192" customWidth="1"/>
    <col min="259" max="259" width="47.33203125" style="2192" customWidth="1"/>
    <col min="260" max="260" width="47.1640625" style="2192" customWidth="1"/>
    <col min="261" max="261" width="43.6640625" style="2192" customWidth="1"/>
    <col min="262" max="263" width="47.33203125" style="2192" customWidth="1"/>
    <col min="264" max="264" width="47.1640625" style="2192" customWidth="1"/>
    <col min="265" max="265" width="43.6640625" style="2192" customWidth="1"/>
    <col min="266" max="267" width="47.33203125" style="2192" customWidth="1"/>
    <col min="268" max="268" width="47.1640625" style="2192" customWidth="1"/>
    <col min="269" max="269" width="43.6640625" style="2192" customWidth="1"/>
    <col min="270" max="271" width="45" style="2192" customWidth="1"/>
    <col min="272" max="272" width="44.83203125" style="2192" customWidth="1"/>
    <col min="273" max="273" width="45" style="2192" customWidth="1"/>
    <col min="274" max="275" width="47.33203125" style="2192" customWidth="1"/>
    <col min="276" max="276" width="47.1640625" style="2192" customWidth="1"/>
    <col min="277" max="277" width="43.6640625" style="2192" customWidth="1"/>
    <col min="278" max="278" width="193.33203125" style="2192" customWidth="1"/>
    <col min="279" max="281" width="47.33203125" style="2192" customWidth="1"/>
    <col min="282" max="282" width="43.6640625" style="2192" customWidth="1"/>
    <col min="283" max="285" width="47.33203125" style="2192" customWidth="1"/>
    <col min="286" max="286" width="44" style="2192" customWidth="1"/>
    <col min="287" max="289" width="47.33203125" style="2192" customWidth="1"/>
    <col min="290" max="290" width="43.6640625" style="2192" customWidth="1"/>
    <col min="291" max="293" width="47.33203125" style="2192" customWidth="1"/>
    <col min="294" max="294" width="43.6640625" style="2192" customWidth="1"/>
    <col min="295" max="297" width="47.33203125" style="2192" customWidth="1"/>
    <col min="298" max="298" width="43.6640625" style="2192" customWidth="1"/>
    <col min="299" max="299" width="193.33203125" style="2192" customWidth="1"/>
    <col min="300" max="315" width="56" style="2192" customWidth="1"/>
    <col min="316" max="316" width="59" style="2192" customWidth="1"/>
    <col min="317" max="317" width="46" style="2192" customWidth="1"/>
    <col min="318" max="512" width="9.33203125" style="2192"/>
    <col min="513" max="513" width="193.33203125" style="2192" customWidth="1"/>
    <col min="514" max="514" width="47.1640625" style="2192" customWidth="1"/>
    <col min="515" max="515" width="47.33203125" style="2192" customWidth="1"/>
    <col min="516" max="516" width="47.1640625" style="2192" customWidth="1"/>
    <col min="517" max="517" width="43.6640625" style="2192" customWidth="1"/>
    <col min="518" max="519" width="47.33203125" style="2192" customWidth="1"/>
    <col min="520" max="520" width="47.1640625" style="2192" customWidth="1"/>
    <col min="521" max="521" width="43.6640625" style="2192" customWidth="1"/>
    <col min="522" max="523" width="47.33203125" style="2192" customWidth="1"/>
    <col min="524" max="524" width="47.1640625" style="2192" customWidth="1"/>
    <col min="525" max="525" width="43.6640625" style="2192" customWidth="1"/>
    <col min="526" max="527" width="45" style="2192" customWidth="1"/>
    <col min="528" max="528" width="44.83203125" style="2192" customWidth="1"/>
    <col min="529" max="529" width="45" style="2192" customWidth="1"/>
    <col min="530" max="531" width="47.33203125" style="2192" customWidth="1"/>
    <col min="532" max="532" width="47.1640625" style="2192" customWidth="1"/>
    <col min="533" max="533" width="43.6640625" style="2192" customWidth="1"/>
    <col min="534" max="534" width="193.33203125" style="2192" customWidth="1"/>
    <col min="535" max="537" width="47.33203125" style="2192" customWidth="1"/>
    <col min="538" max="538" width="43.6640625" style="2192" customWidth="1"/>
    <col min="539" max="541" width="47.33203125" style="2192" customWidth="1"/>
    <col min="542" max="542" width="44" style="2192" customWidth="1"/>
    <col min="543" max="545" width="47.33203125" style="2192" customWidth="1"/>
    <col min="546" max="546" width="43.6640625" style="2192" customWidth="1"/>
    <col min="547" max="549" width="47.33203125" style="2192" customWidth="1"/>
    <col min="550" max="550" width="43.6640625" style="2192" customWidth="1"/>
    <col min="551" max="553" width="47.33203125" style="2192" customWidth="1"/>
    <col min="554" max="554" width="43.6640625" style="2192" customWidth="1"/>
    <col min="555" max="555" width="193.33203125" style="2192" customWidth="1"/>
    <col min="556" max="571" width="56" style="2192" customWidth="1"/>
    <col min="572" max="572" width="59" style="2192" customWidth="1"/>
    <col min="573" max="573" width="46" style="2192" customWidth="1"/>
    <col min="574" max="768" width="9.33203125" style="2192"/>
    <col min="769" max="769" width="193.33203125" style="2192" customWidth="1"/>
    <col min="770" max="770" width="47.1640625" style="2192" customWidth="1"/>
    <col min="771" max="771" width="47.33203125" style="2192" customWidth="1"/>
    <col min="772" max="772" width="47.1640625" style="2192" customWidth="1"/>
    <col min="773" max="773" width="43.6640625" style="2192" customWidth="1"/>
    <col min="774" max="775" width="47.33203125" style="2192" customWidth="1"/>
    <col min="776" max="776" width="47.1640625" style="2192" customWidth="1"/>
    <col min="777" max="777" width="43.6640625" style="2192" customWidth="1"/>
    <col min="778" max="779" width="47.33203125" style="2192" customWidth="1"/>
    <col min="780" max="780" width="47.1640625" style="2192" customWidth="1"/>
    <col min="781" max="781" width="43.6640625" style="2192" customWidth="1"/>
    <col min="782" max="783" width="45" style="2192" customWidth="1"/>
    <col min="784" max="784" width="44.83203125" style="2192" customWidth="1"/>
    <col min="785" max="785" width="45" style="2192" customWidth="1"/>
    <col min="786" max="787" width="47.33203125" style="2192" customWidth="1"/>
    <col min="788" max="788" width="47.1640625" style="2192" customWidth="1"/>
    <col min="789" max="789" width="43.6640625" style="2192" customWidth="1"/>
    <col min="790" max="790" width="193.33203125" style="2192" customWidth="1"/>
    <col min="791" max="793" width="47.33203125" style="2192" customWidth="1"/>
    <col min="794" max="794" width="43.6640625" style="2192" customWidth="1"/>
    <col min="795" max="797" width="47.33203125" style="2192" customWidth="1"/>
    <col min="798" max="798" width="44" style="2192" customWidth="1"/>
    <col min="799" max="801" width="47.33203125" style="2192" customWidth="1"/>
    <col min="802" max="802" width="43.6640625" style="2192" customWidth="1"/>
    <col min="803" max="805" width="47.33203125" style="2192" customWidth="1"/>
    <col min="806" max="806" width="43.6640625" style="2192" customWidth="1"/>
    <col min="807" max="809" width="47.33203125" style="2192" customWidth="1"/>
    <col min="810" max="810" width="43.6640625" style="2192" customWidth="1"/>
    <col min="811" max="811" width="193.33203125" style="2192" customWidth="1"/>
    <col min="812" max="827" width="56" style="2192" customWidth="1"/>
    <col min="828" max="828" width="59" style="2192" customWidth="1"/>
    <col min="829" max="829" width="46" style="2192" customWidth="1"/>
    <col min="830" max="1024" width="9.33203125" style="2192"/>
    <col min="1025" max="1025" width="193.33203125" style="2192" customWidth="1"/>
    <col min="1026" max="1026" width="47.1640625" style="2192" customWidth="1"/>
    <col min="1027" max="1027" width="47.33203125" style="2192" customWidth="1"/>
    <col min="1028" max="1028" width="47.1640625" style="2192" customWidth="1"/>
    <col min="1029" max="1029" width="43.6640625" style="2192" customWidth="1"/>
    <col min="1030" max="1031" width="47.33203125" style="2192" customWidth="1"/>
    <col min="1032" max="1032" width="47.1640625" style="2192" customWidth="1"/>
    <col min="1033" max="1033" width="43.6640625" style="2192" customWidth="1"/>
    <col min="1034" max="1035" width="47.33203125" style="2192" customWidth="1"/>
    <col min="1036" max="1036" width="47.1640625" style="2192" customWidth="1"/>
    <col min="1037" max="1037" width="43.6640625" style="2192" customWidth="1"/>
    <col min="1038" max="1039" width="45" style="2192" customWidth="1"/>
    <col min="1040" max="1040" width="44.83203125" style="2192" customWidth="1"/>
    <col min="1041" max="1041" width="45" style="2192" customWidth="1"/>
    <col min="1042" max="1043" width="47.33203125" style="2192" customWidth="1"/>
    <col min="1044" max="1044" width="47.1640625" style="2192" customWidth="1"/>
    <col min="1045" max="1045" width="43.6640625" style="2192" customWidth="1"/>
    <col min="1046" max="1046" width="193.33203125" style="2192" customWidth="1"/>
    <col min="1047" max="1049" width="47.33203125" style="2192" customWidth="1"/>
    <col min="1050" max="1050" width="43.6640625" style="2192" customWidth="1"/>
    <col min="1051" max="1053" width="47.33203125" style="2192" customWidth="1"/>
    <col min="1054" max="1054" width="44" style="2192" customWidth="1"/>
    <col min="1055" max="1057" width="47.33203125" style="2192" customWidth="1"/>
    <col min="1058" max="1058" width="43.6640625" style="2192" customWidth="1"/>
    <col min="1059" max="1061" width="47.33203125" style="2192" customWidth="1"/>
    <col min="1062" max="1062" width="43.6640625" style="2192" customWidth="1"/>
    <col min="1063" max="1065" width="47.33203125" style="2192" customWidth="1"/>
    <col min="1066" max="1066" width="43.6640625" style="2192" customWidth="1"/>
    <col min="1067" max="1067" width="193.33203125" style="2192" customWidth="1"/>
    <col min="1068" max="1083" width="56" style="2192" customWidth="1"/>
    <col min="1084" max="1084" width="59" style="2192" customWidth="1"/>
    <col min="1085" max="1085" width="46" style="2192" customWidth="1"/>
    <col min="1086" max="1280" width="9.33203125" style="2192"/>
    <col min="1281" max="1281" width="193.33203125" style="2192" customWidth="1"/>
    <col min="1282" max="1282" width="47.1640625" style="2192" customWidth="1"/>
    <col min="1283" max="1283" width="47.33203125" style="2192" customWidth="1"/>
    <col min="1284" max="1284" width="47.1640625" style="2192" customWidth="1"/>
    <col min="1285" max="1285" width="43.6640625" style="2192" customWidth="1"/>
    <col min="1286" max="1287" width="47.33203125" style="2192" customWidth="1"/>
    <col min="1288" max="1288" width="47.1640625" style="2192" customWidth="1"/>
    <col min="1289" max="1289" width="43.6640625" style="2192" customWidth="1"/>
    <col min="1290" max="1291" width="47.33203125" style="2192" customWidth="1"/>
    <col min="1292" max="1292" width="47.1640625" style="2192" customWidth="1"/>
    <col min="1293" max="1293" width="43.6640625" style="2192" customWidth="1"/>
    <col min="1294" max="1295" width="45" style="2192" customWidth="1"/>
    <col min="1296" max="1296" width="44.83203125" style="2192" customWidth="1"/>
    <col min="1297" max="1297" width="45" style="2192" customWidth="1"/>
    <col min="1298" max="1299" width="47.33203125" style="2192" customWidth="1"/>
    <col min="1300" max="1300" width="47.1640625" style="2192" customWidth="1"/>
    <col min="1301" max="1301" width="43.6640625" style="2192" customWidth="1"/>
    <col min="1302" max="1302" width="193.33203125" style="2192" customWidth="1"/>
    <col min="1303" max="1305" width="47.33203125" style="2192" customWidth="1"/>
    <col min="1306" max="1306" width="43.6640625" style="2192" customWidth="1"/>
    <col min="1307" max="1309" width="47.33203125" style="2192" customWidth="1"/>
    <col min="1310" max="1310" width="44" style="2192" customWidth="1"/>
    <col min="1311" max="1313" width="47.33203125" style="2192" customWidth="1"/>
    <col min="1314" max="1314" width="43.6640625" style="2192" customWidth="1"/>
    <col min="1315" max="1317" width="47.33203125" style="2192" customWidth="1"/>
    <col min="1318" max="1318" width="43.6640625" style="2192" customWidth="1"/>
    <col min="1319" max="1321" width="47.33203125" style="2192" customWidth="1"/>
    <col min="1322" max="1322" width="43.6640625" style="2192" customWidth="1"/>
    <col min="1323" max="1323" width="193.33203125" style="2192" customWidth="1"/>
    <col min="1324" max="1339" width="56" style="2192" customWidth="1"/>
    <col min="1340" max="1340" width="59" style="2192" customWidth="1"/>
    <col min="1341" max="1341" width="46" style="2192" customWidth="1"/>
    <col min="1342" max="1536" width="9.33203125" style="2192"/>
    <col min="1537" max="1537" width="193.33203125" style="2192" customWidth="1"/>
    <col min="1538" max="1538" width="47.1640625" style="2192" customWidth="1"/>
    <col min="1539" max="1539" width="47.33203125" style="2192" customWidth="1"/>
    <col min="1540" max="1540" width="47.1640625" style="2192" customWidth="1"/>
    <col min="1541" max="1541" width="43.6640625" style="2192" customWidth="1"/>
    <col min="1542" max="1543" width="47.33203125" style="2192" customWidth="1"/>
    <col min="1544" max="1544" width="47.1640625" style="2192" customWidth="1"/>
    <col min="1545" max="1545" width="43.6640625" style="2192" customWidth="1"/>
    <col min="1546" max="1547" width="47.33203125" style="2192" customWidth="1"/>
    <col min="1548" max="1548" width="47.1640625" style="2192" customWidth="1"/>
    <col min="1549" max="1549" width="43.6640625" style="2192" customWidth="1"/>
    <col min="1550" max="1551" width="45" style="2192" customWidth="1"/>
    <col min="1552" max="1552" width="44.83203125" style="2192" customWidth="1"/>
    <col min="1553" max="1553" width="45" style="2192" customWidth="1"/>
    <col min="1554" max="1555" width="47.33203125" style="2192" customWidth="1"/>
    <col min="1556" max="1556" width="47.1640625" style="2192" customWidth="1"/>
    <col min="1557" max="1557" width="43.6640625" style="2192" customWidth="1"/>
    <col min="1558" max="1558" width="193.33203125" style="2192" customWidth="1"/>
    <col min="1559" max="1561" width="47.33203125" style="2192" customWidth="1"/>
    <col min="1562" max="1562" width="43.6640625" style="2192" customWidth="1"/>
    <col min="1563" max="1565" width="47.33203125" style="2192" customWidth="1"/>
    <col min="1566" max="1566" width="44" style="2192" customWidth="1"/>
    <col min="1567" max="1569" width="47.33203125" style="2192" customWidth="1"/>
    <col min="1570" max="1570" width="43.6640625" style="2192" customWidth="1"/>
    <col min="1571" max="1573" width="47.33203125" style="2192" customWidth="1"/>
    <col min="1574" max="1574" width="43.6640625" style="2192" customWidth="1"/>
    <col min="1575" max="1577" width="47.33203125" style="2192" customWidth="1"/>
    <col min="1578" max="1578" width="43.6640625" style="2192" customWidth="1"/>
    <col min="1579" max="1579" width="193.33203125" style="2192" customWidth="1"/>
    <col min="1580" max="1595" width="56" style="2192" customWidth="1"/>
    <col min="1596" max="1596" width="59" style="2192" customWidth="1"/>
    <col min="1597" max="1597" width="46" style="2192" customWidth="1"/>
    <col min="1598" max="1792" width="9.33203125" style="2192"/>
    <col min="1793" max="1793" width="193.33203125" style="2192" customWidth="1"/>
    <col min="1794" max="1794" width="47.1640625" style="2192" customWidth="1"/>
    <col min="1795" max="1795" width="47.33203125" style="2192" customWidth="1"/>
    <col min="1796" max="1796" width="47.1640625" style="2192" customWidth="1"/>
    <col min="1797" max="1797" width="43.6640625" style="2192" customWidth="1"/>
    <col min="1798" max="1799" width="47.33203125" style="2192" customWidth="1"/>
    <col min="1800" max="1800" width="47.1640625" style="2192" customWidth="1"/>
    <col min="1801" max="1801" width="43.6640625" style="2192" customWidth="1"/>
    <col min="1802" max="1803" width="47.33203125" style="2192" customWidth="1"/>
    <col min="1804" max="1804" width="47.1640625" style="2192" customWidth="1"/>
    <col min="1805" max="1805" width="43.6640625" style="2192" customWidth="1"/>
    <col min="1806" max="1807" width="45" style="2192" customWidth="1"/>
    <col min="1808" max="1808" width="44.83203125" style="2192" customWidth="1"/>
    <col min="1809" max="1809" width="45" style="2192" customWidth="1"/>
    <col min="1810" max="1811" width="47.33203125" style="2192" customWidth="1"/>
    <col min="1812" max="1812" width="47.1640625" style="2192" customWidth="1"/>
    <col min="1813" max="1813" width="43.6640625" style="2192" customWidth="1"/>
    <col min="1814" max="1814" width="193.33203125" style="2192" customWidth="1"/>
    <col min="1815" max="1817" width="47.33203125" style="2192" customWidth="1"/>
    <col min="1818" max="1818" width="43.6640625" style="2192" customWidth="1"/>
    <col min="1819" max="1821" width="47.33203125" style="2192" customWidth="1"/>
    <col min="1822" max="1822" width="44" style="2192" customWidth="1"/>
    <col min="1823" max="1825" width="47.33203125" style="2192" customWidth="1"/>
    <col min="1826" max="1826" width="43.6640625" style="2192" customWidth="1"/>
    <col min="1827" max="1829" width="47.33203125" style="2192" customWidth="1"/>
    <col min="1830" max="1830" width="43.6640625" style="2192" customWidth="1"/>
    <col min="1831" max="1833" width="47.33203125" style="2192" customWidth="1"/>
    <col min="1834" max="1834" width="43.6640625" style="2192" customWidth="1"/>
    <col min="1835" max="1835" width="193.33203125" style="2192" customWidth="1"/>
    <col min="1836" max="1851" width="56" style="2192" customWidth="1"/>
    <col min="1852" max="1852" width="59" style="2192" customWidth="1"/>
    <col min="1853" max="1853" width="46" style="2192" customWidth="1"/>
    <col min="1854" max="2048" width="9.33203125" style="2192"/>
    <col min="2049" max="2049" width="193.33203125" style="2192" customWidth="1"/>
    <col min="2050" max="2050" width="47.1640625" style="2192" customWidth="1"/>
    <col min="2051" max="2051" width="47.33203125" style="2192" customWidth="1"/>
    <col min="2052" max="2052" width="47.1640625" style="2192" customWidth="1"/>
    <col min="2053" max="2053" width="43.6640625" style="2192" customWidth="1"/>
    <col min="2054" max="2055" width="47.33203125" style="2192" customWidth="1"/>
    <col min="2056" max="2056" width="47.1640625" style="2192" customWidth="1"/>
    <col min="2057" max="2057" width="43.6640625" style="2192" customWidth="1"/>
    <col min="2058" max="2059" width="47.33203125" style="2192" customWidth="1"/>
    <col min="2060" max="2060" width="47.1640625" style="2192" customWidth="1"/>
    <col min="2061" max="2061" width="43.6640625" style="2192" customWidth="1"/>
    <col min="2062" max="2063" width="45" style="2192" customWidth="1"/>
    <col min="2064" max="2064" width="44.83203125" style="2192" customWidth="1"/>
    <col min="2065" max="2065" width="45" style="2192" customWidth="1"/>
    <col min="2066" max="2067" width="47.33203125" style="2192" customWidth="1"/>
    <col min="2068" max="2068" width="47.1640625" style="2192" customWidth="1"/>
    <col min="2069" max="2069" width="43.6640625" style="2192" customWidth="1"/>
    <col min="2070" max="2070" width="193.33203125" style="2192" customWidth="1"/>
    <col min="2071" max="2073" width="47.33203125" style="2192" customWidth="1"/>
    <col min="2074" max="2074" width="43.6640625" style="2192" customWidth="1"/>
    <col min="2075" max="2077" width="47.33203125" style="2192" customWidth="1"/>
    <col min="2078" max="2078" width="44" style="2192" customWidth="1"/>
    <col min="2079" max="2081" width="47.33203125" style="2192" customWidth="1"/>
    <col min="2082" max="2082" width="43.6640625" style="2192" customWidth="1"/>
    <col min="2083" max="2085" width="47.33203125" style="2192" customWidth="1"/>
    <col min="2086" max="2086" width="43.6640625" style="2192" customWidth="1"/>
    <col min="2087" max="2089" width="47.33203125" style="2192" customWidth="1"/>
    <col min="2090" max="2090" width="43.6640625" style="2192" customWidth="1"/>
    <col min="2091" max="2091" width="193.33203125" style="2192" customWidth="1"/>
    <col min="2092" max="2107" width="56" style="2192" customWidth="1"/>
    <col min="2108" max="2108" width="59" style="2192" customWidth="1"/>
    <col min="2109" max="2109" width="46" style="2192" customWidth="1"/>
    <col min="2110" max="2304" width="9.33203125" style="2192"/>
    <col min="2305" max="2305" width="193.33203125" style="2192" customWidth="1"/>
    <col min="2306" max="2306" width="47.1640625" style="2192" customWidth="1"/>
    <col min="2307" max="2307" width="47.33203125" style="2192" customWidth="1"/>
    <col min="2308" max="2308" width="47.1640625" style="2192" customWidth="1"/>
    <col min="2309" max="2309" width="43.6640625" style="2192" customWidth="1"/>
    <col min="2310" max="2311" width="47.33203125" style="2192" customWidth="1"/>
    <col min="2312" max="2312" width="47.1640625" style="2192" customWidth="1"/>
    <col min="2313" max="2313" width="43.6640625" style="2192" customWidth="1"/>
    <col min="2314" max="2315" width="47.33203125" style="2192" customWidth="1"/>
    <col min="2316" max="2316" width="47.1640625" style="2192" customWidth="1"/>
    <col min="2317" max="2317" width="43.6640625" style="2192" customWidth="1"/>
    <col min="2318" max="2319" width="45" style="2192" customWidth="1"/>
    <col min="2320" max="2320" width="44.83203125" style="2192" customWidth="1"/>
    <col min="2321" max="2321" width="45" style="2192" customWidth="1"/>
    <col min="2322" max="2323" width="47.33203125" style="2192" customWidth="1"/>
    <col min="2324" max="2324" width="47.1640625" style="2192" customWidth="1"/>
    <col min="2325" max="2325" width="43.6640625" style="2192" customWidth="1"/>
    <col min="2326" max="2326" width="193.33203125" style="2192" customWidth="1"/>
    <col min="2327" max="2329" width="47.33203125" style="2192" customWidth="1"/>
    <col min="2330" max="2330" width="43.6640625" style="2192" customWidth="1"/>
    <col min="2331" max="2333" width="47.33203125" style="2192" customWidth="1"/>
    <col min="2334" max="2334" width="44" style="2192" customWidth="1"/>
    <col min="2335" max="2337" width="47.33203125" style="2192" customWidth="1"/>
    <col min="2338" max="2338" width="43.6640625" style="2192" customWidth="1"/>
    <col min="2339" max="2341" width="47.33203125" style="2192" customWidth="1"/>
    <col min="2342" max="2342" width="43.6640625" style="2192" customWidth="1"/>
    <col min="2343" max="2345" width="47.33203125" style="2192" customWidth="1"/>
    <col min="2346" max="2346" width="43.6640625" style="2192" customWidth="1"/>
    <col min="2347" max="2347" width="193.33203125" style="2192" customWidth="1"/>
    <col min="2348" max="2363" width="56" style="2192" customWidth="1"/>
    <col min="2364" max="2364" width="59" style="2192" customWidth="1"/>
    <col min="2365" max="2365" width="46" style="2192" customWidth="1"/>
    <col min="2366" max="2560" width="9.33203125" style="2192"/>
    <col min="2561" max="2561" width="193.33203125" style="2192" customWidth="1"/>
    <col min="2562" max="2562" width="47.1640625" style="2192" customWidth="1"/>
    <col min="2563" max="2563" width="47.33203125" style="2192" customWidth="1"/>
    <col min="2564" max="2564" width="47.1640625" style="2192" customWidth="1"/>
    <col min="2565" max="2565" width="43.6640625" style="2192" customWidth="1"/>
    <col min="2566" max="2567" width="47.33203125" style="2192" customWidth="1"/>
    <col min="2568" max="2568" width="47.1640625" style="2192" customWidth="1"/>
    <col min="2569" max="2569" width="43.6640625" style="2192" customWidth="1"/>
    <col min="2570" max="2571" width="47.33203125" style="2192" customWidth="1"/>
    <col min="2572" max="2572" width="47.1640625" style="2192" customWidth="1"/>
    <col min="2573" max="2573" width="43.6640625" style="2192" customWidth="1"/>
    <col min="2574" max="2575" width="45" style="2192" customWidth="1"/>
    <col min="2576" max="2576" width="44.83203125" style="2192" customWidth="1"/>
    <col min="2577" max="2577" width="45" style="2192" customWidth="1"/>
    <col min="2578" max="2579" width="47.33203125" style="2192" customWidth="1"/>
    <col min="2580" max="2580" width="47.1640625" style="2192" customWidth="1"/>
    <col min="2581" max="2581" width="43.6640625" style="2192" customWidth="1"/>
    <col min="2582" max="2582" width="193.33203125" style="2192" customWidth="1"/>
    <col min="2583" max="2585" width="47.33203125" style="2192" customWidth="1"/>
    <col min="2586" max="2586" width="43.6640625" style="2192" customWidth="1"/>
    <col min="2587" max="2589" width="47.33203125" style="2192" customWidth="1"/>
    <col min="2590" max="2590" width="44" style="2192" customWidth="1"/>
    <col min="2591" max="2593" width="47.33203125" style="2192" customWidth="1"/>
    <col min="2594" max="2594" width="43.6640625" style="2192" customWidth="1"/>
    <col min="2595" max="2597" width="47.33203125" style="2192" customWidth="1"/>
    <col min="2598" max="2598" width="43.6640625" style="2192" customWidth="1"/>
    <col min="2599" max="2601" width="47.33203125" style="2192" customWidth="1"/>
    <col min="2602" max="2602" width="43.6640625" style="2192" customWidth="1"/>
    <col min="2603" max="2603" width="193.33203125" style="2192" customWidth="1"/>
    <col min="2604" max="2619" width="56" style="2192" customWidth="1"/>
    <col min="2620" max="2620" width="59" style="2192" customWidth="1"/>
    <col min="2621" max="2621" width="46" style="2192" customWidth="1"/>
    <col min="2622" max="2816" width="9.33203125" style="2192"/>
    <col min="2817" max="2817" width="193.33203125" style="2192" customWidth="1"/>
    <col min="2818" max="2818" width="47.1640625" style="2192" customWidth="1"/>
    <col min="2819" max="2819" width="47.33203125" style="2192" customWidth="1"/>
    <col min="2820" max="2820" width="47.1640625" style="2192" customWidth="1"/>
    <col min="2821" max="2821" width="43.6640625" style="2192" customWidth="1"/>
    <col min="2822" max="2823" width="47.33203125" style="2192" customWidth="1"/>
    <col min="2824" max="2824" width="47.1640625" style="2192" customWidth="1"/>
    <col min="2825" max="2825" width="43.6640625" style="2192" customWidth="1"/>
    <col min="2826" max="2827" width="47.33203125" style="2192" customWidth="1"/>
    <col min="2828" max="2828" width="47.1640625" style="2192" customWidth="1"/>
    <col min="2829" max="2829" width="43.6640625" style="2192" customWidth="1"/>
    <col min="2830" max="2831" width="45" style="2192" customWidth="1"/>
    <col min="2832" max="2832" width="44.83203125" style="2192" customWidth="1"/>
    <col min="2833" max="2833" width="45" style="2192" customWidth="1"/>
    <col min="2834" max="2835" width="47.33203125" style="2192" customWidth="1"/>
    <col min="2836" max="2836" width="47.1640625" style="2192" customWidth="1"/>
    <col min="2837" max="2837" width="43.6640625" style="2192" customWidth="1"/>
    <col min="2838" max="2838" width="193.33203125" style="2192" customWidth="1"/>
    <col min="2839" max="2841" width="47.33203125" style="2192" customWidth="1"/>
    <col min="2842" max="2842" width="43.6640625" style="2192" customWidth="1"/>
    <col min="2843" max="2845" width="47.33203125" style="2192" customWidth="1"/>
    <col min="2846" max="2846" width="44" style="2192" customWidth="1"/>
    <col min="2847" max="2849" width="47.33203125" style="2192" customWidth="1"/>
    <col min="2850" max="2850" width="43.6640625" style="2192" customWidth="1"/>
    <col min="2851" max="2853" width="47.33203125" style="2192" customWidth="1"/>
    <col min="2854" max="2854" width="43.6640625" style="2192" customWidth="1"/>
    <col min="2855" max="2857" width="47.33203125" style="2192" customWidth="1"/>
    <col min="2858" max="2858" width="43.6640625" style="2192" customWidth="1"/>
    <col min="2859" max="2859" width="193.33203125" style="2192" customWidth="1"/>
    <col min="2860" max="2875" width="56" style="2192" customWidth="1"/>
    <col min="2876" max="2876" width="59" style="2192" customWidth="1"/>
    <col min="2877" max="2877" width="46" style="2192" customWidth="1"/>
    <col min="2878" max="3072" width="9.33203125" style="2192"/>
    <col min="3073" max="3073" width="193.33203125" style="2192" customWidth="1"/>
    <col min="3074" max="3074" width="47.1640625" style="2192" customWidth="1"/>
    <col min="3075" max="3075" width="47.33203125" style="2192" customWidth="1"/>
    <col min="3076" max="3076" width="47.1640625" style="2192" customWidth="1"/>
    <col min="3077" max="3077" width="43.6640625" style="2192" customWidth="1"/>
    <col min="3078" max="3079" width="47.33203125" style="2192" customWidth="1"/>
    <col min="3080" max="3080" width="47.1640625" style="2192" customWidth="1"/>
    <col min="3081" max="3081" width="43.6640625" style="2192" customWidth="1"/>
    <col min="3082" max="3083" width="47.33203125" style="2192" customWidth="1"/>
    <col min="3084" max="3084" width="47.1640625" style="2192" customWidth="1"/>
    <col min="3085" max="3085" width="43.6640625" style="2192" customWidth="1"/>
    <col min="3086" max="3087" width="45" style="2192" customWidth="1"/>
    <col min="3088" max="3088" width="44.83203125" style="2192" customWidth="1"/>
    <col min="3089" max="3089" width="45" style="2192" customWidth="1"/>
    <col min="3090" max="3091" width="47.33203125" style="2192" customWidth="1"/>
    <col min="3092" max="3092" width="47.1640625" style="2192" customWidth="1"/>
    <col min="3093" max="3093" width="43.6640625" style="2192" customWidth="1"/>
    <col min="3094" max="3094" width="193.33203125" style="2192" customWidth="1"/>
    <col min="3095" max="3097" width="47.33203125" style="2192" customWidth="1"/>
    <col min="3098" max="3098" width="43.6640625" style="2192" customWidth="1"/>
    <col min="3099" max="3101" width="47.33203125" style="2192" customWidth="1"/>
    <col min="3102" max="3102" width="44" style="2192" customWidth="1"/>
    <col min="3103" max="3105" width="47.33203125" style="2192" customWidth="1"/>
    <col min="3106" max="3106" width="43.6640625" style="2192" customWidth="1"/>
    <col min="3107" max="3109" width="47.33203125" style="2192" customWidth="1"/>
    <col min="3110" max="3110" width="43.6640625" style="2192" customWidth="1"/>
    <col min="3111" max="3113" width="47.33203125" style="2192" customWidth="1"/>
    <col min="3114" max="3114" width="43.6640625" style="2192" customWidth="1"/>
    <col min="3115" max="3115" width="193.33203125" style="2192" customWidth="1"/>
    <col min="3116" max="3131" width="56" style="2192" customWidth="1"/>
    <col min="3132" max="3132" width="59" style="2192" customWidth="1"/>
    <col min="3133" max="3133" width="46" style="2192" customWidth="1"/>
    <col min="3134" max="3328" width="9.33203125" style="2192"/>
    <col min="3329" max="3329" width="193.33203125" style="2192" customWidth="1"/>
    <col min="3330" max="3330" width="47.1640625" style="2192" customWidth="1"/>
    <col min="3331" max="3331" width="47.33203125" style="2192" customWidth="1"/>
    <col min="3332" max="3332" width="47.1640625" style="2192" customWidth="1"/>
    <col min="3333" max="3333" width="43.6640625" style="2192" customWidth="1"/>
    <col min="3334" max="3335" width="47.33203125" style="2192" customWidth="1"/>
    <col min="3336" max="3336" width="47.1640625" style="2192" customWidth="1"/>
    <col min="3337" max="3337" width="43.6640625" style="2192" customWidth="1"/>
    <col min="3338" max="3339" width="47.33203125" style="2192" customWidth="1"/>
    <col min="3340" max="3340" width="47.1640625" style="2192" customWidth="1"/>
    <col min="3341" max="3341" width="43.6640625" style="2192" customWidth="1"/>
    <col min="3342" max="3343" width="45" style="2192" customWidth="1"/>
    <col min="3344" max="3344" width="44.83203125" style="2192" customWidth="1"/>
    <col min="3345" max="3345" width="45" style="2192" customWidth="1"/>
    <col min="3346" max="3347" width="47.33203125" style="2192" customWidth="1"/>
    <col min="3348" max="3348" width="47.1640625" style="2192" customWidth="1"/>
    <col min="3349" max="3349" width="43.6640625" style="2192" customWidth="1"/>
    <col min="3350" max="3350" width="193.33203125" style="2192" customWidth="1"/>
    <col min="3351" max="3353" width="47.33203125" style="2192" customWidth="1"/>
    <col min="3354" max="3354" width="43.6640625" style="2192" customWidth="1"/>
    <col min="3355" max="3357" width="47.33203125" style="2192" customWidth="1"/>
    <col min="3358" max="3358" width="44" style="2192" customWidth="1"/>
    <col min="3359" max="3361" width="47.33203125" style="2192" customWidth="1"/>
    <col min="3362" max="3362" width="43.6640625" style="2192" customWidth="1"/>
    <col min="3363" max="3365" width="47.33203125" style="2192" customWidth="1"/>
    <col min="3366" max="3366" width="43.6640625" style="2192" customWidth="1"/>
    <col min="3367" max="3369" width="47.33203125" style="2192" customWidth="1"/>
    <col min="3370" max="3370" width="43.6640625" style="2192" customWidth="1"/>
    <col min="3371" max="3371" width="193.33203125" style="2192" customWidth="1"/>
    <col min="3372" max="3387" width="56" style="2192" customWidth="1"/>
    <col min="3388" max="3388" width="59" style="2192" customWidth="1"/>
    <col min="3389" max="3389" width="46" style="2192" customWidth="1"/>
    <col min="3390" max="3584" width="9.33203125" style="2192"/>
    <col min="3585" max="3585" width="193.33203125" style="2192" customWidth="1"/>
    <col min="3586" max="3586" width="47.1640625" style="2192" customWidth="1"/>
    <col min="3587" max="3587" width="47.33203125" style="2192" customWidth="1"/>
    <col min="3588" max="3588" width="47.1640625" style="2192" customWidth="1"/>
    <col min="3589" max="3589" width="43.6640625" style="2192" customWidth="1"/>
    <col min="3590" max="3591" width="47.33203125" style="2192" customWidth="1"/>
    <col min="3592" max="3592" width="47.1640625" style="2192" customWidth="1"/>
    <col min="3593" max="3593" width="43.6640625" style="2192" customWidth="1"/>
    <col min="3594" max="3595" width="47.33203125" style="2192" customWidth="1"/>
    <col min="3596" max="3596" width="47.1640625" style="2192" customWidth="1"/>
    <col min="3597" max="3597" width="43.6640625" style="2192" customWidth="1"/>
    <col min="3598" max="3599" width="45" style="2192" customWidth="1"/>
    <col min="3600" max="3600" width="44.83203125" style="2192" customWidth="1"/>
    <col min="3601" max="3601" width="45" style="2192" customWidth="1"/>
    <col min="3602" max="3603" width="47.33203125" style="2192" customWidth="1"/>
    <col min="3604" max="3604" width="47.1640625" style="2192" customWidth="1"/>
    <col min="3605" max="3605" width="43.6640625" style="2192" customWidth="1"/>
    <col min="3606" max="3606" width="193.33203125" style="2192" customWidth="1"/>
    <col min="3607" max="3609" width="47.33203125" style="2192" customWidth="1"/>
    <col min="3610" max="3610" width="43.6640625" style="2192" customWidth="1"/>
    <col min="3611" max="3613" width="47.33203125" style="2192" customWidth="1"/>
    <col min="3614" max="3614" width="44" style="2192" customWidth="1"/>
    <col min="3615" max="3617" width="47.33203125" style="2192" customWidth="1"/>
    <col min="3618" max="3618" width="43.6640625" style="2192" customWidth="1"/>
    <col min="3619" max="3621" width="47.33203125" style="2192" customWidth="1"/>
    <col min="3622" max="3622" width="43.6640625" style="2192" customWidth="1"/>
    <col min="3623" max="3625" width="47.33203125" style="2192" customWidth="1"/>
    <col min="3626" max="3626" width="43.6640625" style="2192" customWidth="1"/>
    <col min="3627" max="3627" width="193.33203125" style="2192" customWidth="1"/>
    <col min="3628" max="3643" width="56" style="2192" customWidth="1"/>
    <col min="3644" max="3644" width="59" style="2192" customWidth="1"/>
    <col min="3645" max="3645" width="46" style="2192" customWidth="1"/>
    <col min="3646" max="3840" width="9.33203125" style="2192"/>
    <col min="3841" max="3841" width="193.33203125" style="2192" customWidth="1"/>
    <col min="3842" max="3842" width="47.1640625" style="2192" customWidth="1"/>
    <col min="3843" max="3843" width="47.33203125" style="2192" customWidth="1"/>
    <col min="3844" max="3844" width="47.1640625" style="2192" customWidth="1"/>
    <col min="3845" max="3845" width="43.6640625" style="2192" customWidth="1"/>
    <col min="3846" max="3847" width="47.33203125" style="2192" customWidth="1"/>
    <col min="3848" max="3848" width="47.1640625" style="2192" customWidth="1"/>
    <col min="3849" max="3849" width="43.6640625" style="2192" customWidth="1"/>
    <col min="3850" max="3851" width="47.33203125" style="2192" customWidth="1"/>
    <col min="3852" max="3852" width="47.1640625" style="2192" customWidth="1"/>
    <col min="3853" max="3853" width="43.6640625" style="2192" customWidth="1"/>
    <col min="3854" max="3855" width="45" style="2192" customWidth="1"/>
    <col min="3856" max="3856" width="44.83203125" style="2192" customWidth="1"/>
    <col min="3857" max="3857" width="45" style="2192" customWidth="1"/>
    <col min="3858" max="3859" width="47.33203125" style="2192" customWidth="1"/>
    <col min="3860" max="3860" width="47.1640625" style="2192" customWidth="1"/>
    <col min="3861" max="3861" width="43.6640625" style="2192" customWidth="1"/>
    <col min="3862" max="3862" width="193.33203125" style="2192" customWidth="1"/>
    <col min="3863" max="3865" width="47.33203125" style="2192" customWidth="1"/>
    <col min="3866" max="3866" width="43.6640625" style="2192" customWidth="1"/>
    <col min="3867" max="3869" width="47.33203125" style="2192" customWidth="1"/>
    <col min="3870" max="3870" width="44" style="2192" customWidth="1"/>
    <col min="3871" max="3873" width="47.33203125" style="2192" customWidth="1"/>
    <col min="3874" max="3874" width="43.6640625" style="2192" customWidth="1"/>
    <col min="3875" max="3877" width="47.33203125" style="2192" customWidth="1"/>
    <col min="3878" max="3878" width="43.6640625" style="2192" customWidth="1"/>
    <col min="3879" max="3881" width="47.33203125" style="2192" customWidth="1"/>
    <col min="3882" max="3882" width="43.6640625" style="2192" customWidth="1"/>
    <col min="3883" max="3883" width="193.33203125" style="2192" customWidth="1"/>
    <col min="3884" max="3899" width="56" style="2192" customWidth="1"/>
    <col min="3900" max="3900" width="59" style="2192" customWidth="1"/>
    <col min="3901" max="3901" width="46" style="2192" customWidth="1"/>
    <col min="3902" max="4096" width="9.33203125" style="2192"/>
    <col min="4097" max="4097" width="193.33203125" style="2192" customWidth="1"/>
    <col min="4098" max="4098" width="47.1640625" style="2192" customWidth="1"/>
    <col min="4099" max="4099" width="47.33203125" style="2192" customWidth="1"/>
    <col min="4100" max="4100" width="47.1640625" style="2192" customWidth="1"/>
    <col min="4101" max="4101" width="43.6640625" style="2192" customWidth="1"/>
    <col min="4102" max="4103" width="47.33203125" style="2192" customWidth="1"/>
    <col min="4104" max="4104" width="47.1640625" style="2192" customWidth="1"/>
    <col min="4105" max="4105" width="43.6640625" style="2192" customWidth="1"/>
    <col min="4106" max="4107" width="47.33203125" style="2192" customWidth="1"/>
    <col min="4108" max="4108" width="47.1640625" style="2192" customWidth="1"/>
    <col min="4109" max="4109" width="43.6640625" style="2192" customWidth="1"/>
    <col min="4110" max="4111" width="45" style="2192" customWidth="1"/>
    <col min="4112" max="4112" width="44.83203125" style="2192" customWidth="1"/>
    <col min="4113" max="4113" width="45" style="2192" customWidth="1"/>
    <col min="4114" max="4115" width="47.33203125" style="2192" customWidth="1"/>
    <col min="4116" max="4116" width="47.1640625" style="2192" customWidth="1"/>
    <col min="4117" max="4117" width="43.6640625" style="2192" customWidth="1"/>
    <col min="4118" max="4118" width="193.33203125" style="2192" customWidth="1"/>
    <col min="4119" max="4121" width="47.33203125" style="2192" customWidth="1"/>
    <col min="4122" max="4122" width="43.6640625" style="2192" customWidth="1"/>
    <col min="4123" max="4125" width="47.33203125" style="2192" customWidth="1"/>
    <col min="4126" max="4126" width="44" style="2192" customWidth="1"/>
    <col min="4127" max="4129" width="47.33203125" style="2192" customWidth="1"/>
    <col min="4130" max="4130" width="43.6640625" style="2192" customWidth="1"/>
    <col min="4131" max="4133" width="47.33203125" style="2192" customWidth="1"/>
    <col min="4134" max="4134" width="43.6640625" style="2192" customWidth="1"/>
    <col min="4135" max="4137" width="47.33203125" style="2192" customWidth="1"/>
    <col min="4138" max="4138" width="43.6640625" style="2192" customWidth="1"/>
    <col min="4139" max="4139" width="193.33203125" style="2192" customWidth="1"/>
    <col min="4140" max="4155" width="56" style="2192" customWidth="1"/>
    <col min="4156" max="4156" width="59" style="2192" customWidth="1"/>
    <col min="4157" max="4157" width="46" style="2192" customWidth="1"/>
    <col min="4158" max="4352" width="9.33203125" style="2192"/>
    <col min="4353" max="4353" width="193.33203125" style="2192" customWidth="1"/>
    <col min="4354" max="4354" width="47.1640625" style="2192" customWidth="1"/>
    <col min="4355" max="4355" width="47.33203125" style="2192" customWidth="1"/>
    <col min="4356" max="4356" width="47.1640625" style="2192" customWidth="1"/>
    <col min="4357" max="4357" width="43.6640625" style="2192" customWidth="1"/>
    <col min="4358" max="4359" width="47.33203125" style="2192" customWidth="1"/>
    <col min="4360" max="4360" width="47.1640625" style="2192" customWidth="1"/>
    <col min="4361" max="4361" width="43.6640625" style="2192" customWidth="1"/>
    <col min="4362" max="4363" width="47.33203125" style="2192" customWidth="1"/>
    <col min="4364" max="4364" width="47.1640625" style="2192" customWidth="1"/>
    <col min="4365" max="4365" width="43.6640625" style="2192" customWidth="1"/>
    <col min="4366" max="4367" width="45" style="2192" customWidth="1"/>
    <col min="4368" max="4368" width="44.83203125" style="2192" customWidth="1"/>
    <col min="4369" max="4369" width="45" style="2192" customWidth="1"/>
    <col min="4370" max="4371" width="47.33203125" style="2192" customWidth="1"/>
    <col min="4372" max="4372" width="47.1640625" style="2192" customWidth="1"/>
    <col min="4373" max="4373" width="43.6640625" style="2192" customWidth="1"/>
    <col min="4374" max="4374" width="193.33203125" style="2192" customWidth="1"/>
    <col min="4375" max="4377" width="47.33203125" style="2192" customWidth="1"/>
    <col min="4378" max="4378" width="43.6640625" style="2192" customWidth="1"/>
    <col min="4379" max="4381" width="47.33203125" style="2192" customWidth="1"/>
    <col min="4382" max="4382" width="44" style="2192" customWidth="1"/>
    <col min="4383" max="4385" width="47.33203125" style="2192" customWidth="1"/>
    <col min="4386" max="4386" width="43.6640625" style="2192" customWidth="1"/>
    <col min="4387" max="4389" width="47.33203125" style="2192" customWidth="1"/>
    <col min="4390" max="4390" width="43.6640625" style="2192" customWidth="1"/>
    <col min="4391" max="4393" width="47.33203125" style="2192" customWidth="1"/>
    <col min="4394" max="4394" width="43.6640625" style="2192" customWidth="1"/>
    <col min="4395" max="4395" width="193.33203125" style="2192" customWidth="1"/>
    <col min="4396" max="4411" width="56" style="2192" customWidth="1"/>
    <col min="4412" max="4412" width="59" style="2192" customWidth="1"/>
    <col min="4413" max="4413" width="46" style="2192" customWidth="1"/>
    <col min="4414" max="4608" width="9.33203125" style="2192"/>
    <col min="4609" max="4609" width="193.33203125" style="2192" customWidth="1"/>
    <col min="4610" max="4610" width="47.1640625" style="2192" customWidth="1"/>
    <col min="4611" max="4611" width="47.33203125" style="2192" customWidth="1"/>
    <col min="4612" max="4612" width="47.1640625" style="2192" customWidth="1"/>
    <col min="4613" max="4613" width="43.6640625" style="2192" customWidth="1"/>
    <col min="4614" max="4615" width="47.33203125" style="2192" customWidth="1"/>
    <col min="4616" max="4616" width="47.1640625" style="2192" customWidth="1"/>
    <col min="4617" max="4617" width="43.6640625" style="2192" customWidth="1"/>
    <col min="4618" max="4619" width="47.33203125" style="2192" customWidth="1"/>
    <col min="4620" max="4620" width="47.1640625" style="2192" customWidth="1"/>
    <col min="4621" max="4621" width="43.6640625" style="2192" customWidth="1"/>
    <col min="4622" max="4623" width="45" style="2192" customWidth="1"/>
    <col min="4624" max="4624" width="44.83203125" style="2192" customWidth="1"/>
    <col min="4625" max="4625" width="45" style="2192" customWidth="1"/>
    <col min="4626" max="4627" width="47.33203125" style="2192" customWidth="1"/>
    <col min="4628" max="4628" width="47.1640625" style="2192" customWidth="1"/>
    <col min="4629" max="4629" width="43.6640625" style="2192" customWidth="1"/>
    <col min="4630" max="4630" width="193.33203125" style="2192" customWidth="1"/>
    <col min="4631" max="4633" width="47.33203125" style="2192" customWidth="1"/>
    <col min="4634" max="4634" width="43.6640625" style="2192" customWidth="1"/>
    <col min="4635" max="4637" width="47.33203125" style="2192" customWidth="1"/>
    <col min="4638" max="4638" width="44" style="2192" customWidth="1"/>
    <col min="4639" max="4641" width="47.33203125" style="2192" customWidth="1"/>
    <col min="4642" max="4642" width="43.6640625" style="2192" customWidth="1"/>
    <col min="4643" max="4645" width="47.33203125" style="2192" customWidth="1"/>
    <col min="4646" max="4646" width="43.6640625" style="2192" customWidth="1"/>
    <col min="4647" max="4649" width="47.33203125" style="2192" customWidth="1"/>
    <col min="4650" max="4650" width="43.6640625" style="2192" customWidth="1"/>
    <col min="4651" max="4651" width="193.33203125" style="2192" customWidth="1"/>
    <col min="4652" max="4667" width="56" style="2192" customWidth="1"/>
    <col min="4668" max="4668" width="59" style="2192" customWidth="1"/>
    <col min="4669" max="4669" width="46" style="2192" customWidth="1"/>
    <col min="4670" max="4864" width="9.33203125" style="2192"/>
    <col min="4865" max="4865" width="193.33203125" style="2192" customWidth="1"/>
    <col min="4866" max="4866" width="47.1640625" style="2192" customWidth="1"/>
    <col min="4867" max="4867" width="47.33203125" style="2192" customWidth="1"/>
    <col min="4868" max="4868" width="47.1640625" style="2192" customWidth="1"/>
    <col min="4869" max="4869" width="43.6640625" style="2192" customWidth="1"/>
    <col min="4870" max="4871" width="47.33203125" style="2192" customWidth="1"/>
    <col min="4872" max="4872" width="47.1640625" style="2192" customWidth="1"/>
    <col min="4873" max="4873" width="43.6640625" style="2192" customWidth="1"/>
    <col min="4874" max="4875" width="47.33203125" style="2192" customWidth="1"/>
    <col min="4876" max="4876" width="47.1640625" style="2192" customWidth="1"/>
    <col min="4877" max="4877" width="43.6640625" style="2192" customWidth="1"/>
    <col min="4878" max="4879" width="45" style="2192" customWidth="1"/>
    <col min="4880" max="4880" width="44.83203125" style="2192" customWidth="1"/>
    <col min="4881" max="4881" width="45" style="2192" customWidth="1"/>
    <col min="4882" max="4883" width="47.33203125" style="2192" customWidth="1"/>
    <col min="4884" max="4884" width="47.1640625" style="2192" customWidth="1"/>
    <col min="4885" max="4885" width="43.6640625" style="2192" customWidth="1"/>
    <col min="4886" max="4886" width="193.33203125" style="2192" customWidth="1"/>
    <col min="4887" max="4889" width="47.33203125" style="2192" customWidth="1"/>
    <col min="4890" max="4890" width="43.6640625" style="2192" customWidth="1"/>
    <col min="4891" max="4893" width="47.33203125" style="2192" customWidth="1"/>
    <col min="4894" max="4894" width="44" style="2192" customWidth="1"/>
    <col min="4895" max="4897" width="47.33203125" style="2192" customWidth="1"/>
    <col min="4898" max="4898" width="43.6640625" style="2192" customWidth="1"/>
    <col min="4899" max="4901" width="47.33203125" style="2192" customWidth="1"/>
    <col min="4902" max="4902" width="43.6640625" style="2192" customWidth="1"/>
    <col min="4903" max="4905" width="47.33203125" style="2192" customWidth="1"/>
    <col min="4906" max="4906" width="43.6640625" style="2192" customWidth="1"/>
    <col min="4907" max="4907" width="193.33203125" style="2192" customWidth="1"/>
    <col min="4908" max="4923" width="56" style="2192" customWidth="1"/>
    <col min="4924" max="4924" width="59" style="2192" customWidth="1"/>
    <col min="4925" max="4925" width="46" style="2192" customWidth="1"/>
    <col min="4926" max="5120" width="9.33203125" style="2192"/>
    <col min="5121" max="5121" width="193.33203125" style="2192" customWidth="1"/>
    <col min="5122" max="5122" width="47.1640625" style="2192" customWidth="1"/>
    <col min="5123" max="5123" width="47.33203125" style="2192" customWidth="1"/>
    <col min="5124" max="5124" width="47.1640625" style="2192" customWidth="1"/>
    <col min="5125" max="5125" width="43.6640625" style="2192" customWidth="1"/>
    <col min="5126" max="5127" width="47.33203125" style="2192" customWidth="1"/>
    <col min="5128" max="5128" width="47.1640625" style="2192" customWidth="1"/>
    <col min="5129" max="5129" width="43.6640625" style="2192" customWidth="1"/>
    <col min="5130" max="5131" width="47.33203125" style="2192" customWidth="1"/>
    <col min="5132" max="5132" width="47.1640625" style="2192" customWidth="1"/>
    <col min="5133" max="5133" width="43.6640625" style="2192" customWidth="1"/>
    <col min="5134" max="5135" width="45" style="2192" customWidth="1"/>
    <col min="5136" max="5136" width="44.83203125" style="2192" customWidth="1"/>
    <col min="5137" max="5137" width="45" style="2192" customWidth="1"/>
    <col min="5138" max="5139" width="47.33203125" style="2192" customWidth="1"/>
    <col min="5140" max="5140" width="47.1640625" style="2192" customWidth="1"/>
    <col min="5141" max="5141" width="43.6640625" style="2192" customWidth="1"/>
    <col min="5142" max="5142" width="193.33203125" style="2192" customWidth="1"/>
    <col min="5143" max="5145" width="47.33203125" style="2192" customWidth="1"/>
    <col min="5146" max="5146" width="43.6640625" style="2192" customWidth="1"/>
    <col min="5147" max="5149" width="47.33203125" style="2192" customWidth="1"/>
    <col min="5150" max="5150" width="44" style="2192" customWidth="1"/>
    <col min="5151" max="5153" width="47.33203125" style="2192" customWidth="1"/>
    <col min="5154" max="5154" width="43.6640625" style="2192" customWidth="1"/>
    <col min="5155" max="5157" width="47.33203125" style="2192" customWidth="1"/>
    <col min="5158" max="5158" width="43.6640625" style="2192" customWidth="1"/>
    <col min="5159" max="5161" width="47.33203125" style="2192" customWidth="1"/>
    <col min="5162" max="5162" width="43.6640625" style="2192" customWidth="1"/>
    <col min="5163" max="5163" width="193.33203125" style="2192" customWidth="1"/>
    <col min="5164" max="5179" width="56" style="2192" customWidth="1"/>
    <col min="5180" max="5180" width="59" style="2192" customWidth="1"/>
    <col min="5181" max="5181" width="46" style="2192" customWidth="1"/>
    <col min="5182" max="5376" width="9.33203125" style="2192"/>
    <col min="5377" max="5377" width="193.33203125" style="2192" customWidth="1"/>
    <col min="5378" max="5378" width="47.1640625" style="2192" customWidth="1"/>
    <col min="5379" max="5379" width="47.33203125" style="2192" customWidth="1"/>
    <col min="5380" max="5380" width="47.1640625" style="2192" customWidth="1"/>
    <col min="5381" max="5381" width="43.6640625" style="2192" customWidth="1"/>
    <col min="5382" max="5383" width="47.33203125" style="2192" customWidth="1"/>
    <col min="5384" max="5384" width="47.1640625" style="2192" customWidth="1"/>
    <col min="5385" max="5385" width="43.6640625" style="2192" customWidth="1"/>
    <col min="5386" max="5387" width="47.33203125" style="2192" customWidth="1"/>
    <col min="5388" max="5388" width="47.1640625" style="2192" customWidth="1"/>
    <col min="5389" max="5389" width="43.6640625" style="2192" customWidth="1"/>
    <col min="5390" max="5391" width="45" style="2192" customWidth="1"/>
    <col min="5392" max="5392" width="44.83203125" style="2192" customWidth="1"/>
    <col min="5393" max="5393" width="45" style="2192" customWidth="1"/>
    <col min="5394" max="5395" width="47.33203125" style="2192" customWidth="1"/>
    <col min="5396" max="5396" width="47.1640625" style="2192" customWidth="1"/>
    <col min="5397" max="5397" width="43.6640625" style="2192" customWidth="1"/>
    <col min="5398" max="5398" width="193.33203125" style="2192" customWidth="1"/>
    <col min="5399" max="5401" width="47.33203125" style="2192" customWidth="1"/>
    <col min="5402" max="5402" width="43.6640625" style="2192" customWidth="1"/>
    <col min="5403" max="5405" width="47.33203125" style="2192" customWidth="1"/>
    <col min="5406" max="5406" width="44" style="2192" customWidth="1"/>
    <col min="5407" max="5409" width="47.33203125" style="2192" customWidth="1"/>
    <col min="5410" max="5410" width="43.6640625" style="2192" customWidth="1"/>
    <col min="5411" max="5413" width="47.33203125" style="2192" customWidth="1"/>
    <col min="5414" max="5414" width="43.6640625" style="2192" customWidth="1"/>
    <col min="5415" max="5417" width="47.33203125" style="2192" customWidth="1"/>
    <col min="5418" max="5418" width="43.6640625" style="2192" customWidth="1"/>
    <col min="5419" max="5419" width="193.33203125" style="2192" customWidth="1"/>
    <col min="5420" max="5435" width="56" style="2192" customWidth="1"/>
    <col min="5436" max="5436" width="59" style="2192" customWidth="1"/>
    <col min="5437" max="5437" width="46" style="2192" customWidth="1"/>
    <col min="5438" max="5632" width="9.33203125" style="2192"/>
    <col min="5633" max="5633" width="193.33203125" style="2192" customWidth="1"/>
    <col min="5634" max="5634" width="47.1640625" style="2192" customWidth="1"/>
    <col min="5635" max="5635" width="47.33203125" style="2192" customWidth="1"/>
    <col min="5636" max="5636" width="47.1640625" style="2192" customWidth="1"/>
    <col min="5637" max="5637" width="43.6640625" style="2192" customWidth="1"/>
    <col min="5638" max="5639" width="47.33203125" style="2192" customWidth="1"/>
    <col min="5640" max="5640" width="47.1640625" style="2192" customWidth="1"/>
    <col min="5641" max="5641" width="43.6640625" style="2192" customWidth="1"/>
    <col min="5642" max="5643" width="47.33203125" style="2192" customWidth="1"/>
    <col min="5644" max="5644" width="47.1640625" style="2192" customWidth="1"/>
    <col min="5645" max="5645" width="43.6640625" style="2192" customWidth="1"/>
    <col min="5646" max="5647" width="45" style="2192" customWidth="1"/>
    <col min="5648" max="5648" width="44.83203125" style="2192" customWidth="1"/>
    <col min="5649" max="5649" width="45" style="2192" customWidth="1"/>
    <col min="5650" max="5651" width="47.33203125" style="2192" customWidth="1"/>
    <col min="5652" max="5652" width="47.1640625" style="2192" customWidth="1"/>
    <col min="5653" max="5653" width="43.6640625" style="2192" customWidth="1"/>
    <col min="5654" max="5654" width="193.33203125" style="2192" customWidth="1"/>
    <col min="5655" max="5657" width="47.33203125" style="2192" customWidth="1"/>
    <col min="5658" max="5658" width="43.6640625" style="2192" customWidth="1"/>
    <col min="5659" max="5661" width="47.33203125" style="2192" customWidth="1"/>
    <col min="5662" max="5662" width="44" style="2192" customWidth="1"/>
    <col min="5663" max="5665" width="47.33203125" style="2192" customWidth="1"/>
    <col min="5666" max="5666" width="43.6640625" style="2192" customWidth="1"/>
    <col min="5667" max="5669" width="47.33203125" style="2192" customWidth="1"/>
    <col min="5670" max="5670" width="43.6640625" style="2192" customWidth="1"/>
    <col min="5671" max="5673" width="47.33203125" style="2192" customWidth="1"/>
    <col min="5674" max="5674" width="43.6640625" style="2192" customWidth="1"/>
    <col min="5675" max="5675" width="193.33203125" style="2192" customWidth="1"/>
    <col min="5676" max="5691" width="56" style="2192" customWidth="1"/>
    <col min="5692" max="5692" width="59" style="2192" customWidth="1"/>
    <col min="5693" max="5693" width="46" style="2192" customWidth="1"/>
    <col min="5694" max="5888" width="9.33203125" style="2192"/>
    <col min="5889" max="5889" width="193.33203125" style="2192" customWidth="1"/>
    <col min="5890" max="5890" width="47.1640625" style="2192" customWidth="1"/>
    <col min="5891" max="5891" width="47.33203125" style="2192" customWidth="1"/>
    <col min="5892" max="5892" width="47.1640625" style="2192" customWidth="1"/>
    <col min="5893" max="5893" width="43.6640625" style="2192" customWidth="1"/>
    <col min="5894" max="5895" width="47.33203125" style="2192" customWidth="1"/>
    <col min="5896" max="5896" width="47.1640625" style="2192" customWidth="1"/>
    <col min="5897" max="5897" width="43.6640625" style="2192" customWidth="1"/>
    <col min="5898" max="5899" width="47.33203125" style="2192" customWidth="1"/>
    <col min="5900" max="5900" width="47.1640625" style="2192" customWidth="1"/>
    <col min="5901" max="5901" width="43.6640625" style="2192" customWidth="1"/>
    <col min="5902" max="5903" width="45" style="2192" customWidth="1"/>
    <col min="5904" max="5904" width="44.83203125" style="2192" customWidth="1"/>
    <col min="5905" max="5905" width="45" style="2192" customWidth="1"/>
    <col min="5906" max="5907" width="47.33203125" style="2192" customWidth="1"/>
    <col min="5908" max="5908" width="47.1640625" style="2192" customWidth="1"/>
    <col min="5909" max="5909" width="43.6640625" style="2192" customWidth="1"/>
    <col min="5910" max="5910" width="193.33203125" style="2192" customWidth="1"/>
    <col min="5911" max="5913" width="47.33203125" style="2192" customWidth="1"/>
    <col min="5914" max="5914" width="43.6640625" style="2192" customWidth="1"/>
    <col min="5915" max="5917" width="47.33203125" style="2192" customWidth="1"/>
    <col min="5918" max="5918" width="44" style="2192" customWidth="1"/>
    <col min="5919" max="5921" width="47.33203125" style="2192" customWidth="1"/>
    <col min="5922" max="5922" width="43.6640625" style="2192" customWidth="1"/>
    <col min="5923" max="5925" width="47.33203125" style="2192" customWidth="1"/>
    <col min="5926" max="5926" width="43.6640625" style="2192" customWidth="1"/>
    <col min="5927" max="5929" width="47.33203125" style="2192" customWidth="1"/>
    <col min="5930" max="5930" width="43.6640625" style="2192" customWidth="1"/>
    <col min="5931" max="5931" width="193.33203125" style="2192" customWidth="1"/>
    <col min="5932" max="5947" width="56" style="2192" customWidth="1"/>
    <col min="5948" max="5948" width="59" style="2192" customWidth="1"/>
    <col min="5949" max="5949" width="46" style="2192" customWidth="1"/>
    <col min="5950" max="6144" width="9.33203125" style="2192"/>
    <col min="6145" max="6145" width="193.33203125" style="2192" customWidth="1"/>
    <col min="6146" max="6146" width="47.1640625" style="2192" customWidth="1"/>
    <col min="6147" max="6147" width="47.33203125" style="2192" customWidth="1"/>
    <col min="6148" max="6148" width="47.1640625" style="2192" customWidth="1"/>
    <col min="6149" max="6149" width="43.6640625" style="2192" customWidth="1"/>
    <col min="6150" max="6151" width="47.33203125" style="2192" customWidth="1"/>
    <col min="6152" max="6152" width="47.1640625" style="2192" customWidth="1"/>
    <col min="6153" max="6153" width="43.6640625" style="2192" customWidth="1"/>
    <col min="6154" max="6155" width="47.33203125" style="2192" customWidth="1"/>
    <col min="6156" max="6156" width="47.1640625" style="2192" customWidth="1"/>
    <col min="6157" max="6157" width="43.6640625" style="2192" customWidth="1"/>
    <col min="6158" max="6159" width="45" style="2192" customWidth="1"/>
    <col min="6160" max="6160" width="44.83203125" style="2192" customWidth="1"/>
    <col min="6161" max="6161" width="45" style="2192" customWidth="1"/>
    <col min="6162" max="6163" width="47.33203125" style="2192" customWidth="1"/>
    <col min="6164" max="6164" width="47.1640625" style="2192" customWidth="1"/>
    <col min="6165" max="6165" width="43.6640625" style="2192" customWidth="1"/>
    <col min="6166" max="6166" width="193.33203125" style="2192" customWidth="1"/>
    <col min="6167" max="6169" width="47.33203125" style="2192" customWidth="1"/>
    <col min="6170" max="6170" width="43.6640625" style="2192" customWidth="1"/>
    <col min="6171" max="6173" width="47.33203125" style="2192" customWidth="1"/>
    <col min="6174" max="6174" width="44" style="2192" customWidth="1"/>
    <col min="6175" max="6177" width="47.33203125" style="2192" customWidth="1"/>
    <col min="6178" max="6178" width="43.6640625" style="2192" customWidth="1"/>
    <col min="6179" max="6181" width="47.33203125" style="2192" customWidth="1"/>
    <col min="6182" max="6182" width="43.6640625" style="2192" customWidth="1"/>
    <col min="6183" max="6185" width="47.33203125" style="2192" customWidth="1"/>
    <col min="6186" max="6186" width="43.6640625" style="2192" customWidth="1"/>
    <col min="6187" max="6187" width="193.33203125" style="2192" customWidth="1"/>
    <col min="6188" max="6203" width="56" style="2192" customWidth="1"/>
    <col min="6204" max="6204" width="59" style="2192" customWidth="1"/>
    <col min="6205" max="6205" width="46" style="2192" customWidth="1"/>
    <col min="6206" max="6400" width="9.33203125" style="2192"/>
    <col min="6401" max="6401" width="193.33203125" style="2192" customWidth="1"/>
    <col min="6402" max="6402" width="47.1640625" style="2192" customWidth="1"/>
    <col min="6403" max="6403" width="47.33203125" style="2192" customWidth="1"/>
    <col min="6404" max="6404" width="47.1640625" style="2192" customWidth="1"/>
    <col min="6405" max="6405" width="43.6640625" style="2192" customWidth="1"/>
    <col min="6406" max="6407" width="47.33203125" style="2192" customWidth="1"/>
    <col min="6408" max="6408" width="47.1640625" style="2192" customWidth="1"/>
    <col min="6409" max="6409" width="43.6640625" style="2192" customWidth="1"/>
    <col min="6410" max="6411" width="47.33203125" style="2192" customWidth="1"/>
    <col min="6412" max="6412" width="47.1640625" style="2192" customWidth="1"/>
    <col min="6413" max="6413" width="43.6640625" style="2192" customWidth="1"/>
    <col min="6414" max="6415" width="45" style="2192" customWidth="1"/>
    <col min="6416" max="6416" width="44.83203125" style="2192" customWidth="1"/>
    <col min="6417" max="6417" width="45" style="2192" customWidth="1"/>
    <col min="6418" max="6419" width="47.33203125" style="2192" customWidth="1"/>
    <col min="6420" max="6420" width="47.1640625" style="2192" customWidth="1"/>
    <col min="6421" max="6421" width="43.6640625" style="2192" customWidth="1"/>
    <col min="6422" max="6422" width="193.33203125" style="2192" customWidth="1"/>
    <col min="6423" max="6425" width="47.33203125" style="2192" customWidth="1"/>
    <col min="6426" max="6426" width="43.6640625" style="2192" customWidth="1"/>
    <col min="6427" max="6429" width="47.33203125" style="2192" customWidth="1"/>
    <col min="6430" max="6430" width="44" style="2192" customWidth="1"/>
    <col min="6431" max="6433" width="47.33203125" style="2192" customWidth="1"/>
    <col min="6434" max="6434" width="43.6640625" style="2192" customWidth="1"/>
    <col min="6435" max="6437" width="47.33203125" style="2192" customWidth="1"/>
    <col min="6438" max="6438" width="43.6640625" style="2192" customWidth="1"/>
    <col min="6439" max="6441" width="47.33203125" style="2192" customWidth="1"/>
    <col min="6442" max="6442" width="43.6640625" style="2192" customWidth="1"/>
    <col min="6443" max="6443" width="193.33203125" style="2192" customWidth="1"/>
    <col min="6444" max="6459" width="56" style="2192" customWidth="1"/>
    <col min="6460" max="6460" width="59" style="2192" customWidth="1"/>
    <col min="6461" max="6461" width="46" style="2192" customWidth="1"/>
    <col min="6462" max="6656" width="9.33203125" style="2192"/>
    <col min="6657" max="6657" width="193.33203125" style="2192" customWidth="1"/>
    <col min="6658" max="6658" width="47.1640625" style="2192" customWidth="1"/>
    <col min="6659" max="6659" width="47.33203125" style="2192" customWidth="1"/>
    <col min="6660" max="6660" width="47.1640625" style="2192" customWidth="1"/>
    <col min="6661" max="6661" width="43.6640625" style="2192" customWidth="1"/>
    <col min="6662" max="6663" width="47.33203125" style="2192" customWidth="1"/>
    <col min="6664" max="6664" width="47.1640625" style="2192" customWidth="1"/>
    <col min="6665" max="6665" width="43.6640625" style="2192" customWidth="1"/>
    <col min="6666" max="6667" width="47.33203125" style="2192" customWidth="1"/>
    <col min="6668" max="6668" width="47.1640625" style="2192" customWidth="1"/>
    <col min="6669" max="6669" width="43.6640625" style="2192" customWidth="1"/>
    <col min="6670" max="6671" width="45" style="2192" customWidth="1"/>
    <col min="6672" max="6672" width="44.83203125" style="2192" customWidth="1"/>
    <col min="6673" max="6673" width="45" style="2192" customWidth="1"/>
    <col min="6674" max="6675" width="47.33203125" style="2192" customWidth="1"/>
    <col min="6676" max="6676" width="47.1640625" style="2192" customWidth="1"/>
    <col min="6677" max="6677" width="43.6640625" style="2192" customWidth="1"/>
    <col min="6678" max="6678" width="193.33203125" style="2192" customWidth="1"/>
    <col min="6679" max="6681" width="47.33203125" style="2192" customWidth="1"/>
    <col min="6682" max="6682" width="43.6640625" style="2192" customWidth="1"/>
    <col min="6683" max="6685" width="47.33203125" style="2192" customWidth="1"/>
    <col min="6686" max="6686" width="44" style="2192" customWidth="1"/>
    <col min="6687" max="6689" width="47.33203125" style="2192" customWidth="1"/>
    <col min="6690" max="6690" width="43.6640625" style="2192" customWidth="1"/>
    <col min="6691" max="6693" width="47.33203125" style="2192" customWidth="1"/>
    <col min="6694" max="6694" width="43.6640625" style="2192" customWidth="1"/>
    <col min="6695" max="6697" width="47.33203125" style="2192" customWidth="1"/>
    <col min="6698" max="6698" width="43.6640625" style="2192" customWidth="1"/>
    <col min="6699" max="6699" width="193.33203125" style="2192" customWidth="1"/>
    <col min="6700" max="6715" width="56" style="2192" customWidth="1"/>
    <col min="6716" max="6716" width="59" style="2192" customWidth="1"/>
    <col min="6717" max="6717" width="46" style="2192" customWidth="1"/>
    <col min="6718" max="6912" width="9.33203125" style="2192"/>
    <col min="6913" max="6913" width="193.33203125" style="2192" customWidth="1"/>
    <col min="6914" max="6914" width="47.1640625" style="2192" customWidth="1"/>
    <col min="6915" max="6915" width="47.33203125" style="2192" customWidth="1"/>
    <col min="6916" max="6916" width="47.1640625" style="2192" customWidth="1"/>
    <col min="6917" max="6917" width="43.6640625" style="2192" customWidth="1"/>
    <col min="6918" max="6919" width="47.33203125" style="2192" customWidth="1"/>
    <col min="6920" max="6920" width="47.1640625" style="2192" customWidth="1"/>
    <col min="6921" max="6921" width="43.6640625" style="2192" customWidth="1"/>
    <col min="6922" max="6923" width="47.33203125" style="2192" customWidth="1"/>
    <col min="6924" max="6924" width="47.1640625" style="2192" customWidth="1"/>
    <col min="6925" max="6925" width="43.6640625" style="2192" customWidth="1"/>
    <col min="6926" max="6927" width="45" style="2192" customWidth="1"/>
    <col min="6928" max="6928" width="44.83203125" style="2192" customWidth="1"/>
    <col min="6929" max="6929" width="45" style="2192" customWidth="1"/>
    <col min="6930" max="6931" width="47.33203125" style="2192" customWidth="1"/>
    <col min="6932" max="6932" width="47.1640625" style="2192" customWidth="1"/>
    <col min="6933" max="6933" width="43.6640625" style="2192" customWidth="1"/>
    <col min="6934" max="6934" width="193.33203125" style="2192" customWidth="1"/>
    <col min="6935" max="6937" width="47.33203125" style="2192" customWidth="1"/>
    <col min="6938" max="6938" width="43.6640625" style="2192" customWidth="1"/>
    <col min="6939" max="6941" width="47.33203125" style="2192" customWidth="1"/>
    <col min="6942" max="6942" width="44" style="2192" customWidth="1"/>
    <col min="6943" max="6945" width="47.33203125" style="2192" customWidth="1"/>
    <col min="6946" max="6946" width="43.6640625" style="2192" customWidth="1"/>
    <col min="6947" max="6949" width="47.33203125" style="2192" customWidth="1"/>
    <col min="6950" max="6950" width="43.6640625" style="2192" customWidth="1"/>
    <col min="6951" max="6953" width="47.33203125" style="2192" customWidth="1"/>
    <col min="6954" max="6954" width="43.6640625" style="2192" customWidth="1"/>
    <col min="6955" max="6955" width="193.33203125" style="2192" customWidth="1"/>
    <col min="6956" max="6971" width="56" style="2192" customWidth="1"/>
    <col min="6972" max="6972" width="59" style="2192" customWidth="1"/>
    <col min="6973" max="6973" width="46" style="2192" customWidth="1"/>
    <col min="6974" max="7168" width="9.33203125" style="2192"/>
    <col min="7169" max="7169" width="193.33203125" style="2192" customWidth="1"/>
    <col min="7170" max="7170" width="47.1640625" style="2192" customWidth="1"/>
    <col min="7171" max="7171" width="47.33203125" style="2192" customWidth="1"/>
    <col min="7172" max="7172" width="47.1640625" style="2192" customWidth="1"/>
    <col min="7173" max="7173" width="43.6640625" style="2192" customWidth="1"/>
    <col min="7174" max="7175" width="47.33203125" style="2192" customWidth="1"/>
    <col min="7176" max="7176" width="47.1640625" style="2192" customWidth="1"/>
    <col min="7177" max="7177" width="43.6640625" style="2192" customWidth="1"/>
    <col min="7178" max="7179" width="47.33203125" style="2192" customWidth="1"/>
    <col min="7180" max="7180" width="47.1640625" style="2192" customWidth="1"/>
    <col min="7181" max="7181" width="43.6640625" style="2192" customWidth="1"/>
    <col min="7182" max="7183" width="45" style="2192" customWidth="1"/>
    <col min="7184" max="7184" width="44.83203125" style="2192" customWidth="1"/>
    <col min="7185" max="7185" width="45" style="2192" customWidth="1"/>
    <col min="7186" max="7187" width="47.33203125" style="2192" customWidth="1"/>
    <col min="7188" max="7188" width="47.1640625" style="2192" customWidth="1"/>
    <col min="7189" max="7189" width="43.6640625" style="2192" customWidth="1"/>
    <col min="7190" max="7190" width="193.33203125" style="2192" customWidth="1"/>
    <col min="7191" max="7193" width="47.33203125" style="2192" customWidth="1"/>
    <col min="7194" max="7194" width="43.6640625" style="2192" customWidth="1"/>
    <col min="7195" max="7197" width="47.33203125" style="2192" customWidth="1"/>
    <col min="7198" max="7198" width="44" style="2192" customWidth="1"/>
    <col min="7199" max="7201" width="47.33203125" style="2192" customWidth="1"/>
    <col min="7202" max="7202" width="43.6640625" style="2192" customWidth="1"/>
    <col min="7203" max="7205" width="47.33203125" style="2192" customWidth="1"/>
    <col min="7206" max="7206" width="43.6640625" style="2192" customWidth="1"/>
    <col min="7207" max="7209" width="47.33203125" style="2192" customWidth="1"/>
    <col min="7210" max="7210" width="43.6640625" style="2192" customWidth="1"/>
    <col min="7211" max="7211" width="193.33203125" style="2192" customWidth="1"/>
    <col min="7212" max="7227" width="56" style="2192" customWidth="1"/>
    <col min="7228" max="7228" width="59" style="2192" customWidth="1"/>
    <col min="7229" max="7229" width="46" style="2192" customWidth="1"/>
    <col min="7230" max="7424" width="9.33203125" style="2192"/>
    <col min="7425" max="7425" width="193.33203125" style="2192" customWidth="1"/>
    <col min="7426" max="7426" width="47.1640625" style="2192" customWidth="1"/>
    <col min="7427" max="7427" width="47.33203125" style="2192" customWidth="1"/>
    <col min="7428" max="7428" width="47.1640625" style="2192" customWidth="1"/>
    <col min="7429" max="7429" width="43.6640625" style="2192" customWidth="1"/>
    <col min="7430" max="7431" width="47.33203125" style="2192" customWidth="1"/>
    <col min="7432" max="7432" width="47.1640625" style="2192" customWidth="1"/>
    <col min="7433" max="7433" width="43.6640625" style="2192" customWidth="1"/>
    <col min="7434" max="7435" width="47.33203125" style="2192" customWidth="1"/>
    <col min="7436" max="7436" width="47.1640625" style="2192" customWidth="1"/>
    <col min="7437" max="7437" width="43.6640625" style="2192" customWidth="1"/>
    <col min="7438" max="7439" width="45" style="2192" customWidth="1"/>
    <col min="7440" max="7440" width="44.83203125" style="2192" customWidth="1"/>
    <col min="7441" max="7441" width="45" style="2192" customWidth="1"/>
    <col min="7442" max="7443" width="47.33203125" style="2192" customWidth="1"/>
    <col min="7444" max="7444" width="47.1640625" style="2192" customWidth="1"/>
    <col min="7445" max="7445" width="43.6640625" style="2192" customWidth="1"/>
    <col min="7446" max="7446" width="193.33203125" style="2192" customWidth="1"/>
    <col min="7447" max="7449" width="47.33203125" style="2192" customWidth="1"/>
    <col min="7450" max="7450" width="43.6640625" style="2192" customWidth="1"/>
    <col min="7451" max="7453" width="47.33203125" style="2192" customWidth="1"/>
    <col min="7454" max="7454" width="44" style="2192" customWidth="1"/>
    <col min="7455" max="7457" width="47.33203125" style="2192" customWidth="1"/>
    <col min="7458" max="7458" width="43.6640625" style="2192" customWidth="1"/>
    <col min="7459" max="7461" width="47.33203125" style="2192" customWidth="1"/>
    <col min="7462" max="7462" width="43.6640625" style="2192" customWidth="1"/>
    <col min="7463" max="7465" width="47.33203125" style="2192" customWidth="1"/>
    <col min="7466" max="7466" width="43.6640625" style="2192" customWidth="1"/>
    <col min="7467" max="7467" width="193.33203125" style="2192" customWidth="1"/>
    <col min="7468" max="7483" width="56" style="2192" customWidth="1"/>
    <col min="7484" max="7484" width="59" style="2192" customWidth="1"/>
    <col min="7485" max="7485" width="46" style="2192" customWidth="1"/>
    <col min="7486" max="7680" width="9.33203125" style="2192"/>
    <col min="7681" max="7681" width="193.33203125" style="2192" customWidth="1"/>
    <col min="7682" max="7682" width="47.1640625" style="2192" customWidth="1"/>
    <col min="7683" max="7683" width="47.33203125" style="2192" customWidth="1"/>
    <col min="7684" max="7684" width="47.1640625" style="2192" customWidth="1"/>
    <col min="7685" max="7685" width="43.6640625" style="2192" customWidth="1"/>
    <col min="7686" max="7687" width="47.33203125" style="2192" customWidth="1"/>
    <col min="7688" max="7688" width="47.1640625" style="2192" customWidth="1"/>
    <col min="7689" max="7689" width="43.6640625" style="2192" customWidth="1"/>
    <col min="7690" max="7691" width="47.33203125" style="2192" customWidth="1"/>
    <col min="7692" max="7692" width="47.1640625" style="2192" customWidth="1"/>
    <col min="7693" max="7693" width="43.6640625" style="2192" customWidth="1"/>
    <col min="7694" max="7695" width="45" style="2192" customWidth="1"/>
    <col min="7696" max="7696" width="44.83203125" style="2192" customWidth="1"/>
    <col min="7697" max="7697" width="45" style="2192" customWidth="1"/>
    <col min="7698" max="7699" width="47.33203125" style="2192" customWidth="1"/>
    <col min="7700" max="7700" width="47.1640625" style="2192" customWidth="1"/>
    <col min="7701" max="7701" width="43.6640625" style="2192" customWidth="1"/>
    <col min="7702" max="7702" width="193.33203125" style="2192" customWidth="1"/>
    <col min="7703" max="7705" width="47.33203125" style="2192" customWidth="1"/>
    <col min="7706" max="7706" width="43.6640625" style="2192" customWidth="1"/>
    <col min="7707" max="7709" width="47.33203125" style="2192" customWidth="1"/>
    <col min="7710" max="7710" width="44" style="2192" customWidth="1"/>
    <col min="7711" max="7713" width="47.33203125" style="2192" customWidth="1"/>
    <col min="7714" max="7714" width="43.6640625" style="2192" customWidth="1"/>
    <col min="7715" max="7717" width="47.33203125" style="2192" customWidth="1"/>
    <col min="7718" max="7718" width="43.6640625" style="2192" customWidth="1"/>
    <col min="7719" max="7721" width="47.33203125" style="2192" customWidth="1"/>
    <col min="7722" max="7722" width="43.6640625" style="2192" customWidth="1"/>
    <col min="7723" max="7723" width="193.33203125" style="2192" customWidth="1"/>
    <col min="7724" max="7739" width="56" style="2192" customWidth="1"/>
    <col min="7740" max="7740" width="59" style="2192" customWidth="1"/>
    <col min="7741" max="7741" width="46" style="2192" customWidth="1"/>
    <col min="7742" max="7936" width="9.33203125" style="2192"/>
    <col min="7937" max="7937" width="193.33203125" style="2192" customWidth="1"/>
    <col min="7938" max="7938" width="47.1640625" style="2192" customWidth="1"/>
    <col min="7939" max="7939" width="47.33203125" style="2192" customWidth="1"/>
    <col min="7940" max="7940" width="47.1640625" style="2192" customWidth="1"/>
    <col min="7941" max="7941" width="43.6640625" style="2192" customWidth="1"/>
    <col min="7942" max="7943" width="47.33203125" style="2192" customWidth="1"/>
    <col min="7944" max="7944" width="47.1640625" style="2192" customWidth="1"/>
    <col min="7945" max="7945" width="43.6640625" style="2192" customWidth="1"/>
    <col min="7946" max="7947" width="47.33203125" style="2192" customWidth="1"/>
    <col min="7948" max="7948" width="47.1640625" style="2192" customWidth="1"/>
    <col min="7949" max="7949" width="43.6640625" style="2192" customWidth="1"/>
    <col min="7950" max="7951" width="45" style="2192" customWidth="1"/>
    <col min="7952" max="7952" width="44.83203125" style="2192" customWidth="1"/>
    <col min="7953" max="7953" width="45" style="2192" customWidth="1"/>
    <col min="7954" max="7955" width="47.33203125" style="2192" customWidth="1"/>
    <col min="7956" max="7956" width="47.1640625" style="2192" customWidth="1"/>
    <col min="7957" max="7957" width="43.6640625" style="2192" customWidth="1"/>
    <col min="7958" max="7958" width="193.33203125" style="2192" customWidth="1"/>
    <col min="7959" max="7961" width="47.33203125" style="2192" customWidth="1"/>
    <col min="7962" max="7962" width="43.6640625" style="2192" customWidth="1"/>
    <col min="7963" max="7965" width="47.33203125" style="2192" customWidth="1"/>
    <col min="7966" max="7966" width="44" style="2192" customWidth="1"/>
    <col min="7967" max="7969" width="47.33203125" style="2192" customWidth="1"/>
    <col min="7970" max="7970" width="43.6640625" style="2192" customWidth="1"/>
    <col min="7971" max="7973" width="47.33203125" style="2192" customWidth="1"/>
    <col min="7974" max="7974" width="43.6640625" style="2192" customWidth="1"/>
    <col min="7975" max="7977" width="47.33203125" style="2192" customWidth="1"/>
    <col min="7978" max="7978" width="43.6640625" style="2192" customWidth="1"/>
    <col min="7979" max="7979" width="193.33203125" style="2192" customWidth="1"/>
    <col min="7980" max="7995" width="56" style="2192" customWidth="1"/>
    <col min="7996" max="7996" width="59" style="2192" customWidth="1"/>
    <col min="7997" max="7997" width="46" style="2192" customWidth="1"/>
    <col min="7998" max="8192" width="9.33203125" style="2192"/>
    <col min="8193" max="8193" width="193.33203125" style="2192" customWidth="1"/>
    <col min="8194" max="8194" width="47.1640625" style="2192" customWidth="1"/>
    <col min="8195" max="8195" width="47.33203125" style="2192" customWidth="1"/>
    <col min="8196" max="8196" width="47.1640625" style="2192" customWidth="1"/>
    <col min="8197" max="8197" width="43.6640625" style="2192" customWidth="1"/>
    <col min="8198" max="8199" width="47.33203125" style="2192" customWidth="1"/>
    <col min="8200" max="8200" width="47.1640625" style="2192" customWidth="1"/>
    <col min="8201" max="8201" width="43.6640625" style="2192" customWidth="1"/>
    <col min="8202" max="8203" width="47.33203125" style="2192" customWidth="1"/>
    <col min="8204" max="8204" width="47.1640625" style="2192" customWidth="1"/>
    <col min="8205" max="8205" width="43.6640625" style="2192" customWidth="1"/>
    <col min="8206" max="8207" width="45" style="2192" customWidth="1"/>
    <col min="8208" max="8208" width="44.83203125" style="2192" customWidth="1"/>
    <col min="8209" max="8209" width="45" style="2192" customWidth="1"/>
    <col min="8210" max="8211" width="47.33203125" style="2192" customWidth="1"/>
    <col min="8212" max="8212" width="47.1640625" style="2192" customWidth="1"/>
    <col min="8213" max="8213" width="43.6640625" style="2192" customWidth="1"/>
    <col min="8214" max="8214" width="193.33203125" style="2192" customWidth="1"/>
    <col min="8215" max="8217" width="47.33203125" style="2192" customWidth="1"/>
    <col min="8218" max="8218" width="43.6640625" style="2192" customWidth="1"/>
    <col min="8219" max="8221" width="47.33203125" style="2192" customWidth="1"/>
    <col min="8222" max="8222" width="44" style="2192" customWidth="1"/>
    <col min="8223" max="8225" width="47.33203125" style="2192" customWidth="1"/>
    <col min="8226" max="8226" width="43.6640625" style="2192" customWidth="1"/>
    <col min="8227" max="8229" width="47.33203125" style="2192" customWidth="1"/>
    <col min="8230" max="8230" width="43.6640625" style="2192" customWidth="1"/>
    <col min="8231" max="8233" width="47.33203125" style="2192" customWidth="1"/>
    <col min="8234" max="8234" width="43.6640625" style="2192" customWidth="1"/>
    <col min="8235" max="8235" width="193.33203125" style="2192" customWidth="1"/>
    <col min="8236" max="8251" width="56" style="2192" customWidth="1"/>
    <col min="8252" max="8252" width="59" style="2192" customWidth="1"/>
    <col min="8253" max="8253" width="46" style="2192" customWidth="1"/>
    <col min="8254" max="8448" width="9.33203125" style="2192"/>
    <col min="8449" max="8449" width="193.33203125" style="2192" customWidth="1"/>
    <col min="8450" max="8450" width="47.1640625" style="2192" customWidth="1"/>
    <col min="8451" max="8451" width="47.33203125" style="2192" customWidth="1"/>
    <col min="8452" max="8452" width="47.1640625" style="2192" customWidth="1"/>
    <col min="8453" max="8453" width="43.6640625" style="2192" customWidth="1"/>
    <col min="8454" max="8455" width="47.33203125" style="2192" customWidth="1"/>
    <col min="8456" max="8456" width="47.1640625" style="2192" customWidth="1"/>
    <col min="8457" max="8457" width="43.6640625" style="2192" customWidth="1"/>
    <col min="8458" max="8459" width="47.33203125" style="2192" customWidth="1"/>
    <col min="8460" max="8460" width="47.1640625" style="2192" customWidth="1"/>
    <col min="8461" max="8461" width="43.6640625" style="2192" customWidth="1"/>
    <col min="8462" max="8463" width="45" style="2192" customWidth="1"/>
    <col min="8464" max="8464" width="44.83203125" style="2192" customWidth="1"/>
    <col min="8465" max="8465" width="45" style="2192" customWidth="1"/>
    <col min="8466" max="8467" width="47.33203125" style="2192" customWidth="1"/>
    <col min="8468" max="8468" width="47.1640625" style="2192" customWidth="1"/>
    <col min="8469" max="8469" width="43.6640625" style="2192" customWidth="1"/>
    <col min="8470" max="8470" width="193.33203125" style="2192" customWidth="1"/>
    <col min="8471" max="8473" width="47.33203125" style="2192" customWidth="1"/>
    <col min="8474" max="8474" width="43.6640625" style="2192" customWidth="1"/>
    <col min="8475" max="8477" width="47.33203125" style="2192" customWidth="1"/>
    <col min="8478" max="8478" width="44" style="2192" customWidth="1"/>
    <col min="8479" max="8481" width="47.33203125" style="2192" customWidth="1"/>
    <col min="8482" max="8482" width="43.6640625" style="2192" customWidth="1"/>
    <col min="8483" max="8485" width="47.33203125" style="2192" customWidth="1"/>
    <col min="8486" max="8486" width="43.6640625" style="2192" customWidth="1"/>
    <col min="8487" max="8489" width="47.33203125" style="2192" customWidth="1"/>
    <col min="8490" max="8490" width="43.6640625" style="2192" customWidth="1"/>
    <col min="8491" max="8491" width="193.33203125" style="2192" customWidth="1"/>
    <col min="8492" max="8507" width="56" style="2192" customWidth="1"/>
    <col min="8508" max="8508" width="59" style="2192" customWidth="1"/>
    <col min="8509" max="8509" width="46" style="2192" customWidth="1"/>
    <col min="8510" max="8704" width="9.33203125" style="2192"/>
    <col min="8705" max="8705" width="193.33203125" style="2192" customWidth="1"/>
    <col min="8706" max="8706" width="47.1640625" style="2192" customWidth="1"/>
    <col min="8707" max="8707" width="47.33203125" style="2192" customWidth="1"/>
    <col min="8708" max="8708" width="47.1640625" style="2192" customWidth="1"/>
    <col min="8709" max="8709" width="43.6640625" style="2192" customWidth="1"/>
    <col min="8710" max="8711" width="47.33203125" style="2192" customWidth="1"/>
    <col min="8712" max="8712" width="47.1640625" style="2192" customWidth="1"/>
    <col min="8713" max="8713" width="43.6640625" style="2192" customWidth="1"/>
    <col min="8714" max="8715" width="47.33203125" style="2192" customWidth="1"/>
    <col min="8716" max="8716" width="47.1640625" style="2192" customWidth="1"/>
    <col min="8717" max="8717" width="43.6640625" style="2192" customWidth="1"/>
    <col min="8718" max="8719" width="45" style="2192" customWidth="1"/>
    <col min="8720" max="8720" width="44.83203125" style="2192" customWidth="1"/>
    <col min="8721" max="8721" width="45" style="2192" customWidth="1"/>
    <col min="8722" max="8723" width="47.33203125" style="2192" customWidth="1"/>
    <col min="8724" max="8724" width="47.1640625" style="2192" customWidth="1"/>
    <col min="8725" max="8725" width="43.6640625" style="2192" customWidth="1"/>
    <col min="8726" max="8726" width="193.33203125" style="2192" customWidth="1"/>
    <col min="8727" max="8729" width="47.33203125" style="2192" customWidth="1"/>
    <col min="8730" max="8730" width="43.6640625" style="2192" customWidth="1"/>
    <col min="8731" max="8733" width="47.33203125" style="2192" customWidth="1"/>
    <col min="8734" max="8734" width="44" style="2192" customWidth="1"/>
    <col min="8735" max="8737" width="47.33203125" style="2192" customWidth="1"/>
    <col min="8738" max="8738" width="43.6640625" style="2192" customWidth="1"/>
    <col min="8739" max="8741" width="47.33203125" style="2192" customWidth="1"/>
    <col min="8742" max="8742" width="43.6640625" style="2192" customWidth="1"/>
    <col min="8743" max="8745" width="47.33203125" style="2192" customWidth="1"/>
    <col min="8746" max="8746" width="43.6640625" style="2192" customWidth="1"/>
    <col min="8747" max="8747" width="193.33203125" style="2192" customWidth="1"/>
    <col min="8748" max="8763" width="56" style="2192" customWidth="1"/>
    <col min="8764" max="8764" width="59" style="2192" customWidth="1"/>
    <col min="8765" max="8765" width="46" style="2192" customWidth="1"/>
    <col min="8766" max="8960" width="9.33203125" style="2192"/>
    <col min="8961" max="8961" width="193.33203125" style="2192" customWidth="1"/>
    <col min="8962" max="8962" width="47.1640625" style="2192" customWidth="1"/>
    <col min="8963" max="8963" width="47.33203125" style="2192" customWidth="1"/>
    <col min="8964" max="8964" width="47.1640625" style="2192" customWidth="1"/>
    <col min="8965" max="8965" width="43.6640625" style="2192" customWidth="1"/>
    <col min="8966" max="8967" width="47.33203125" style="2192" customWidth="1"/>
    <col min="8968" max="8968" width="47.1640625" style="2192" customWidth="1"/>
    <col min="8969" max="8969" width="43.6640625" style="2192" customWidth="1"/>
    <col min="8970" max="8971" width="47.33203125" style="2192" customWidth="1"/>
    <col min="8972" max="8972" width="47.1640625" style="2192" customWidth="1"/>
    <col min="8973" max="8973" width="43.6640625" style="2192" customWidth="1"/>
    <col min="8974" max="8975" width="45" style="2192" customWidth="1"/>
    <col min="8976" max="8976" width="44.83203125" style="2192" customWidth="1"/>
    <col min="8977" max="8977" width="45" style="2192" customWidth="1"/>
    <col min="8978" max="8979" width="47.33203125" style="2192" customWidth="1"/>
    <col min="8980" max="8980" width="47.1640625" style="2192" customWidth="1"/>
    <col min="8981" max="8981" width="43.6640625" style="2192" customWidth="1"/>
    <col min="8982" max="8982" width="193.33203125" style="2192" customWidth="1"/>
    <col min="8983" max="8985" width="47.33203125" style="2192" customWidth="1"/>
    <col min="8986" max="8986" width="43.6640625" style="2192" customWidth="1"/>
    <col min="8987" max="8989" width="47.33203125" style="2192" customWidth="1"/>
    <col min="8990" max="8990" width="44" style="2192" customWidth="1"/>
    <col min="8991" max="8993" width="47.33203125" style="2192" customWidth="1"/>
    <col min="8994" max="8994" width="43.6640625" style="2192" customWidth="1"/>
    <col min="8995" max="8997" width="47.33203125" style="2192" customWidth="1"/>
    <col min="8998" max="8998" width="43.6640625" style="2192" customWidth="1"/>
    <col min="8999" max="9001" width="47.33203125" style="2192" customWidth="1"/>
    <col min="9002" max="9002" width="43.6640625" style="2192" customWidth="1"/>
    <col min="9003" max="9003" width="193.33203125" style="2192" customWidth="1"/>
    <col min="9004" max="9019" width="56" style="2192" customWidth="1"/>
    <col min="9020" max="9020" width="59" style="2192" customWidth="1"/>
    <col min="9021" max="9021" width="46" style="2192" customWidth="1"/>
    <col min="9022" max="9216" width="9.33203125" style="2192"/>
    <col min="9217" max="9217" width="193.33203125" style="2192" customWidth="1"/>
    <col min="9218" max="9218" width="47.1640625" style="2192" customWidth="1"/>
    <col min="9219" max="9219" width="47.33203125" style="2192" customWidth="1"/>
    <col min="9220" max="9220" width="47.1640625" style="2192" customWidth="1"/>
    <col min="9221" max="9221" width="43.6640625" style="2192" customWidth="1"/>
    <col min="9222" max="9223" width="47.33203125" style="2192" customWidth="1"/>
    <col min="9224" max="9224" width="47.1640625" style="2192" customWidth="1"/>
    <col min="9225" max="9225" width="43.6640625" style="2192" customWidth="1"/>
    <col min="9226" max="9227" width="47.33203125" style="2192" customWidth="1"/>
    <col min="9228" max="9228" width="47.1640625" style="2192" customWidth="1"/>
    <col min="9229" max="9229" width="43.6640625" style="2192" customWidth="1"/>
    <col min="9230" max="9231" width="45" style="2192" customWidth="1"/>
    <col min="9232" max="9232" width="44.83203125" style="2192" customWidth="1"/>
    <col min="9233" max="9233" width="45" style="2192" customWidth="1"/>
    <col min="9234" max="9235" width="47.33203125" style="2192" customWidth="1"/>
    <col min="9236" max="9236" width="47.1640625" style="2192" customWidth="1"/>
    <col min="9237" max="9237" width="43.6640625" style="2192" customWidth="1"/>
    <col min="9238" max="9238" width="193.33203125" style="2192" customWidth="1"/>
    <col min="9239" max="9241" width="47.33203125" style="2192" customWidth="1"/>
    <col min="9242" max="9242" width="43.6640625" style="2192" customWidth="1"/>
    <col min="9243" max="9245" width="47.33203125" style="2192" customWidth="1"/>
    <col min="9246" max="9246" width="44" style="2192" customWidth="1"/>
    <col min="9247" max="9249" width="47.33203125" style="2192" customWidth="1"/>
    <col min="9250" max="9250" width="43.6640625" style="2192" customWidth="1"/>
    <col min="9251" max="9253" width="47.33203125" style="2192" customWidth="1"/>
    <col min="9254" max="9254" width="43.6640625" style="2192" customWidth="1"/>
    <col min="9255" max="9257" width="47.33203125" style="2192" customWidth="1"/>
    <col min="9258" max="9258" width="43.6640625" style="2192" customWidth="1"/>
    <col min="9259" max="9259" width="193.33203125" style="2192" customWidth="1"/>
    <col min="9260" max="9275" width="56" style="2192" customWidth="1"/>
    <col min="9276" max="9276" width="59" style="2192" customWidth="1"/>
    <col min="9277" max="9277" width="46" style="2192" customWidth="1"/>
    <col min="9278" max="9472" width="9.33203125" style="2192"/>
    <col min="9473" max="9473" width="193.33203125" style="2192" customWidth="1"/>
    <col min="9474" max="9474" width="47.1640625" style="2192" customWidth="1"/>
    <col min="9475" max="9475" width="47.33203125" style="2192" customWidth="1"/>
    <col min="9476" max="9476" width="47.1640625" style="2192" customWidth="1"/>
    <col min="9477" max="9477" width="43.6640625" style="2192" customWidth="1"/>
    <col min="9478" max="9479" width="47.33203125" style="2192" customWidth="1"/>
    <col min="9480" max="9480" width="47.1640625" style="2192" customWidth="1"/>
    <col min="9481" max="9481" width="43.6640625" style="2192" customWidth="1"/>
    <col min="9482" max="9483" width="47.33203125" style="2192" customWidth="1"/>
    <col min="9484" max="9484" width="47.1640625" style="2192" customWidth="1"/>
    <col min="9485" max="9485" width="43.6640625" style="2192" customWidth="1"/>
    <col min="9486" max="9487" width="45" style="2192" customWidth="1"/>
    <col min="9488" max="9488" width="44.83203125" style="2192" customWidth="1"/>
    <col min="9489" max="9489" width="45" style="2192" customWidth="1"/>
    <col min="9490" max="9491" width="47.33203125" style="2192" customWidth="1"/>
    <col min="9492" max="9492" width="47.1640625" style="2192" customWidth="1"/>
    <col min="9493" max="9493" width="43.6640625" style="2192" customWidth="1"/>
    <col min="9494" max="9494" width="193.33203125" style="2192" customWidth="1"/>
    <col min="9495" max="9497" width="47.33203125" style="2192" customWidth="1"/>
    <col min="9498" max="9498" width="43.6640625" style="2192" customWidth="1"/>
    <col min="9499" max="9501" width="47.33203125" style="2192" customWidth="1"/>
    <col min="9502" max="9502" width="44" style="2192" customWidth="1"/>
    <col min="9503" max="9505" width="47.33203125" style="2192" customWidth="1"/>
    <col min="9506" max="9506" width="43.6640625" style="2192" customWidth="1"/>
    <col min="9507" max="9509" width="47.33203125" style="2192" customWidth="1"/>
    <col min="9510" max="9510" width="43.6640625" style="2192" customWidth="1"/>
    <col min="9511" max="9513" width="47.33203125" style="2192" customWidth="1"/>
    <col min="9514" max="9514" width="43.6640625" style="2192" customWidth="1"/>
    <col min="9515" max="9515" width="193.33203125" style="2192" customWidth="1"/>
    <col min="9516" max="9531" width="56" style="2192" customWidth="1"/>
    <col min="9532" max="9532" width="59" style="2192" customWidth="1"/>
    <col min="9533" max="9533" width="46" style="2192" customWidth="1"/>
    <col min="9534" max="9728" width="9.33203125" style="2192"/>
    <col min="9729" max="9729" width="193.33203125" style="2192" customWidth="1"/>
    <col min="9730" max="9730" width="47.1640625" style="2192" customWidth="1"/>
    <col min="9731" max="9731" width="47.33203125" style="2192" customWidth="1"/>
    <col min="9732" max="9732" width="47.1640625" style="2192" customWidth="1"/>
    <col min="9733" max="9733" width="43.6640625" style="2192" customWidth="1"/>
    <col min="9734" max="9735" width="47.33203125" style="2192" customWidth="1"/>
    <col min="9736" max="9736" width="47.1640625" style="2192" customWidth="1"/>
    <col min="9737" max="9737" width="43.6640625" style="2192" customWidth="1"/>
    <col min="9738" max="9739" width="47.33203125" style="2192" customWidth="1"/>
    <col min="9740" max="9740" width="47.1640625" style="2192" customWidth="1"/>
    <col min="9741" max="9741" width="43.6640625" style="2192" customWidth="1"/>
    <col min="9742" max="9743" width="45" style="2192" customWidth="1"/>
    <col min="9744" max="9744" width="44.83203125" style="2192" customWidth="1"/>
    <col min="9745" max="9745" width="45" style="2192" customWidth="1"/>
    <col min="9746" max="9747" width="47.33203125" style="2192" customWidth="1"/>
    <col min="9748" max="9748" width="47.1640625" style="2192" customWidth="1"/>
    <col min="9749" max="9749" width="43.6640625" style="2192" customWidth="1"/>
    <col min="9750" max="9750" width="193.33203125" style="2192" customWidth="1"/>
    <col min="9751" max="9753" width="47.33203125" style="2192" customWidth="1"/>
    <col min="9754" max="9754" width="43.6640625" style="2192" customWidth="1"/>
    <col min="9755" max="9757" width="47.33203125" style="2192" customWidth="1"/>
    <col min="9758" max="9758" width="44" style="2192" customWidth="1"/>
    <col min="9759" max="9761" width="47.33203125" style="2192" customWidth="1"/>
    <col min="9762" max="9762" width="43.6640625" style="2192" customWidth="1"/>
    <col min="9763" max="9765" width="47.33203125" style="2192" customWidth="1"/>
    <col min="9766" max="9766" width="43.6640625" style="2192" customWidth="1"/>
    <col min="9767" max="9769" width="47.33203125" style="2192" customWidth="1"/>
    <col min="9770" max="9770" width="43.6640625" style="2192" customWidth="1"/>
    <col min="9771" max="9771" width="193.33203125" style="2192" customWidth="1"/>
    <col min="9772" max="9787" width="56" style="2192" customWidth="1"/>
    <col min="9788" max="9788" width="59" style="2192" customWidth="1"/>
    <col min="9789" max="9789" width="46" style="2192" customWidth="1"/>
    <col min="9790" max="9984" width="9.33203125" style="2192"/>
    <col min="9985" max="9985" width="193.33203125" style="2192" customWidth="1"/>
    <col min="9986" max="9986" width="47.1640625" style="2192" customWidth="1"/>
    <col min="9987" max="9987" width="47.33203125" style="2192" customWidth="1"/>
    <col min="9988" max="9988" width="47.1640625" style="2192" customWidth="1"/>
    <col min="9989" max="9989" width="43.6640625" style="2192" customWidth="1"/>
    <col min="9990" max="9991" width="47.33203125" style="2192" customWidth="1"/>
    <col min="9992" max="9992" width="47.1640625" style="2192" customWidth="1"/>
    <col min="9993" max="9993" width="43.6640625" style="2192" customWidth="1"/>
    <col min="9994" max="9995" width="47.33203125" style="2192" customWidth="1"/>
    <col min="9996" max="9996" width="47.1640625" style="2192" customWidth="1"/>
    <col min="9997" max="9997" width="43.6640625" style="2192" customWidth="1"/>
    <col min="9998" max="9999" width="45" style="2192" customWidth="1"/>
    <col min="10000" max="10000" width="44.83203125" style="2192" customWidth="1"/>
    <col min="10001" max="10001" width="45" style="2192" customWidth="1"/>
    <col min="10002" max="10003" width="47.33203125" style="2192" customWidth="1"/>
    <col min="10004" max="10004" width="47.1640625" style="2192" customWidth="1"/>
    <col min="10005" max="10005" width="43.6640625" style="2192" customWidth="1"/>
    <col min="10006" max="10006" width="193.33203125" style="2192" customWidth="1"/>
    <col min="10007" max="10009" width="47.33203125" style="2192" customWidth="1"/>
    <col min="10010" max="10010" width="43.6640625" style="2192" customWidth="1"/>
    <col min="10011" max="10013" width="47.33203125" style="2192" customWidth="1"/>
    <col min="10014" max="10014" width="44" style="2192" customWidth="1"/>
    <col min="10015" max="10017" width="47.33203125" style="2192" customWidth="1"/>
    <col min="10018" max="10018" width="43.6640625" style="2192" customWidth="1"/>
    <col min="10019" max="10021" width="47.33203125" style="2192" customWidth="1"/>
    <col min="10022" max="10022" width="43.6640625" style="2192" customWidth="1"/>
    <col min="10023" max="10025" width="47.33203125" style="2192" customWidth="1"/>
    <col min="10026" max="10026" width="43.6640625" style="2192" customWidth="1"/>
    <col min="10027" max="10027" width="193.33203125" style="2192" customWidth="1"/>
    <col min="10028" max="10043" width="56" style="2192" customWidth="1"/>
    <col min="10044" max="10044" width="59" style="2192" customWidth="1"/>
    <col min="10045" max="10045" width="46" style="2192" customWidth="1"/>
    <col min="10046" max="10240" width="9.33203125" style="2192"/>
    <col min="10241" max="10241" width="193.33203125" style="2192" customWidth="1"/>
    <col min="10242" max="10242" width="47.1640625" style="2192" customWidth="1"/>
    <col min="10243" max="10243" width="47.33203125" style="2192" customWidth="1"/>
    <col min="10244" max="10244" width="47.1640625" style="2192" customWidth="1"/>
    <col min="10245" max="10245" width="43.6640625" style="2192" customWidth="1"/>
    <col min="10246" max="10247" width="47.33203125" style="2192" customWidth="1"/>
    <col min="10248" max="10248" width="47.1640625" style="2192" customWidth="1"/>
    <col min="10249" max="10249" width="43.6640625" style="2192" customWidth="1"/>
    <col min="10250" max="10251" width="47.33203125" style="2192" customWidth="1"/>
    <col min="10252" max="10252" width="47.1640625" style="2192" customWidth="1"/>
    <col min="10253" max="10253" width="43.6640625" style="2192" customWidth="1"/>
    <col min="10254" max="10255" width="45" style="2192" customWidth="1"/>
    <col min="10256" max="10256" width="44.83203125" style="2192" customWidth="1"/>
    <col min="10257" max="10257" width="45" style="2192" customWidth="1"/>
    <col min="10258" max="10259" width="47.33203125" style="2192" customWidth="1"/>
    <col min="10260" max="10260" width="47.1640625" style="2192" customWidth="1"/>
    <col min="10261" max="10261" width="43.6640625" style="2192" customWidth="1"/>
    <col min="10262" max="10262" width="193.33203125" style="2192" customWidth="1"/>
    <col min="10263" max="10265" width="47.33203125" style="2192" customWidth="1"/>
    <col min="10266" max="10266" width="43.6640625" style="2192" customWidth="1"/>
    <col min="10267" max="10269" width="47.33203125" style="2192" customWidth="1"/>
    <col min="10270" max="10270" width="44" style="2192" customWidth="1"/>
    <col min="10271" max="10273" width="47.33203125" style="2192" customWidth="1"/>
    <col min="10274" max="10274" width="43.6640625" style="2192" customWidth="1"/>
    <col min="10275" max="10277" width="47.33203125" style="2192" customWidth="1"/>
    <col min="10278" max="10278" width="43.6640625" style="2192" customWidth="1"/>
    <col min="10279" max="10281" width="47.33203125" style="2192" customWidth="1"/>
    <col min="10282" max="10282" width="43.6640625" style="2192" customWidth="1"/>
    <col min="10283" max="10283" width="193.33203125" style="2192" customWidth="1"/>
    <col min="10284" max="10299" width="56" style="2192" customWidth="1"/>
    <col min="10300" max="10300" width="59" style="2192" customWidth="1"/>
    <col min="10301" max="10301" width="46" style="2192" customWidth="1"/>
    <col min="10302" max="10496" width="9.33203125" style="2192"/>
    <col min="10497" max="10497" width="193.33203125" style="2192" customWidth="1"/>
    <col min="10498" max="10498" width="47.1640625" style="2192" customWidth="1"/>
    <col min="10499" max="10499" width="47.33203125" style="2192" customWidth="1"/>
    <col min="10500" max="10500" width="47.1640625" style="2192" customWidth="1"/>
    <col min="10501" max="10501" width="43.6640625" style="2192" customWidth="1"/>
    <col min="10502" max="10503" width="47.33203125" style="2192" customWidth="1"/>
    <col min="10504" max="10504" width="47.1640625" style="2192" customWidth="1"/>
    <col min="10505" max="10505" width="43.6640625" style="2192" customWidth="1"/>
    <col min="10506" max="10507" width="47.33203125" style="2192" customWidth="1"/>
    <col min="10508" max="10508" width="47.1640625" style="2192" customWidth="1"/>
    <col min="10509" max="10509" width="43.6640625" style="2192" customWidth="1"/>
    <col min="10510" max="10511" width="45" style="2192" customWidth="1"/>
    <col min="10512" max="10512" width="44.83203125" style="2192" customWidth="1"/>
    <col min="10513" max="10513" width="45" style="2192" customWidth="1"/>
    <col min="10514" max="10515" width="47.33203125" style="2192" customWidth="1"/>
    <col min="10516" max="10516" width="47.1640625" style="2192" customWidth="1"/>
    <col min="10517" max="10517" width="43.6640625" style="2192" customWidth="1"/>
    <col min="10518" max="10518" width="193.33203125" style="2192" customWidth="1"/>
    <col min="10519" max="10521" width="47.33203125" style="2192" customWidth="1"/>
    <col min="10522" max="10522" width="43.6640625" style="2192" customWidth="1"/>
    <col min="10523" max="10525" width="47.33203125" style="2192" customWidth="1"/>
    <col min="10526" max="10526" width="44" style="2192" customWidth="1"/>
    <col min="10527" max="10529" width="47.33203125" style="2192" customWidth="1"/>
    <col min="10530" max="10530" width="43.6640625" style="2192" customWidth="1"/>
    <col min="10531" max="10533" width="47.33203125" style="2192" customWidth="1"/>
    <col min="10534" max="10534" width="43.6640625" style="2192" customWidth="1"/>
    <col min="10535" max="10537" width="47.33203125" style="2192" customWidth="1"/>
    <col min="10538" max="10538" width="43.6640625" style="2192" customWidth="1"/>
    <col min="10539" max="10539" width="193.33203125" style="2192" customWidth="1"/>
    <col min="10540" max="10555" width="56" style="2192" customWidth="1"/>
    <col min="10556" max="10556" width="59" style="2192" customWidth="1"/>
    <col min="10557" max="10557" width="46" style="2192" customWidth="1"/>
    <col min="10558" max="10752" width="9.33203125" style="2192"/>
    <col min="10753" max="10753" width="193.33203125" style="2192" customWidth="1"/>
    <col min="10754" max="10754" width="47.1640625" style="2192" customWidth="1"/>
    <col min="10755" max="10755" width="47.33203125" style="2192" customWidth="1"/>
    <col min="10756" max="10756" width="47.1640625" style="2192" customWidth="1"/>
    <col min="10757" max="10757" width="43.6640625" style="2192" customWidth="1"/>
    <col min="10758" max="10759" width="47.33203125" style="2192" customWidth="1"/>
    <col min="10760" max="10760" width="47.1640625" style="2192" customWidth="1"/>
    <col min="10761" max="10761" width="43.6640625" style="2192" customWidth="1"/>
    <col min="10762" max="10763" width="47.33203125" style="2192" customWidth="1"/>
    <col min="10764" max="10764" width="47.1640625" style="2192" customWidth="1"/>
    <col min="10765" max="10765" width="43.6640625" style="2192" customWidth="1"/>
    <col min="10766" max="10767" width="45" style="2192" customWidth="1"/>
    <col min="10768" max="10768" width="44.83203125" style="2192" customWidth="1"/>
    <col min="10769" max="10769" width="45" style="2192" customWidth="1"/>
    <col min="10770" max="10771" width="47.33203125" style="2192" customWidth="1"/>
    <col min="10772" max="10772" width="47.1640625" style="2192" customWidth="1"/>
    <col min="10773" max="10773" width="43.6640625" style="2192" customWidth="1"/>
    <col min="10774" max="10774" width="193.33203125" style="2192" customWidth="1"/>
    <col min="10775" max="10777" width="47.33203125" style="2192" customWidth="1"/>
    <col min="10778" max="10778" width="43.6640625" style="2192" customWidth="1"/>
    <col min="10779" max="10781" width="47.33203125" style="2192" customWidth="1"/>
    <col min="10782" max="10782" width="44" style="2192" customWidth="1"/>
    <col min="10783" max="10785" width="47.33203125" style="2192" customWidth="1"/>
    <col min="10786" max="10786" width="43.6640625" style="2192" customWidth="1"/>
    <col min="10787" max="10789" width="47.33203125" style="2192" customWidth="1"/>
    <col min="10790" max="10790" width="43.6640625" style="2192" customWidth="1"/>
    <col min="10791" max="10793" width="47.33203125" style="2192" customWidth="1"/>
    <col min="10794" max="10794" width="43.6640625" style="2192" customWidth="1"/>
    <col min="10795" max="10795" width="193.33203125" style="2192" customWidth="1"/>
    <col min="10796" max="10811" width="56" style="2192" customWidth="1"/>
    <col min="10812" max="10812" width="59" style="2192" customWidth="1"/>
    <col min="10813" max="10813" width="46" style="2192" customWidth="1"/>
    <col min="10814" max="11008" width="9.33203125" style="2192"/>
    <col min="11009" max="11009" width="193.33203125" style="2192" customWidth="1"/>
    <col min="11010" max="11010" width="47.1640625" style="2192" customWidth="1"/>
    <col min="11011" max="11011" width="47.33203125" style="2192" customWidth="1"/>
    <col min="11012" max="11012" width="47.1640625" style="2192" customWidth="1"/>
    <col min="11013" max="11013" width="43.6640625" style="2192" customWidth="1"/>
    <col min="11014" max="11015" width="47.33203125" style="2192" customWidth="1"/>
    <col min="11016" max="11016" width="47.1640625" style="2192" customWidth="1"/>
    <col min="11017" max="11017" width="43.6640625" style="2192" customWidth="1"/>
    <col min="11018" max="11019" width="47.33203125" style="2192" customWidth="1"/>
    <col min="11020" max="11020" width="47.1640625" style="2192" customWidth="1"/>
    <col min="11021" max="11021" width="43.6640625" style="2192" customWidth="1"/>
    <col min="11022" max="11023" width="45" style="2192" customWidth="1"/>
    <col min="11024" max="11024" width="44.83203125" style="2192" customWidth="1"/>
    <col min="11025" max="11025" width="45" style="2192" customWidth="1"/>
    <col min="11026" max="11027" width="47.33203125" style="2192" customWidth="1"/>
    <col min="11028" max="11028" width="47.1640625" style="2192" customWidth="1"/>
    <col min="11029" max="11029" width="43.6640625" style="2192" customWidth="1"/>
    <col min="11030" max="11030" width="193.33203125" style="2192" customWidth="1"/>
    <col min="11031" max="11033" width="47.33203125" style="2192" customWidth="1"/>
    <col min="11034" max="11034" width="43.6640625" style="2192" customWidth="1"/>
    <col min="11035" max="11037" width="47.33203125" style="2192" customWidth="1"/>
    <col min="11038" max="11038" width="44" style="2192" customWidth="1"/>
    <col min="11039" max="11041" width="47.33203125" style="2192" customWidth="1"/>
    <col min="11042" max="11042" width="43.6640625" style="2192" customWidth="1"/>
    <col min="11043" max="11045" width="47.33203125" style="2192" customWidth="1"/>
    <col min="11046" max="11046" width="43.6640625" style="2192" customWidth="1"/>
    <col min="11047" max="11049" width="47.33203125" style="2192" customWidth="1"/>
    <col min="11050" max="11050" width="43.6640625" style="2192" customWidth="1"/>
    <col min="11051" max="11051" width="193.33203125" style="2192" customWidth="1"/>
    <col min="11052" max="11067" width="56" style="2192" customWidth="1"/>
    <col min="11068" max="11068" width="59" style="2192" customWidth="1"/>
    <col min="11069" max="11069" width="46" style="2192" customWidth="1"/>
    <col min="11070" max="11264" width="9.33203125" style="2192"/>
    <col min="11265" max="11265" width="193.33203125" style="2192" customWidth="1"/>
    <col min="11266" max="11266" width="47.1640625" style="2192" customWidth="1"/>
    <col min="11267" max="11267" width="47.33203125" style="2192" customWidth="1"/>
    <col min="11268" max="11268" width="47.1640625" style="2192" customWidth="1"/>
    <col min="11269" max="11269" width="43.6640625" style="2192" customWidth="1"/>
    <col min="11270" max="11271" width="47.33203125" style="2192" customWidth="1"/>
    <col min="11272" max="11272" width="47.1640625" style="2192" customWidth="1"/>
    <col min="11273" max="11273" width="43.6640625" style="2192" customWidth="1"/>
    <col min="11274" max="11275" width="47.33203125" style="2192" customWidth="1"/>
    <col min="11276" max="11276" width="47.1640625" style="2192" customWidth="1"/>
    <col min="11277" max="11277" width="43.6640625" style="2192" customWidth="1"/>
    <col min="11278" max="11279" width="45" style="2192" customWidth="1"/>
    <col min="11280" max="11280" width="44.83203125" style="2192" customWidth="1"/>
    <col min="11281" max="11281" width="45" style="2192" customWidth="1"/>
    <col min="11282" max="11283" width="47.33203125" style="2192" customWidth="1"/>
    <col min="11284" max="11284" width="47.1640625" style="2192" customWidth="1"/>
    <col min="11285" max="11285" width="43.6640625" style="2192" customWidth="1"/>
    <col min="11286" max="11286" width="193.33203125" style="2192" customWidth="1"/>
    <col min="11287" max="11289" width="47.33203125" style="2192" customWidth="1"/>
    <col min="11290" max="11290" width="43.6640625" style="2192" customWidth="1"/>
    <col min="11291" max="11293" width="47.33203125" style="2192" customWidth="1"/>
    <col min="11294" max="11294" width="44" style="2192" customWidth="1"/>
    <col min="11295" max="11297" width="47.33203125" style="2192" customWidth="1"/>
    <col min="11298" max="11298" width="43.6640625" style="2192" customWidth="1"/>
    <col min="11299" max="11301" width="47.33203125" style="2192" customWidth="1"/>
    <col min="11302" max="11302" width="43.6640625" style="2192" customWidth="1"/>
    <col min="11303" max="11305" width="47.33203125" style="2192" customWidth="1"/>
    <col min="11306" max="11306" width="43.6640625" style="2192" customWidth="1"/>
    <col min="11307" max="11307" width="193.33203125" style="2192" customWidth="1"/>
    <col min="11308" max="11323" width="56" style="2192" customWidth="1"/>
    <col min="11324" max="11324" width="59" style="2192" customWidth="1"/>
    <col min="11325" max="11325" width="46" style="2192" customWidth="1"/>
    <col min="11326" max="11520" width="9.33203125" style="2192"/>
    <col min="11521" max="11521" width="193.33203125" style="2192" customWidth="1"/>
    <col min="11522" max="11522" width="47.1640625" style="2192" customWidth="1"/>
    <col min="11523" max="11523" width="47.33203125" style="2192" customWidth="1"/>
    <col min="11524" max="11524" width="47.1640625" style="2192" customWidth="1"/>
    <col min="11525" max="11525" width="43.6640625" style="2192" customWidth="1"/>
    <col min="11526" max="11527" width="47.33203125" style="2192" customWidth="1"/>
    <col min="11528" max="11528" width="47.1640625" style="2192" customWidth="1"/>
    <col min="11529" max="11529" width="43.6640625" style="2192" customWidth="1"/>
    <col min="11530" max="11531" width="47.33203125" style="2192" customWidth="1"/>
    <col min="11532" max="11532" width="47.1640625" style="2192" customWidth="1"/>
    <col min="11533" max="11533" width="43.6640625" style="2192" customWidth="1"/>
    <col min="11534" max="11535" width="45" style="2192" customWidth="1"/>
    <col min="11536" max="11536" width="44.83203125" style="2192" customWidth="1"/>
    <col min="11537" max="11537" width="45" style="2192" customWidth="1"/>
    <col min="11538" max="11539" width="47.33203125" style="2192" customWidth="1"/>
    <col min="11540" max="11540" width="47.1640625" style="2192" customWidth="1"/>
    <col min="11541" max="11541" width="43.6640625" style="2192" customWidth="1"/>
    <col min="11542" max="11542" width="193.33203125" style="2192" customWidth="1"/>
    <col min="11543" max="11545" width="47.33203125" style="2192" customWidth="1"/>
    <col min="11546" max="11546" width="43.6640625" style="2192" customWidth="1"/>
    <col min="11547" max="11549" width="47.33203125" style="2192" customWidth="1"/>
    <col min="11550" max="11550" width="44" style="2192" customWidth="1"/>
    <col min="11551" max="11553" width="47.33203125" style="2192" customWidth="1"/>
    <col min="11554" max="11554" width="43.6640625" style="2192" customWidth="1"/>
    <col min="11555" max="11557" width="47.33203125" style="2192" customWidth="1"/>
    <col min="11558" max="11558" width="43.6640625" style="2192" customWidth="1"/>
    <col min="11559" max="11561" width="47.33203125" style="2192" customWidth="1"/>
    <col min="11562" max="11562" width="43.6640625" style="2192" customWidth="1"/>
    <col min="11563" max="11563" width="193.33203125" style="2192" customWidth="1"/>
    <col min="11564" max="11579" width="56" style="2192" customWidth="1"/>
    <col min="11580" max="11580" width="59" style="2192" customWidth="1"/>
    <col min="11581" max="11581" width="46" style="2192" customWidth="1"/>
    <col min="11582" max="11776" width="9.33203125" style="2192"/>
    <col min="11777" max="11777" width="193.33203125" style="2192" customWidth="1"/>
    <col min="11778" max="11778" width="47.1640625" style="2192" customWidth="1"/>
    <col min="11779" max="11779" width="47.33203125" style="2192" customWidth="1"/>
    <col min="11780" max="11780" width="47.1640625" style="2192" customWidth="1"/>
    <col min="11781" max="11781" width="43.6640625" style="2192" customWidth="1"/>
    <col min="11782" max="11783" width="47.33203125" style="2192" customWidth="1"/>
    <col min="11784" max="11784" width="47.1640625" style="2192" customWidth="1"/>
    <col min="11785" max="11785" width="43.6640625" style="2192" customWidth="1"/>
    <col min="11786" max="11787" width="47.33203125" style="2192" customWidth="1"/>
    <col min="11788" max="11788" width="47.1640625" style="2192" customWidth="1"/>
    <col min="11789" max="11789" width="43.6640625" style="2192" customWidth="1"/>
    <col min="11790" max="11791" width="45" style="2192" customWidth="1"/>
    <col min="11792" max="11792" width="44.83203125" style="2192" customWidth="1"/>
    <col min="11793" max="11793" width="45" style="2192" customWidth="1"/>
    <col min="11794" max="11795" width="47.33203125" style="2192" customWidth="1"/>
    <col min="11796" max="11796" width="47.1640625" style="2192" customWidth="1"/>
    <col min="11797" max="11797" width="43.6640625" style="2192" customWidth="1"/>
    <col min="11798" max="11798" width="193.33203125" style="2192" customWidth="1"/>
    <col min="11799" max="11801" width="47.33203125" style="2192" customWidth="1"/>
    <col min="11802" max="11802" width="43.6640625" style="2192" customWidth="1"/>
    <col min="11803" max="11805" width="47.33203125" style="2192" customWidth="1"/>
    <col min="11806" max="11806" width="44" style="2192" customWidth="1"/>
    <col min="11807" max="11809" width="47.33203125" style="2192" customWidth="1"/>
    <col min="11810" max="11810" width="43.6640625" style="2192" customWidth="1"/>
    <col min="11811" max="11813" width="47.33203125" style="2192" customWidth="1"/>
    <col min="11814" max="11814" width="43.6640625" style="2192" customWidth="1"/>
    <col min="11815" max="11817" width="47.33203125" style="2192" customWidth="1"/>
    <col min="11818" max="11818" width="43.6640625" style="2192" customWidth="1"/>
    <col min="11819" max="11819" width="193.33203125" style="2192" customWidth="1"/>
    <col min="11820" max="11835" width="56" style="2192" customWidth="1"/>
    <col min="11836" max="11836" width="59" style="2192" customWidth="1"/>
    <col min="11837" max="11837" width="46" style="2192" customWidth="1"/>
    <col min="11838" max="12032" width="9.33203125" style="2192"/>
    <col min="12033" max="12033" width="193.33203125" style="2192" customWidth="1"/>
    <col min="12034" max="12034" width="47.1640625" style="2192" customWidth="1"/>
    <col min="12035" max="12035" width="47.33203125" style="2192" customWidth="1"/>
    <col min="12036" max="12036" width="47.1640625" style="2192" customWidth="1"/>
    <col min="12037" max="12037" width="43.6640625" style="2192" customWidth="1"/>
    <col min="12038" max="12039" width="47.33203125" style="2192" customWidth="1"/>
    <col min="12040" max="12040" width="47.1640625" style="2192" customWidth="1"/>
    <col min="12041" max="12041" width="43.6640625" style="2192" customWidth="1"/>
    <col min="12042" max="12043" width="47.33203125" style="2192" customWidth="1"/>
    <col min="12044" max="12044" width="47.1640625" style="2192" customWidth="1"/>
    <col min="12045" max="12045" width="43.6640625" style="2192" customWidth="1"/>
    <col min="12046" max="12047" width="45" style="2192" customWidth="1"/>
    <col min="12048" max="12048" width="44.83203125" style="2192" customWidth="1"/>
    <col min="12049" max="12049" width="45" style="2192" customWidth="1"/>
    <col min="12050" max="12051" width="47.33203125" style="2192" customWidth="1"/>
    <col min="12052" max="12052" width="47.1640625" style="2192" customWidth="1"/>
    <col min="12053" max="12053" width="43.6640625" style="2192" customWidth="1"/>
    <col min="12054" max="12054" width="193.33203125" style="2192" customWidth="1"/>
    <col min="12055" max="12057" width="47.33203125" style="2192" customWidth="1"/>
    <col min="12058" max="12058" width="43.6640625" style="2192" customWidth="1"/>
    <col min="12059" max="12061" width="47.33203125" style="2192" customWidth="1"/>
    <col min="12062" max="12062" width="44" style="2192" customWidth="1"/>
    <col min="12063" max="12065" width="47.33203125" style="2192" customWidth="1"/>
    <col min="12066" max="12066" width="43.6640625" style="2192" customWidth="1"/>
    <col min="12067" max="12069" width="47.33203125" style="2192" customWidth="1"/>
    <col min="12070" max="12070" width="43.6640625" style="2192" customWidth="1"/>
    <col min="12071" max="12073" width="47.33203125" style="2192" customWidth="1"/>
    <col min="12074" max="12074" width="43.6640625" style="2192" customWidth="1"/>
    <col min="12075" max="12075" width="193.33203125" style="2192" customWidth="1"/>
    <col min="12076" max="12091" width="56" style="2192" customWidth="1"/>
    <col min="12092" max="12092" width="59" style="2192" customWidth="1"/>
    <col min="12093" max="12093" width="46" style="2192" customWidth="1"/>
    <col min="12094" max="12288" width="9.33203125" style="2192"/>
    <col min="12289" max="12289" width="193.33203125" style="2192" customWidth="1"/>
    <col min="12290" max="12290" width="47.1640625" style="2192" customWidth="1"/>
    <col min="12291" max="12291" width="47.33203125" style="2192" customWidth="1"/>
    <col min="12292" max="12292" width="47.1640625" style="2192" customWidth="1"/>
    <col min="12293" max="12293" width="43.6640625" style="2192" customWidth="1"/>
    <col min="12294" max="12295" width="47.33203125" style="2192" customWidth="1"/>
    <col min="12296" max="12296" width="47.1640625" style="2192" customWidth="1"/>
    <col min="12297" max="12297" width="43.6640625" style="2192" customWidth="1"/>
    <col min="12298" max="12299" width="47.33203125" style="2192" customWidth="1"/>
    <col min="12300" max="12300" width="47.1640625" style="2192" customWidth="1"/>
    <col min="12301" max="12301" width="43.6640625" style="2192" customWidth="1"/>
    <col min="12302" max="12303" width="45" style="2192" customWidth="1"/>
    <col min="12304" max="12304" width="44.83203125" style="2192" customWidth="1"/>
    <col min="12305" max="12305" width="45" style="2192" customWidth="1"/>
    <col min="12306" max="12307" width="47.33203125" style="2192" customWidth="1"/>
    <col min="12308" max="12308" width="47.1640625" style="2192" customWidth="1"/>
    <col min="12309" max="12309" width="43.6640625" style="2192" customWidth="1"/>
    <col min="12310" max="12310" width="193.33203125" style="2192" customWidth="1"/>
    <col min="12311" max="12313" width="47.33203125" style="2192" customWidth="1"/>
    <col min="12314" max="12314" width="43.6640625" style="2192" customWidth="1"/>
    <col min="12315" max="12317" width="47.33203125" style="2192" customWidth="1"/>
    <col min="12318" max="12318" width="44" style="2192" customWidth="1"/>
    <col min="12319" max="12321" width="47.33203125" style="2192" customWidth="1"/>
    <col min="12322" max="12322" width="43.6640625" style="2192" customWidth="1"/>
    <col min="12323" max="12325" width="47.33203125" style="2192" customWidth="1"/>
    <col min="12326" max="12326" width="43.6640625" style="2192" customWidth="1"/>
    <col min="12327" max="12329" width="47.33203125" style="2192" customWidth="1"/>
    <col min="12330" max="12330" width="43.6640625" style="2192" customWidth="1"/>
    <col min="12331" max="12331" width="193.33203125" style="2192" customWidth="1"/>
    <col min="12332" max="12347" width="56" style="2192" customWidth="1"/>
    <col min="12348" max="12348" width="59" style="2192" customWidth="1"/>
    <col min="12349" max="12349" width="46" style="2192" customWidth="1"/>
    <col min="12350" max="12544" width="9.33203125" style="2192"/>
    <col min="12545" max="12545" width="193.33203125" style="2192" customWidth="1"/>
    <col min="12546" max="12546" width="47.1640625" style="2192" customWidth="1"/>
    <col min="12547" max="12547" width="47.33203125" style="2192" customWidth="1"/>
    <col min="12548" max="12548" width="47.1640625" style="2192" customWidth="1"/>
    <col min="12549" max="12549" width="43.6640625" style="2192" customWidth="1"/>
    <col min="12550" max="12551" width="47.33203125" style="2192" customWidth="1"/>
    <col min="12552" max="12552" width="47.1640625" style="2192" customWidth="1"/>
    <col min="12553" max="12553" width="43.6640625" style="2192" customWidth="1"/>
    <col min="12554" max="12555" width="47.33203125" style="2192" customWidth="1"/>
    <col min="12556" max="12556" width="47.1640625" style="2192" customWidth="1"/>
    <col min="12557" max="12557" width="43.6640625" style="2192" customWidth="1"/>
    <col min="12558" max="12559" width="45" style="2192" customWidth="1"/>
    <col min="12560" max="12560" width="44.83203125" style="2192" customWidth="1"/>
    <col min="12561" max="12561" width="45" style="2192" customWidth="1"/>
    <col min="12562" max="12563" width="47.33203125" style="2192" customWidth="1"/>
    <col min="12564" max="12564" width="47.1640625" style="2192" customWidth="1"/>
    <col min="12565" max="12565" width="43.6640625" style="2192" customWidth="1"/>
    <col min="12566" max="12566" width="193.33203125" style="2192" customWidth="1"/>
    <col min="12567" max="12569" width="47.33203125" style="2192" customWidth="1"/>
    <col min="12570" max="12570" width="43.6640625" style="2192" customWidth="1"/>
    <col min="12571" max="12573" width="47.33203125" style="2192" customWidth="1"/>
    <col min="12574" max="12574" width="44" style="2192" customWidth="1"/>
    <col min="12575" max="12577" width="47.33203125" style="2192" customWidth="1"/>
    <col min="12578" max="12578" width="43.6640625" style="2192" customWidth="1"/>
    <col min="12579" max="12581" width="47.33203125" style="2192" customWidth="1"/>
    <col min="12582" max="12582" width="43.6640625" style="2192" customWidth="1"/>
    <col min="12583" max="12585" width="47.33203125" style="2192" customWidth="1"/>
    <col min="12586" max="12586" width="43.6640625" style="2192" customWidth="1"/>
    <col min="12587" max="12587" width="193.33203125" style="2192" customWidth="1"/>
    <col min="12588" max="12603" width="56" style="2192" customWidth="1"/>
    <col min="12604" max="12604" width="59" style="2192" customWidth="1"/>
    <col min="12605" max="12605" width="46" style="2192" customWidth="1"/>
    <col min="12606" max="12800" width="9.33203125" style="2192"/>
    <col min="12801" max="12801" width="193.33203125" style="2192" customWidth="1"/>
    <col min="12802" max="12802" width="47.1640625" style="2192" customWidth="1"/>
    <col min="12803" max="12803" width="47.33203125" style="2192" customWidth="1"/>
    <col min="12804" max="12804" width="47.1640625" style="2192" customWidth="1"/>
    <col min="12805" max="12805" width="43.6640625" style="2192" customWidth="1"/>
    <col min="12806" max="12807" width="47.33203125" style="2192" customWidth="1"/>
    <col min="12808" max="12808" width="47.1640625" style="2192" customWidth="1"/>
    <col min="12809" max="12809" width="43.6640625" style="2192" customWidth="1"/>
    <col min="12810" max="12811" width="47.33203125" style="2192" customWidth="1"/>
    <col min="12812" max="12812" width="47.1640625" style="2192" customWidth="1"/>
    <col min="12813" max="12813" width="43.6640625" style="2192" customWidth="1"/>
    <col min="12814" max="12815" width="45" style="2192" customWidth="1"/>
    <col min="12816" max="12816" width="44.83203125" style="2192" customWidth="1"/>
    <col min="12817" max="12817" width="45" style="2192" customWidth="1"/>
    <col min="12818" max="12819" width="47.33203125" style="2192" customWidth="1"/>
    <col min="12820" max="12820" width="47.1640625" style="2192" customWidth="1"/>
    <col min="12821" max="12821" width="43.6640625" style="2192" customWidth="1"/>
    <col min="12822" max="12822" width="193.33203125" style="2192" customWidth="1"/>
    <col min="12823" max="12825" width="47.33203125" style="2192" customWidth="1"/>
    <col min="12826" max="12826" width="43.6640625" style="2192" customWidth="1"/>
    <col min="12827" max="12829" width="47.33203125" style="2192" customWidth="1"/>
    <col min="12830" max="12830" width="44" style="2192" customWidth="1"/>
    <col min="12831" max="12833" width="47.33203125" style="2192" customWidth="1"/>
    <col min="12834" max="12834" width="43.6640625" style="2192" customWidth="1"/>
    <col min="12835" max="12837" width="47.33203125" style="2192" customWidth="1"/>
    <col min="12838" max="12838" width="43.6640625" style="2192" customWidth="1"/>
    <col min="12839" max="12841" width="47.33203125" style="2192" customWidth="1"/>
    <col min="12842" max="12842" width="43.6640625" style="2192" customWidth="1"/>
    <col min="12843" max="12843" width="193.33203125" style="2192" customWidth="1"/>
    <col min="12844" max="12859" width="56" style="2192" customWidth="1"/>
    <col min="12860" max="12860" width="59" style="2192" customWidth="1"/>
    <col min="12861" max="12861" width="46" style="2192" customWidth="1"/>
    <col min="12862" max="13056" width="9.33203125" style="2192"/>
    <col min="13057" max="13057" width="193.33203125" style="2192" customWidth="1"/>
    <col min="13058" max="13058" width="47.1640625" style="2192" customWidth="1"/>
    <col min="13059" max="13059" width="47.33203125" style="2192" customWidth="1"/>
    <col min="13060" max="13060" width="47.1640625" style="2192" customWidth="1"/>
    <col min="13061" max="13061" width="43.6640625" style="2192" customWidth="1"/>
    <col min="13062" max="13063" width="47.33203125" style="2192" customWidth="1"/>
    <col min="13064" max="13064" width="47.1640625" style="2192" customWidth="1"/>
    <col min="13065" max="13065" width="43.6640625" style="2192" customWidth="1"/>
    <col min="13066" max="13067" width="47.33203125" style="2192" customWidth="1"/>
    <col min="13068" max="13068" width="47.1640625" style="2192" customWidth="1"/>
    <col min="13069" max="13069" width="43.6640625" style="2192" customWidth="1"/>
    <col min="13070" max="13071" width="45" style="2192" customWidth="1"/>
    <col min="13072" max="13072" width="44.83203125" style="2192" customWidth="1"/>
    <col min="13073" max="13073" width="45" style="2192" customWidth="1"/>
    <col min="13074" max="13075" width="47.33203125" style="2192" customWidth="1"/>
    <col min="13076" max="13076" width="47.1640625" style="2192" customWidth="1"/>
    <col min="13077" max="13077" width="43.6640625" style="2192" customWidth="1"/>
    <col min="13078" max="13078" width="193.33203125" style="2192" customWidth="1"/>
    <col min="13079" max="13081" width="47.33203125" style="2192" customWidth="1"/>
    <col min="13082" max="13082" width="43.6640625" style="2192" customWidth="1"/>
    <col min="13083" max="13085" width="47.33203125" style="2192" customWidth="1"/>
    <col min="13086" max="13086" width="44" style="2192" customWidth="1"/>
    <col min="13087" max="13089" width="47.33203125" style="2192" customWidth="1"/>
    <col min="13090" max="13090" width="43.6640625" style="2192" customWidth="1"/>
    <col min="13091" max="13093" width="47.33203125" style="2192" customWidth="1"/>
    <col min="13094" max="13094" width="43.6640625" style="2192" customWidth="1"/>
    <col min="13095" max="13097" width="47.33203125" style="2192" customWidth="1"/>
    <col min="13098" max="13098" width="43.6640625" style="2192" customWidth="1"/>
    <col min="13099" max="13099" width="193.33203125" style="2192" customWidth="1"/>
    <col min="13100" max="13115" width="56" style="2192" customWidth="1"/>
    <col min="13116" max="13116" width="59" style="2192" customWidth="1"/>
    <col min="13117" max="13117" width="46" style="2192" customWidth="1"/>
    <col min="13118" max="13312" width="9.33203125" style="2192"/>
    <col min="13313" max="13313" width="193.33203125" style="2192" customWidth="1"/>
    <col min="13314" max="13314" width="47.1640625" style="2192" customWidth="1"/>
    <col min="13315" max="13315" width="47.33203125" style="2192" customWidth="1"/>
    <col min="13316" max="13316" width="47.1640625" style="2192" customWidth="1"/>
    <col min="13317" max="13317" width="43.6640625" style="2192" customWidth="1"/>
    <col min="13318" max="13319" width="47.33203125" style="2192" customWidth="1"/>
    <col min="13320" max="13320" width="47.1640625" style="2192" customWidth="1"/>
    <col min="13321" max="13321" width="43.6640625" style="2192" customWidth="1"/>
    <col min="13322" max="13323" width="47.33203125" style="2192" customWidth="1"/>
    <col min="13324" max="13324" width="47.1640625" style="2192" customWidth="1"/>
    <col min="13325" max="13325" width="43.6640625" style="2192" customWidth="1"/>
    <col min="13326" max="13327" width="45" style="2192" customWidth="1"/>
    <col min="13328" max="13328" width="44.83203125" style="2192" customWidth="1"/>
    <col min="13329" max="13329" width="45" style="2192" customWidth="1"/>
    <col min="13330" max="13331" width="47.33203125" style="2192" customWidth="1"/>
    <col min="13332" max="13332" width="47.1640625" style="2192" customWidth="1"/>
    <col min="13333" max="13333" width="43.6640625" style="2192" customWidth="1"/>
    <col min="13334" max="13334" width="193.33203125" style="2192" customWidth="1"/>
    <col min="13335" max="13337" width="47.33203125" style="2192" customWidth="1"/>
    <col min="13338" max="13338" width="43.6640625" style="2192" customWidth="1"/>
    <col min="13339" max="13341" width="47.33203125" style="2192" customWidth="1"/>
    <col min="13342" max="13342" width="44" style="2192" customWidth="1"/>
    <col min="13343" max="13345" width="47.33203125" style="2192" customWidth="1"/>
    <col min="13346" max="13346" width="43.6640625" style="2192" customWidth="1"/>
    <col min="13347" max="13349" width="47.33203125" style="2192" customWidth="1"/>
    <col min="13350" max="13350" width="43.6640625" style="2192" customWidth="1"/>
    <col min="13351" max="13353" width="47.33203125" style="2192" customWidth="1"/>
    <col min="13354" max="13354" width="43.6640625" style="2192" customWidth="1"/>
    <col min="13355" max="13355" width="193.33203125" style="2192" customWidth="1"/>
    <col min="13356" max="13371" width="56" style="2192" customWidth="1"/>
    <col min="13372" max="13372" width="59" style="2192" customWidth="1"/>
    <col min="13373" max="13373" width="46" style="2192" customWidth="1"/>
    <col min="13374" max="13568" width="9.33203125" style="2192"/>
    <col min="13569" max="13569" width="193.33203125" style="2192" customWidth="1"/>
    <col min="13570" max="13570" width="47.1640625" style="2192" customWidth="1"/>
    <col min="13571" max="13571" width="47.33203125" style="2192" customWidth="1"/>
    <col min="13572" max="13572" width="47.1640625" style="2192" customWidth="1"/>
    <col min="13573" max="13573" width="43.6640625" style="2192" customWidth="1"/>
    <col min="13574" max="13575" width="47.33203125" style="2192" customWidth="1"/>
    <col min="13576" max="13576" width="47.1640625" style="2192" customWidth="1"/>
    <col min="13577" max="13577" width="43.6640625" style="2192" customWidth="1"/>
    <col min="13578" max="13579" width="47.33203125" style="2192" customWidth="1"/>
    <col min="13580" max="13580" width="47.1640625" style="2192" customWidth="1"/>
    <col min="13581" max="13581" width="43.6640625" style="2192" customWidth="1"/>
    <col min="13582" max="13583" width="45" style="2192" customWidth="1"/>
    <col min="13584" max="13584" width="44.83203125" style="2192" customWidth="1"/>
    <col min="13585" max="13585" width="45" style="2192" customWidth="1"/>
    <col min="13586" max="13587" width="47.33203125" style="2192" customWidth="1"/>
    <col min="13588" max="13588" width="47.1640625" style="2192" customWidth="1"/>
    <col min="13589" max="13589" width="43.6640625" style="2192" customWidth="1"/>
    <col min="13590" max="13590" width="193.33203125" style="2192" customWidth="1"/>
    <col min="13591" max="13593" width="47.33203125" style="2192" customWidth="1"/>
    <col min="13594" max="13594" width="43.6640625" style="2192" customWidth="1"/>
    <col min="13595" max="13597" width="47.33203125" style="2192" customWidth="1"/>
    <col min="13598" max="13598" width="44" style="2192" customWidth="1"/>
    <col min="13599" max="13601" width="47.33203125" style="2192" customWidth="1"/>
    <col min="13602" max="13602" width="43.6640625" style="2192" customWidth="1"/>
    <col min="13603" max="13605" width="47.33203125" style="2192" customWidth="1"/>
    <col min="13606" max="13606" width="43.6640625" style="2192" customWidth="1"/>
    <col min="13607" max="13609" width="47.33203125" style="2192" customWidth="1"/>
    <col min="13610" max="13610" width="43.6640625" style="2192" customWidth="1"/>
    <col min="13611" max="13611" width="193.33203125" style="2192" customWidth="1"/>
    <col min="13612" max="13627" width="56" style="2192" customWidth="1"/>
    <col min="13628" max="13628" width="59" style="2192" customWidth="1"/>
    <col min="13629" max="13629" width="46" style="2192" customWidth="1"/>
    <col min="13630" max="13824" width="9.33203125" style="2192"/>
    <col min="13825" max="13825" width="193.33203125" style="2192" customWidth="1"/>
    <col min="13826" max="13826" width="47.1640625" style="2192" customWidth="1"/>
    <col min="13827" max="13827" width="47.33203125" style="2192" customWidth="1"/>
    <col min="13828" max="13828" width="47.1640625" style="2192" customWidth="1"/>
    <col min="13829" max="13829" width="43.6640625" style="2192" customWidth="1"/>
    <col min="13830" max="13831" width="47.33203125" style="2192" customWidth="1"/>
    <col min="13832" max="13832" width="47.1640625" style="2192" customWidth="1"/>
    <col min="13833" max="13833" width="43.6640625" style="2192" customWidth="1"/>
    <col min="13834" max="13835" width="47.33203125" style="2192" customWidth="1"/>
    <col min="13836" max="13836" width="47.1640625" style="2192" customWidth="1"/>
    <col min="13837" max="13837" width="43.6640625" style="2192" customWidth="1"/>
    <col min="13838" max="13839" width="45" style="2192" customWidth="1"/>
    <col min="13840" max="13840" width="44.83203125" style="2192" customWidth="1"/>
    <col min="13841" max="13841" width="45" style="2192" customWidth="1"/>
    <col min="13842" max="13843" width="47.33203125" style="2192" customWidth="1"/>
    <col min="13844" max="13844" width="47.1640625" style="2192" customWidth="1"/>
    <col min="13845" max="13845" width="43.6640625" style="2192" customWidth="1"/>
    <col min="13846" max="13846" width="193.33203125" style="2192" customWidth="1"/>
    <col min="13847" max="13849" width="47.33203125" style="2192" customWidth="1"/>
    <col min="13850" max="13850" width="43.6640625" style="2192" customWidth="1"/>
    <col min="13851" max="13853" width="47.33203125" style="2192" customWidth="1"/>
    <col min="13854" max="13854" width="44" style="2192" customWidth="1"/>
    <col min="13855" max="13857" width="47.33203125" style="2192" customWidth="1"/>
    <col min="13858" max="13858" width="43.6640625" style="2192" customWidth="1"/>
    <col min="13859" max="13861" width="47.33203125" style="2192" customWidth="1"/>
    <col min="13862" max="13862" width="43.6640625" style="2192" customWidth="1"/>
    <col min="13863" max="13865" width="47.33203125" style="2192" customWidth="1"/>
    <col min="13866" max="13866" width="43.6640625" style="2192" customWidth="1"/>
    <col min="13867" max="13867" width="193.33203125" style="2192" customWidth="1"/>
    <col min="13868" max="13883" width="56" style="2192" customWidth="1"/>
    <col min="13884" max="13884" width="59" style="2192" customWidth="1"/>
    <col min="13885" max="13885" width="46" style="2192" customWidth="1"/>
    <col min="13886" max="14080" width="9.33203125" style="2192"/>
    <col min="14081" max="14081" width="193.33203125" style="2192" customWidth="1"/>
    <col min="14082" max="14082" width="47.1640625" style="2192" customWidth="1"/>
    <col min="14083" max="14083" width="47.33203125" style="2192" customWidth="1"/>
    <col min="14084" max="14084" width="47.1640625" style="2192" customWidth="1"/>
    <col min="14085" max="14085" width="43.6640625" style="2192" customWidth="1"/>
    <col min="14086" max="14087" width="47.33203125" style="2192" customWidth="1"/>
    <col min="14088" max="14088" width="47.1640625" style="2192" customWidth="1"/>
    <col min="14089" max="14089" width="43.6640625" style="2192" customWidth="1"/>
    <col min="14090" max="14091" width="47.33203125" style="2192" customWidth="1"/>
    <col min="14092" max="14092" width="47.1640625" style="2192" customWidth="1"/>
    <col min="14093" max="14093" width="43.6640625" style="2192" customWidth="1"/>
    <col min="14094" max="14095" width="45" style="2192" customWidth="1"/>
    <col min="14096" max="14096" width="44.83203125" style="2192" customWidth="1"/>
    <col min="14097" max="14097" width="45" style="2192" customWidth="1"/>
    <col min="14098" max="14099" width="47.33203125" style="2192" customWidth="1"/>
    <col min="14100" max="14100" width="47.1640625" style="2192" customWidth="1"/>
    <col min="14101" max="14101" width="43.6640625" style="2192" customWidth="1"/>
    <col min="14102" max="14102" width="193.33203125" style="2192" customWidth="1"/>
    <col min="14103" max="14105" width="47.33203125" style="2192" customWidth="1"/>
    <col min="14106" max="14106" width="43.6640625" style="2192" customWidth="1"/>
    <col min="14107" max="14109" width="47.33203125" style="2192" customWidth="1"/>
    <col min="14110" max="14110" width="44" style="2192" customWidth="1"/>
    <col min="14111" max="14113" width="47.33203125" style="2192" customWidth="1"/>
    <col min="14114" max="14114" width="43.6640625" style="2192" customWidth="1"/>
    <col min="14115" max="14117" width="47.33203125" style="2192" customWidth="1"/>
    <col min="14118" max="14118" width="43.6640625" style="2192" customWidth="1"/>
    <col min="14119" max="14121" width="47.33203125" style="2192" customWidth="1"/>
    <col min="14122" max="14122" width="43.6640625" style="2192" customWidth="1"/>
    <col min="14123" max="14123" width="193.33203125" style="2192" customWidth="1"/>
    <col min="14124" max="14139" width="56" style="2192" customWidth="1"/>
    <col min="14140" max="14140" width="59" style="2192" customWidth="1"/>
    <col min="14141" max="14141" width="46" style="2192" customWidth="1"/>
    <col min="14142" max="14336" width="9.33203125" style="2192"/>
    <col min="14337" max="14337" width="193.33203125" style="2192" customWidth="1"/>
    <col min="14338" max="14338" width="47.1640625" style="2192" customWidth="1"/>
    <col min="14339" max="14339" width="47.33203125" style="2192" customWidth="1"/>
    <col min="14340" max="14340" width="47.1640625" style="2192" customWidth="1"/>
    <col min="14341" max="14341" width="43.6640625" style="2192" customWidth="1"/>
    <col min="14342" max="14343" width="47.33203125" style="2192" customWidth="1"/>
    <col min="14344" max="14344" width="47.1640625" style="2192" customWidth="1"/>
    <col min="14345" max="14345" width="43.6640625" style="2192" customWidth="1"/>
    <col min="14346" max="14347" width="47.33203125" style="2192" customWidth="1"/>
    <col min="14348" max="14348" width="47.1640625" style="2192" customWidth="1"/>
    <col min="14349" max="14349" width="43.6640625" style="2192" customWidth="1"/>
    <col min="14350" max="14351" width="45" style="2192" customWidth="1"/>
    <col min="14352" max="14352" width="44.83203125" style="2192" customWidth="1"/>
    <col min="14353" max="14353" width="45" style="2192" customWidth="1"/>
    <col min="14354" max="14355" width="47.33203125" style="2192" customWidth="1"/>
    <col min="14356" max="14356" width="47.1640625" style="2192" customWidth="1"/>
    <col min="14357" max="14357" width="43.6640625" style="2192" customWidth="1"/>
    <col min="14358" max="14358" width="193.33203125" style="2192" customWidth="1"/>
    <col min="14359" max="14361" width="47.33203125" style="2192" customWidth="1"/>
    <col min="14362" max="14362" width="43.6640625" style="2192" customWidth="1"/>
    <col min="14363" max="14365" width="47.33203125" style="2192" customWidth="1"/>
    <col min="14366" max="14366" width="44" style="2192" customWidth="1"/>
    <col min="14367" max="14369" width="47.33203125" style="2192" customWidth="1"/>
    <col min="14370" max="14370" width="43.6640625" style="2192" customWidth="1"/>
    <col min="14371" max="14373" width="47.33203125" style="2192" customWidth="1"/>
    <col min="14374" max="14374" width="43.6640625" style="2192" customWidth="1"/>
    <col min="14375" max="14377" width="47.33203125" style="2192" customWidth="1"/>
    <col min="14378" max="14378" width="43.6640625" style="2192" customWidth="1"/>
    <col min="14379" max="14379" width="193.33203125" style="2192" customWidth="1"/>
    <col min="14380" max="14395" width="56" style="2192" customWidth="1"/>
    <col min="14396" max="14396" width="59" style="2192" customWidth="1"/>
    <col min="14397" max="14397" width="46" style="2192" customWidth="1"/>
    <col min="14398" max="14592" width="9.33203125" style="2192"/>
    <col min="14593" max="14593" width="193.33203125" style="2192" customWidth="1"/>
    <col min="14594" max="14594" width="47.1640625" style="2192" customWidth="1"/>
    <col min="14595" max="14595" width="47.33203125" style="2192" customWidth="1"/>
    <col min="14596" max="14596" width="47.1640625" style="2192" customWidth="1"/>
    <col min="14597" max="14597" width="43.6640625" style="2192" customWidth="1"/>
    <col min="14598" max="14599" width="47.33203125" style="2192" customWidth="1"/>
    <col min="14600" max="14600" width="47.1640625" style="2192" customWidth="1"/>
    <col min="14601" max="14601" width="43.6640625" style="2192" customWidth="1"/>
    <col min="14602" max="14603" width="47.33203125" style="2192" customWidth="1"/>
    <col min="14604" max="14604" width="47.1640625" style="2192" customWidth="1"/>
    <col min="14605" max="14605" width="43.6640625" style="2192" customWidth="1"/>
    <col min="14606" max="14607" width="45" style="2192" customWidth="1"/>
    <col min="14608" max="14608" width="44.83203125" style="2192" customWidth="1"/>
    <col min="14609" max="14609" width="45" style="2192" customWidth="1"/>
    <col min="14610" max="14611" width="47.33203125" style="2192" customWidth="1"/>
    <col min="14612" max="14612" width="47.1640625" style="2192" customWidth="1"/>
    <col min="14613" max="14613" width="43.6640625" style="2192" customWidth="1"/>
    <col min="14614" max="14614" width="193.33203125" style="2192" customWidth="1"/>
    <col min="14615" max="14617" width="47.33203125" style="2192" customWidth="1"/>
    <col min="14618" max="14618" width="43.6640625" style="2192" customWidth="1"/>
    <col min="14619" max="14621" width="47.33203125" style="2192" customWidth="1"/>
    <col min="14622" max="14622" width="44" style="2192" customWidth="1"/>
    <col min="14623" max="14625" width="47.33203125" style="2192" customWidth="1"/>
    <col min="14626" max="14626" width="43.6640625" style="2192" customWidth="1"/>
    <col min="14627" max="14629" width="47.33203125" style="2192" customWidth="1"/>
    <col min="14630" max="14630" width="43.6640625" style="2192" customWidth="1"/>
    <col min="14631" max="14633" width="47.33203125" style="2192" customWidth="1"/>
    <col min="14634" max="14634" width="43.6640625" style="2192" customWidth="1"/>
    <col min="14635" max="14635" width="193.33203125" style="2192" customWidth="1"/>
    <col min="14636" max="14651" width="56" style="2192" customWidth="1"/>
    <col min="14652" max="14652" width="59" style="2192" customWidth="1"/>
    <col min="14653" max="14653" width="46" style="2192" customWidth="1"/>
    <col min="14654" max="14848" width="9.33203125" style="2192"/>
    <col min="14849" max="14849" width="193.33203125" style="2192" customWidth="1"/>
    <col min="14850" max="14850" width="47.1640625" style="2192" customWidth="1"/>
    <col min="14851" max="14851" width="47.33203125" style="2192" customWidth="1"/>
    <col min="14852" max="14852" width="47.1640625" style="2192" customWidth="1"/>
    <col min="14853" max="14853" width="43.6640625" style="2192" customWidth="1"/>
    <col min="14854" max="14855" width="47.33203125" style="2192" customWidth="1"/>
    <col min="14856" max="14856" width="47.1640625" style="2192" customWidth="1"/>
    <col min="14857" max="14857" width="43.6640625" style="2192" customWidth="1"/>
    <col min="14858" max="14859" width="47.33203125" style="2192" customWidth="1"/>
    <col min="14860" max="14860" width="47.1640625" style="2192" customWidth="1"/>
    <col min="14861" max="14861" width="43.6640625" style="2192" customWidth="1"/>
    <col min="14862" max="14863" width="45" style="2192" customWidth="1"/>
    <col min="14864" max="14864" width="44.83203125" style="2192" customWidth="1"/>
    <col min="14865" max="14865" width="45" style="2192" customWidth="1"/>
    <col min="14866" max="14867" width="47.33203125" style="2192" customWidth="1"/>
    <col min="14868" max="14868" width="47.1640625" style="2192" customWidth="1"/>
    <col min="14869" max="14869" width="43.6640625" style="2192" customWidth="1"/>
    <col min="14870" max="14870" width="193.33203125" style="2192" customWidth="1"/>
    <col min="14871" max="14873" width="47.33203125" style="2192" customWidth="1"/>
    <col min="14874" max="14874" width="43.6640625" style="2192" customWidth="1"/>
    <col min="14875" max="14877" width="47.33203125" style="2192" customWidth="1"/>
    <col min="14878" max="14878" width="44" style="2192" customWidth="1"/>
    <col min="14879" max="14881" width="47.33203125" style="2192" customWidth="1"/>
    <col min="14882" max="14882" width="43.6640625" style="2192" customWidth="1"/>
    <col min="14883" max="14885" width="47.33203125" style="2192" customWidth="1"/>
    <col min="14886" max="14886" width="43.6640625" style="2192" customWidth="1"/>
    <col min="14887" max="14889" width="47.33203125" style="2192" customWidth="1"/>
    <col min="14890" max="14890" width="43.6640625" style="2192" customWidth="1"/>
    <col min="14891" max="14891" width="193.33203125" style="2192" customWidth="1"/>
    <col min="14892" max="14907" width="56" style="2192" customWidth="1"/>
    <col min="14908" max="14908" width="59" style="2192" customWidth="1"/>
    <col min="14909" max="14909" width="46" style="2192" customWidth="1"/>
    <col min="14910" max="15104" width="9.33203125" style="2192"/>
    <col min="15105" max="15105" width="193.33203125" style="2192" customWidth="1"/>
    <col min="15106" max="15106" width="47.1640625" style="2192" customWidth="1"/>
    <col min="15107" max="15107" width="47.33203125" style="2192" customWidth="1"/>
    <col min="15108" max="15108" width="47.1640625" style="2192" customWidth="1"/>
    <col min="15109" max="15109" width="43.6640625" style="2192" customWidth="1"/>
    <col min="15110" max="15111" width="47.33203125" style="2192" customWidth="1"/>
    <col min="15112" max="15112" width="47.1640625" style="2192" customWidth="1"/>
    <col min="15113" max="15113" width="43.6640625" style="2192" customWidth="1"/>
    <col min="15114" max="15115" width="47.33203125" style="2192" customWidth="1"/>
    <col min="15116" max="15116" width="47.1640625" style="2192" customWidth="1"/>
    <col min="15117" max="15117" width="43.6640625" style="2192" customWidth="1"/>
    <col min="15118" max="15119" width="45" style="2192" customWidth="1"/>
    <col min="15120" max="15120" width="44.83203125" style="2192" customWidth="1"/>
    <col min="15121" max="15121" width="45" style="2192" customWidth="1"/>
    <col min="15122" max="15123" width="47.33203125" style="2192" customWidth="1"/>
    <col min="15124" max="15124" width="47.1640625" style="2192" customWidth="1"/>
    <col min="15125" max="15125" width="43.6640625" style="2192" customWidth="1"/>
    <col min="15126" max="15126" width="193.33203125" style="2192" customWidth="1"/>
    <col min="15127" max="15129" width="47.33203125" style="2192" customWidth="1"/>
    <col min="15130" max="15130" width="43.6640625" style="2192" customWidth="1"/>
    <col min="15131" max="15133" width="47.33203125" style="2192" customWidth="1"/>
    <col min="15134" max="15134" width="44" style="2192" customWidth="1"/>
    <col min="15135" max="15137" width="47.33203125" style="2192" customWidth="1"/>
    <col min="15138" max="15138" width="43.6640625" style="2192" customWidth="1"/>
    <col min="15139" max="15141" width="47.33203125" style="2192" customWidth="1"/>
    <col min="15142" max="15142" width="43.6640625" style="2192" customWidth="1"/>
    <col min="15143" max="15145" width="47.33203125" style="2192" customWidth="1"/>
    <col min="15146" max="15146" width="43.6640625" style="2192" customWidth="1"/>
    <col min="15147" max="15147" width="193.33203125" style="2192" customWidth="1"/>
    <col min="15148" max="15163" width="56" style="2192" customWidth="1"/>
    <col min="15164" max="15164" width="59" style="2192" customWidth="1"/>
    <col min="15165" max="15165" width="46" style="2192" customWidth="1"/>
    <col min="15166" max="15360" width="9.33203125" style="2192"/>
    <col min="15361" max="15361" width="193.33203125" style="2192" customWidth="1"/>
    <col min="15362" max="15362" width="47.1640625" style="2192" customWidth="1"/>
    <col min="15363" max="15363" width="47.33203125" style="2192" customWidth="1"/>
    <col min="15364" max="15364" width="47.1640625" style="2192" customWidth="1"/>
    <col min="15365" max="15365" width="43.6640625" style="2192" customWidth="1"/>
    <col min="15366" max="15367" width="47.33203125" style="2192" customWidth="1"/>
    <col min="15368" max="15368" width="47.1640625" style="2192" customWidth="1"/>
    <col min="15369" max="15369" width="43.6640625" style="2192" customWidth="1"/>
    <col min="15370" max="15371" width="47.33203125" style="2192" customWidth="1"/>
    <col min="15372" max="15372" width="47.1640625" style="2192" customWidth="1"/>
    <col min="15373" max="15373" width="43.6640625" style="2192" customWidth="1"/>
    <col min="15374" max="15375" width="45" style="2192" customWidth="1"/>
    <col min="15376" max="15376" width="44.83203125" style="2192" customWidth="1"/>
    <col min="15377" max="15377" width="45" style="2192" customWidth="1"/>
    <col min="15378" max="15379" width="47.33203125" style="2192" customWidth="1"/>
    <col min="15380" max="15380" width="47.1640625" style="2192" customWidth="1"/>
    <col min="15381" max="15381" width="43.6640625" style="2192" customWidth="1"/>
    <col min="15382" max="15382" width="193.33203125" style="2192" customWidth="1"/>
    <col min="15383" max="15385" width="47.33203125" style="2192" customWidth="1"/>
    <col min="15386" max="15386" width="43.6640625" style="2192" customWidth="1"/>
    <col min="15387" max="15389" width="47.33203125" style="2192" customWidth="1"/>
    <col min="15390" max="15390" width="44" style="2192" customWidth="1"/>
    <col min="15391" max="15393" width="47.33203125" style="2192" customWidth="1"/>
    <col min="15394" max="15394" width="43.6640625" style="2192" customWidth="1"/>
    <col min="15395" max="15397" width="47.33203125" style="2192" customWidth="1"/>
    <col min="15398" max="15398" width="43.6640625" style="2192" customWidth="1"/>
    <col min="15399" max="15401" width="47.33203125" style="2192" customWidth="1"/>
    <col min="15402" max="15402" width="43.6640625" style="2192" customWidth="1"/>
    <col min="15403" max="15403" width="193.33203125" style="2192" customWidth="1"/>
    <col min="15404" max="15419" width="56" style="2192" customWidth="1"/>
    <col min="15420" max="15420" width="59" style="2192" customWidth="1"/>
    <col min="15421" max="15421" width="46" style="2192" customWidth="1"/>
    <col min="15422" max="15616" width="9.33203125" style="2192"/>
    <col min="15617" max="15617" width="193.33203125" style="2192" customWidth="1"/>
    <col min="15618" max="15618" width="47.1640625" style="2192" customWidth="1"/>
    <col min="15619" max="15619" width="47.33203125" style="2192" customWidth="1"/>
    <col min="15620" max="15620" width="47.1640625" style="2192" customWidth="1"/>
    <col min="15621" max="15621" width="43.6640625" style="2192" customWidth="1"/>
    <col min="15622" max="15623" width="47.33203125" style="2192" customWidth="1"/>
    <col min="15624" max="15624" width="47.1640625" style="2192" customWidth="1"/>
    <col min="15625" max="15625" width="43.6640625" style="2192" customWidth="1"/>
    <col min="15626" max="15627" width="47.33203125" style="2192" customWidth="1"/>
    <col min="15628" max="15628" width="47.1640625" style="2192" customWidth="1"/>
    <col min="15629" max="15629" width="43.6640625" style="2192" customWidth="1"/>
    <col min="15630" max="15631" width="45" style="2192" customWidth="1"/>
    <col min="15632" max="15632" width="44.83203125" style="2192" customWidth="1"/>
    <col min="15633" max="15633" width="45" style="2192" customWidth="1"/>
    <col min="15634" max="15635" width="47.33203125" style="2192" customWidth="1"/>
    <col min="15636" max="15636" width="47.1640625" style="2192" customWidth="1"/>
    <col min="15637" max="15637" width="43.6640625" style="2192" customWidth="1"/>
    <col min="15638" max="15638" width="193.33203125" style="2192" customWidth="1"/>
    <col min="15639" max="15641" width="47.33203125" style="2192" customWidth="1"/>
    <col min="15642" max="15642" width="43.6640625" style="2192" customWidth="1"/>
    <col min="15643" max="15645" width="47.33203125" style="2192" customWidth="1"/>
    <col min="15646" max="15646" width="44" style="2192" customWidth="1"/>
    <col min="15647" max="15649" width="47.33203125" style="2192" customWidth="1"/>
    <col min="15650" max="15650" width="43.6640625" style="2192" customWidth="1"/>
    <col min="15651" max="15653" width="47.33203125" style="2192" customWidth="1"/>
    <col min="15654" max="15654" width="43.6640625" style="2192" customWidth="1"/>
    <col min="15655" max="15657" width="47.33203125" style="2192" customWidth="1"/>
    <col min="15658" max="15658" width="43.6640625" style="2192" customWidth="1"/>
    <col min="15659" max="15659" width="193.33203125" style="2192" customWidth="1"/>
    <col min="15660" max="15675" width="56" style="2192" customWidth="1"/>
    <col min="15676" max="15676" width="59" style="2192" customWidth="1"/>
    <col min="15677" max="15677" width="46" style="2192" customWidth="1"/>
    <col min="15678" max="15872" width="9.33203125" style="2192"/>
    <col min="15873" max="15873" width="193.33203125" style="2192" customWidth="1"/>
    <col min="15874" max="15874" width="47.1640625" style="2192" customWidth="1"/>
    <col min="15875" max="15875" width="47.33203125" style="2192" customWidth="1"/>
    <col min="15876" max="15876" width="47.1640625" style="2192" customWidth="1"/>
    <col min="15877" max="15877" width="43.6640625" style="2192" customWidth="1"/>
    <col min="15878" max="15879" width="47.33203125" style="2192" customWidth="1"/>
    <col min="15880" max="15880" width="47.1640625" style="2192" customWidth="1"/>
    <col min="15881" max="15881" width="43.6640625" style="2192" customWidth="1"/>
    <col min="15882" max="15883" width="47.33203125" style="2192" customWidth="1"/>
    <col min="15884" max="15884" width="47.1640625" style="2192" customWidth="1"/>
    <col min="15885" max="15885" width="43.6640625" style="2192" customWidth="1"/>
    <col min="15886" max="15887" width="45" style="2192" customWidth="1"/>
    <col min="15888" max="15888" width="44.83203125" style="2192" customWidth="1"/>
    <col min="15889" max="15889" width="45" style="2192" customWidth="1"/>
    <col min="15890" max="15891" width="47.33203125" style="2192" customWidth="1"/>
    <col min="15892" max="15892" width="47.1640625" style="2192" customWidth="1"/>
    <col min="15893" max="15893" width="43.6640625" style="2192" customWidth="1"/>
    <col min="15894" max="15894" width="193.33203125" style="2192" customWidth="1"/>
    <col min="15895" max="15897" width="47.33203125" style="2192" customWidth="1"/>
    <col min="15898" max="15898" width="43.6640625" style="2192" customWidth="1"/>
    <col min="15899" max="15901" width="47.33203125" style="2192" customWidth="1"/>
    <col min="15902" max="15902" width="44" style="2192" customWidth="1"/>
    <col min="15903" max="15905" width="47.33203125" style="2192" customWidth="1"/>
    <col min="15906" max="15906" width="43.6640625" style="2192" customWidth="1"/>
    <col min="15907" max="15909" width="47.33203125" style="2192" customWidth="1"/>
    <col min="15910" max="15910" width="43.6640625" style="2192" customWidth="1"/>
    <col min="15911" max="15913" width="47.33203125" style="2192" customWidth="1"/>
    <col min="15914" max="15914" width="43.6640625" style="2192" customWidth="1"/>
    <col min="15915" max="15915" width="193.33203125" style="2192" customWidth="1"/>
    <col min="15916" max="15931" width="56" style="2192" customWidth="1"/>
    <col min="15932" max="15932" width="59" style="2192" customWidth="1"/>
    <col min="15933" max="15933" width="46" style="2192" customWidth="1"/>
    <col min="15934" max="16128" width="9.33203125" style="2192"/>
    <col min="16129" max="16129" width="193.33203125" style="2192" customWidth="1"/>
    <col min="16130" max="16130" width="47.1640625" style="2192" customWidth="1"/>
    <col min="16131" max="16131" width="47.33203125" style="2192" customWidth="1"/>
    <col min="16132" max="16132" width="47.1640625" style="2192" customWidth="1"/>
    <col min="16133" max="16133" width="43.6640625" style="2192" customWidth="1"/>
    <col min="16134" max="16135" width="47.33203125" style="2192" customWidth="1"/>
    <col min="16136" max="16136" width="47.1640625" style="2192" customWidth="1"/>
    <col min="16137" max="16137" width="43.6640625" style="2192" customWidth="1"/>
    <col min="16138" max="16139" width="47.33203125" style="2192" customWidth="1"/>
    <col min="16140" max="16140" width="47.1640625" style="2192" customWidth="1"/>
    <col min="16141" max="16141" width="43.6640625" style="2192" customWidth="1"/>
    <col min="16142" max="16143" width="45" style="2192" customWidth="1"/>
    <col min="16144" max="16144" width="44.83203125" style="2192" customWidth="1"/>
    <col min="16145" max="16145" width="45" style="2192" customWidth="1"/>
    <col min="16146" max="16147" width="47.33203125" style="2192" customWidth="1"/>
    <col min="16148" max="16148" width="47.1640625" style="2192" customWidth="1"/>
    <col min="16149" max="16149" width="43.6640625" style="2192" customWidth="1"/>
    <col min="16150" max="16150" width="193.33203125" style="2192" customWidth="1"/>
    <col min="16151" max="16153" width="47.33203125" style="2192" customWidth="1"/>
    <col min="16154" max="16154" width="43.6640625" style="2192" customWidth="1"/>
    <col min="16155" max="16157" width="47.33203125" style="2192" customWidth="1"/>
    <col min="16158" max="16158" width="44" style="2192" customWidth="1"/>
    <col min="16159" max="16161" width="47.33203125" style="2192" customWidth="1"/>
    <col min="16162" max="16162" width="43.6640625" style="2192" customWidth="1"/>
    <col min="16163" max="16165" width="47.33203125" style="2192" customWidth="1"/>
    <col min="16166" max="16166" width="43.6640625" style="2192" customWidth="1"/>
    <col min="16167" max="16169" width="47.33203125" style="2192" customWidth="1"/>
    <col min="16170" max="16170" width="43.6640625" style="2192" customWidth="1"/>
    <col min="16171" max="16171" width="193.33203125" style="2192" customWidth="1"/>
    <col min="16172" max="16187" width="56" style="2192" customWidth="1"/>
    <col min="16188" max="16188" width="59" style="2192" customWidth="1"/>
    <col min="16189" max="16189" width="46" style="2192" customWidth="1"/>
    <col min="16190" max="16384" width="9.33203125" style="2192"/>
  </cols>
  <sheetData>
    <row r="1" spans="1:67" ht="51.75" customHeight="1" x14ac:dyDescent="0.6"/>
    <row r="2" spans="1:67" ht="51.75" customHeight="1" x14ac:dyDescent="0.6"/>
    <row r="3" spans="1:67" s="2193" customFormat="1" ht="54" customHeight="1" x14ac:dyDescent="0.75">
      <c r="A3" s="2637" t="s">
        <v>722</v>
      </c>
      <c r="B3" s="2637"/>
      <c r="C3" s="2637"/>
      <c r="D3" s="2637"/>
      <c r="E3" s="2637"/>
      <c r="F3" s="2637"/>
      <c r="G3" s="2637"/>
      <c r="H3" s="2637"/>
      <c r="I3" s="2637"/>
      <c r="J3" s="2637"/>
      <c r="K3" s="2637"/>
      <c r="L3" s="2637"/>
      <c r="M3" s="2637"/>
      <c r="N3" s="2637"/>
      <c r="O3" s="2637"/>
      <c r="P3" s="2637"/>
      <c r="Q3" s="2637"/>
      <c r="R3" s="2637"/>
      <c r="S3" s="2637"/>
      <c r="T3" s="2637"/>
      <c r="U3" s="2637"/>
      <c r="V3" s="2638" t="s">
        <v>722</v>
      </c>
      <c r="W3" s="2638"/>
      <c r="X3" s="2638"/>
      <c r="Y3" s="2638"/>
      <c r="Z3" s="2638"/>
      <c r="AA3" s="2638"/>
      <c r="AB3" s="2638"/>
      <c r="AC3" s="2638"/>
      <c r="AD3" s="2638"/>
      <c r="AE3" s="2638"/>
      <c r="AF3" s="2638"/>
      <c r="AG3" s="2638"/>
      <c r="AH3" s="2638"/>
      <c r="AI3" s="2638"/>
      <c r="AJ3" s="2638"/>
      <c r="AK3" s="2638"/>
      <c r="AL3" s="2638"/>
      <c r="AM3" s="2638"/>
      <c r="AN3" s="2638"/>
      <c r="AO3" s="2638"/>
      <c r="AP3" s="2638"/>
      <c r="AQ3" s="2638" t="s">
        <v>722</v>
      </c>
      <c r="AR3" s="2638"/>
      <c r="AS3" s="2638"/>
      <c r="AT3" s="2638"/>
      <c r="AU3" s="2638"/>
      <c r="AV3" s="2638"/>
      <c r="AW3" s="2638"/>
      <c r="AX3" s="2638"/>
      <c r="AY3" s="2638"/>
      <c r="AZ3" s="2638"/>
      <c r="BA3" s="2638"/>
      <c r="BB3" s="2638"/>
      <c r="BC3" s="2638"/>
      <c r="BD3" s="2638"/>
      <c r="BE3" s="2638"/>
      <c r="BF3" s="2638"/>
      <c r="BG3" s="2638"/>
      <c r="BH3" s="2638"/>
      <c r="BI3" s="2638"/>
      <c r="BJ3" s="2638"/>
      <c r="BK3" s="2638"/>
      <c r="BL3" s="2638"/>
      <c r="BM3" s="2638"/>
      <c r="BN3" s="2638"/>
      <c r="BO3" s="2638"/>
    </row>
    <row r="4" spans="1:67" s="2193" customFormat="1" ht="54" customHeight="1" x14ac:dyDescent="0.75">
      <c r="A4" s="2637" t="s">
        <v>1403</v>
      </c>
      <c r="B4" s="2637"/>
      <c r="C4" s="2637"/>
      <c r="D4" s="2637"/>
      <c r="E4" s="2637"/>
      <c r="F4" s="2637"/>
      <c r="G4" s="2637"/>
      <c r="H4" s="2637"/>
      <c r="I4" s="2637"/>
      <c r="J4" s="2637"/>
      <c r="K4" s="2637"/>
      <c r="L4" s="2637"/>
      <c r="M4" s="2637"/>
      <c r="N4" s="2637"/>
      <c r="O4" s="2637"/>
      <c r="P4" s="2637"/>
      <c r="Q4" s="2637"/>
      <c r="R4" s="2637"/>
      <c r="S4" s="2637"/>
      <c r="T4" s="2637"/>
      <c r="U4" s="2637"/>
      <c r="V4" s="2639" t="s">
        <v>1403</v>
      </c>
      <c r="W4" s="2639"/>
      <c r="X4" s="2639"/>
      <c r="Y4" s="2639"/>
      <c r="Z4" s="2639"/>
      <c r="AA4" s="2639"/>
      <c r="AB4" s="2639"/>
      <c r="AC4" s="2639"/>
      <c r="AD4" s="2639"/>
      <c r="AE4" s="2639"/>
      <c r="AF4" s="2639"/>
      <c r="AG4" s="2639"/>
      <c r="AH4" s="2639"/>
      <c r="AI4" s="2639"/>
      <c r="AJ4" s="2639"/>
      <c r="AK4" s="2639"/>
      <c r="AL4" s="2639"/>
      <c r="AM4" s="2639"/>
      <c r="AN4" s="2639"/>
      <c r="AO4" s="2639"/>
      <c r="AP4" s="2639"/>
      <c r="AQ4" s="2638" t="s">
        <v>1403</v>
      </c>
      <c r="AR4" s="2638"/>
      <c r="AS4" s="2638"/>
      <c r="AT4" s="2638"/>
      <c r="AU4" s="2638"/>
      <c r="AV4" s="2638"/>
      <c r="AW4" s="2638"/>
      <c r="AX4" s="2638"/>
      <c r="AY4" s="2638"/>
      <c r="AZ4" s="2638"/>
      <c r="BA4" s="2638"/>
      <c r="BB4" s="2638"/>
      <c r="BC4" s="2638"/>
      <c r="BD4" s="2638"/>
      <c r="BE4" s="2638"/>
      <c r="BF4" s="2638"/>
      <c r="BG4" s="2638"/>
      <c r="BH4" s="2638"/>
      <c r="BI4" s="2638"/>
      <c r="BJ4" s="2638"/>
      <c r="BK4" s="2638"/>
      <c r="BL4" s="2638"/>
      <c r="BM4" s="2638"/>
      <c r="BN4" s="2638"/>
      <c r="BO4" s="2638"/>
    </row>
    <row r="5" spans="1:67" ht="42.75" customHeight="1" thickBot="1" x14ac:dyDescent="0.65"/>
    <row r="6" spans="1:67" s="2195" customFormat="1" ht="54.75" customHeight="1" thickBot="1" x14ac:dyDescent="0.65">
      <c r="A6" s="2194"/>
      <c r="B6" s="2625" t="s">
        <v>1404</v>
      </c>
      <c r="C6" s="2626"/>
      <c r="D6" s="2626"/>
      <c r="E6" s="2627"/>
      <c r="F6" s="2616" t="s">
        <v>736</v>
      </c>
      <c r="G6" s="2617"/>
      <c r="H6" s="2617"/>
      <c r="I6" s="2618"/>
      <c r="J6" s="2625" t="s">
        <v>1405</v>
      </c>
      <c r="K6" s="2626"/>
      <c r="L6" s="2626"/>
      <c r="M6" s="2627"/>
      <c r="N6" s="2625" t="s">
        <v>150</v>
      </c>
      <c r="O6" s="2626"/>
      <c r="P6" s="2626"/>
      <c r="Q6" s="2627"/>
      <c r="R6" s="2616" t="s">
        <v>751</v>
      </c>
      <c r="S6" s="2617"/>
      <c r="T6" s="2617"/>
      <c r="U6" s="2618"/>
      <c r="V6" s="2194"/>
      <c r="W6" s="2625" t="s">
        <v>290</v>
      </c>
      <c r="X6" s="2626"/>
      <c r="Y6" s="2626"/>
      <c r="Z6" s="2627"/>
      <c r="AA6" s="2616" t="s">
        <v>283</v>
      </c>
      <c r="AB6" s="2617"/>
      <c r="AC6" s="2617"/>
      <c r="AD6" s="2618"/>
      <c r="AE6" s="2625" t="s">
        <v>760</v>
      </c>
      <c r="AF6" s="2626"/>
      <c r="AG6" s="2626"/>
      <c r="AH6" s="2627"/>
      <c r="AI6" s="2616" t="s">
        <v>763</v>
      </c>
      <c r="AJ6" s="2617"/>
      <c r="AK6" s="2617"/>
      <c r="AL6" s="2618"/>
      <c r="AM6" s="2631" t="s">
        <v>1406</v>
      </c>
      <c r="AN6" s="2632"/>
      <c r="AO6" s="2632"/>
      <c r="AP6" s="2633"/>
      <c r="AQ6" s="2194"/>
      <c r="AR6" s="2622" t="s">
        <v>1407</v>
      </c>
      <c r="AS6" s="2623"/>
      <c r="AT6" s="2623"/>
      <c r="AU6" s="2623"/>
      <c r="AV6" s="2623"/>
      <c r="AW6" s="2623"/>
      <c r="AX6" s="2623"/>
      <c r="AY6" s="2624"/>
      <c r="AZ6" s="2616" t="s">
        <v>1408</v>
      </c>
      <c r="BA6" s="2617"/>
      <c r="BB6" s="2617"/>
      <c r="BC6" s="2618"/>
      <c r="BD6" s="2625" t="s">
        <v>1409</v>
      </c>
      <c r="BE6" s="2626"/>
      <c r="BF6" s="2626"/>
      <c r="BG6" s="2627"/>
    </row>
    <row r="7" spans="1:67" s="2198" customFormat="1" ht="54.75" customHeight="1" thickBot="1" x14ac:dyDescent="0.65">
      <c r="A7" s="2196" t="s">
        <v>1410</v>
      </c>
      <c r="B7" s="2628"/>
      <c r="C7" s="2629"/>
      <c r="D7" s="2629"/>
      <c r="E7" s="2630"/>
      <c r="F7" s="2619"/>
      <c r="G7" s="2620"/>
      <c r="H7" s="2620"/>
      <c r="I7" s="2621"/>
      <c r="J7" s="2628"/>
      <c r="K7" s="2629"/>
      <c r="L7" s="2629"/>
      <c r="M7" s="2630"/>
      <c r="N7" s="2628"/>
      <c r="O7" s="2629"/>
      <c r="P7" s="2629"/>
      <c r="Q7" s="2630"/>
      <c r="R7" s="2619"/>
      <c r="S7" s="2620"/>
      <c r="T7" s="2620"/>
      <c r="U7" s="2621"/>
      <c r="V7" s="2196" t="s">
        <v>1410</v>
      </c>
      <c r="W7" s="2628"/>
      <c r="X7" s="2629"/>
      <c r="Y7" s="2629"/>
      <c r="Z7" s="2630"/>
      <c r="AA7" s="2619"/>
      <c r="AB7" s="2620"/>
      <c r="AC7" s="2620"/>
      <c r="AD7" s="2621"/>
      <c r="AE7" s="2628"/>
      <c r="AF7" s="2629"/>
      <c r="AG7" s="2629"/>
      <c r="AH7" s="2630"/>
      <c r="AI7" s="2619"/>
      <c r="AJ7" s="2620"/>
      <c r="AK7" s="2620"/>
      <c r="AL7" s="2621"/>
      <c r="AM7" s="2634"/>
      <c r="AN7" s="2635"/>
      <c r="AO7" s="2635"/>
      <c r="AP7" s="2636"/>
      <c r="AQ7" s="2196" t="s">
        <v>1410</v>
      </c>
      <c r="AR7" s="2622" t="s">
        <v>1411</v>
      </c>
      <c r="AS7" s="2623"/>
      <c r="AT7" s="2623"/>
      <c r="AU7" s="2624"/>
      <c r="AV7" s="2622" t="s">
        <v>1412</v>
      </c>
      <c r="AW7" s="2623"/>
      <c r="AX7" s="2623"/>
      <c r="AY7" s="2624"/>
      <c r="AZ7" s="2619"/>
      <c r="BA7" s="2620"/>
      <c r="BB7" s="2620"/>
      <c r="BC7" s="2621"/>
      <c r="BD7" s="2628"/>
      <c r="BE7" s="2629"/>
      <c r="BF7" s="2629"/>
      <c r="BG7" s="2630"/>
      <c r="BH7" s="2197"/>
    </row>
    <row r="8" spans="1:67" s="2195" customFormat="1" ht="141.75" customHeight="1" thickBot="1" x14ac:dyDescent="0.65">
      <c r="A8" s="2199">
        <v>2018</v>
      </c>
      <c r="B8" s="2200" t="s">
        <v>1413</v>
      </c>
      <c r="C8" s="2200" t="s">
        <v>1414</v>
      </c>
      <c r="D8" s="2200" t="s">
        <v>166</v>
      </c>
      <c r="E8" s="2200" t="s">
        <v>1415</v>
      </c>
      <c r="F8" s="2200" t="s">
        <v>1413</v>
      </c>
      <c r="G8" s="2200" t="s">
        <v>1416</v>
      </c>
      <c r="H8" s="2200" t="s">
        <v>166</v>
      </c>
      <c r="I8" s="2200" t="s">
        <v>1415</v>
      </c>
      <c r="J8" s="2200" t="s">
        <v>1413</v>
      </c>
      <c r="K8" s="2200" t="s">
        <v>1417</v>
      </c>
      <c r="L8" s="2200" t="s">
        <v>166</v>
      </c>
      <c r="M8" s="2200" t="s">
        <v>1415</v>
      </c>
      <c r="N8" s="2200" t="s">
        <v>1413</v>
      </c>
      <c r="O8" s="2200" t="s">
        <v>1418</v>
      </c>
      <c r="P8" s="2200" t="s">
        <v>166</v>
      </c>
      <c r="Q8" s="2200" t="s">
        <v>1415</v>
      </c>
      <c r="R8" s="2200" t="s">
        <v>1413</v>
      </c>
      <c r="S8" s="2200" t="s">
        <v>1418</v>
      </c>
      <c r="T8" s="2200" t="s">
        <v>166</v>
      </c>
      <c r="U8" s="2200" t="s">
        <v>1415</v>
      </c>
      <c r="V8" s="2199">
        <v>2018</v>
      </c>
      <c r="W8" s="2200" t="s">
        <v>1413</v>
      </c>
      <c r="X8" s="2200" t="s">
        <v>1419</v>
      </c>
      <c r="Y8" s="2200" t="s">
        <v>166</v>
      </c>
      <c r="Z8" s="2200" t="s">
        <v>1415</v>
      </c>
      <c r="AA8" s="2200" t="s">
        <v>1413</v>
      </c>
      <c r="AB8" s="2200" t="s">
        <v>1420</v>
      </c>
      <c r="AC8" s="2200" t="s">
        <v>166</v>
      </c>
      <c r="AD8" s="2200" t="s">
        <v>1415</v>
      </c>
      <c r="AE8" s="2200" t="s">
        <v>1413</v>
      </c>
      <c r="AF8" s="2200" t="s">
        <v>1418</v>
      </c>
      <c r="AG8" s="2200" t="s">
        <v>166</v>
      </c>
      <c r="AH8" s="2200" t="s">
        <v>1415</v>
      </c>
      <c r="AI8" s="2200" t="s">
        <v>1413</v>
      </c>
      <c r="AJ8" s="2200" t="s">
        <v>1418</v>
      </c>
      <c r="AK8" s="2200" t="s">
        <v>166</v>
      </c>
      <c r="AL8" s="2200" t="s">
        <v>1415</v>
      </c>
      <c r="AM8" s="2200" t="s">
        <v>1413</v>
      </c>
      <c r="AN8" s="2200" t="s">
        <v>1421</v>
      </c>
      <c r="AO8" s="2200" t="s">
        <v>166</v>
      </c>
      <c r="AP8" s="2200" t="s">
        <v>1415</v>
      </c>
      <c r="AQ8" s="2199">
        <v>2018</v>
      </c>
      <c r="AR8" s="2200" t="s">
        <v>1413</v>
      </c>
      <c r="AS8" s="2200" t="s">
        <v>1418</v>
      </c>
      <c r="AT8" s="2200" t="s">
        <v>166</v>
      </c>
      <c r="AU8" s="2200" t="s">
        <v>1415</v>
      </c>
      <c r="AV8" s="2200" t="s">
        <v>1413</v>
      </c>
      <c r="AW8" s="2200" t="s">
        <v>1418</v>
      </c>
      <c r="AX8" s="2200" t="s">
        <v>166</v>
      </c>
      <c r="AY8" s="2200" t="s">
        <v>1415</v>
      </c>
      <c r="AZ8" s="2200" t="s">
        <v>1413</v>
      </c>
      <c r="BA8" s="2200" t="s">
        <v>1418</v>
      </c>
      <c r="BB8" s="2200" t="s">
        <v>166</v>
      </c>
      <c r="BC8" s="2200" t="s">
        <v>1415</v>
      </c>
      <c r="BD8" s="2200" t="s">
        <v>1413</v>
      </c>
      <c r="BE8" s="2200" t="s">
        <v>1418</v>
      </c>
      <c r="BF8" s="2200" t="s">
        <v>166</v>
      </c>
      <c r="BG8" s="2200" t="s">
        <v>1415</v>
      </c>
      <c r="BH8" s="2195" t="s">
        <v>1422</v>
      </c>
      <c r="BI8" s="2195" t="s">
        <v>164</v>
      </c>
    </row>
    <row r="9" spans="1:67" s="2204" customFormat="1" ht="45.75" customHeight="1" x14ac:dyDescent="0.6">
      <c r="A9" s="2201" t="s">
        <v>1423</v>
      </c>
      <c r="B9" s="2202"/>
      <c r="C9" s="2202"/>
      <c r="D9" s="2202"/>
      <c r="E9" s="2202"/>
      <c r="F9" s="2202"/>
      <c r="G9" s="2202"/>
      <c r="H9" s="2202"/>
      <c r="I9" s="2202"/>
      <c r="J9" s="2202"/>
      <c r="K9" s="2202"/>
      <c r="L9" s="2202"/>
      <c r="M9" s="2202"/>
      <c r="N9" s="2202"/>
      <c r="O9" s="2202"/>
      <c r="P9" s="2202"/>
      <c r="Q9" s="2202"/>
      <c r="R9" s="2202"/>
      <c r="S9" s="2202"/>
      <c r="T9" s="2202"/>
      <c r="U9" s="2202"/>
      <c r="V9" s="2201" t="s">
        <v>1423</v>
      </c>
      <c r="W9" s="2202"/>
      <c r="X9" s="2202"/>
      <c r="Y9" s="2202"/>
      <c r="Z9" s="2202"/>
      <c r="AA9" s="2202"/>
      <c r="AB9" s="2202"/>
      <c r="AC9" s="2202"/>
      <c r="AD9" s="2202"/>
      <c r="AE9" s="2202"/>
      <c r="AF9" s="2202"/>
      <c r="AG9" s="2202"/>
      <c r="AH9" s="2202"/>
      <c r="AI9" s="2202"/>
      <c r="AJ9" s="2202"/>
      <c r="AK9" s="2202"/>
      <c r="AL9" s="2202"/>
      <c r="AM9" s="2201"/>
      <c r="AN9" s="2201"/>
      <c r="AO9" s="2201"/>
      <c r="AP9" s="2201"/>
      <c r="AQ9" s="2201" t="s">
        <v>1423</v>
      </c>
      <c r="AR9" s="2201"/>
      <c r="AS9" s="2201"/>
      <c r="AT9" s="2201"/>
      <c r="AU9" s="2201"/>
      <c r="AV9" s="2201"/>
      <c r="AW9" s="2201"/>
      <c r="AX9" s="2201"/>
      <c r="AY9" s="2201"/>
      <c r="AZ9" s="2201"/>
      <c r="BA9" s="2201"/>
      <c r="BB9" s="2203"/>
      <c r="BC9" s="2203"/>
      <c r="BD9" s="2203"/>
      <c r="BE9" s="2203"/>
      <c r="BF9" s="2202"/>
      <c r="BG9" s="2202"/>
    </row>
    <row r="10" spans="1:67" ht="57" customHeight="1" x14ac:dyDescent="0.6">
      <c r="A10" s="2205" t="s">
        <v>1307</v>
      </c>
      <c r="B10" s="2291">
        <f>[4]int.bevételek2018!B9</f>
        <v>1813</v>
      </c>
      <c r="C10" s="2291">
        <f>'[5]int.bevételek RM V'!D10</f>
        <v>2058</v>
      </c>
      <c r="D10" s="2291">
        <v>2056</v>
      </c>
      <c r="E10" s="2292">
        <f t="shared" ref="E10:E30" si="0">D10/C10</f>
        <v>0.99902818270165206</v>
      </c>
      <c r="F10" s="2291">
        <f>[4]int.bevételek2018!C9</f>
        <v>0</v>
      </c>
      <c r="G10" s="2291">
        <f>'[5]int.bevételek RM V'!G10</f>
        <v>24</v>
      </c>
      <c r="H10" s="2291">
        <v>23</v>
      </c>
      <c r="I10" s="2292">
        <f>H10/G10</f>
        <v>0.95833333333333337</v>
      </c>
      <c r="J10" s="2291">
        <f>[4]int.bevételek2018!D9</f>
        <v>0</v>
      </c>
      <c r="K10" s="2291">
        <f>'[5]int.bevételek RM V'!J10</f>
        <v>0</v>
      </c>
      <c r="L10" s="2291"/>
      <c r="M10" s="2292"/>
      <c r="N10" s="2291">
        <f>[4]int.bevételek2018!E9</f>
        <v>0</v>
      </c>
      <c r="O10" s="2291">
        <f>'[5]int.bevételek RM V'!M10</f>
        <v>0</v>
      </c>
      <c r="P10" s="2291"/>
      <c r="Q10" s="2292"/>
      <c r="R10" s="2291">
        <f t="shared" ref="R10:T27" si="1">B10+F10+J10+N10</f>
        <v>1813</v>
      </c>
      <c r="S10" s="2291">
        <f t="shared" si="1"/>
        <v>2082</v>
      </c>
      <c r="T10" s="2291">
        <f t="shared" si="1"/>
        <v>2079</v>
      </c>
      <c r="U10" s="2292">
        <f t="shared" ref="U10:U30" si="2">T10/S10</f>
        <v>0.99855907780979825</v>
      </c>
      <c r="V10" s="2293" t="s">
        <v>1307</v>
      </c>
      <c r="W10" s="2291">
        <f>[4]int.bevételek2018!H9</f>
        <v>0</v>
      </c>
      <c r="X10" s="2291">
        <f>'[5]int.bevételek RM V'!T10</f>
        <v>0</v>
      </c>
      <c r="Y10" s="2291"/>
      <c r="Z10" s="2292"/>
      <c r="AA10" s="2291">
        <f>[4]int.bevételek2018!I9</f>
        <v>0</v>
      </c>
      <c r="AB10" s="2291">
        <f>'[5]int.bevételek RM V'!W10</f>
        <v>0</v>
      </c>
      <c r="AC10" s="2291"/>
      <c r="AD10" s="2292"/>
      <c r="AE10" s="2291">
        <f>[4]int.bevételek2018!J9</f>
        <v>0</v>
      </c>
      <c r="AF10" s="2291">
        <f>'[5]int.bevételek RM V'!Z10</f>
        <v>0</v>
      </c>
      <c r="AG10" s="2291"/>
      <c r="AH10" s="2292"/>
      <c r="AI10" s="2291">
        <f t="shared" ref="AI10:AK27" si="3">W10+AA10+AE10</f>
        <v>0</v>
      </c>
      <c r="AJ10" s="2291">
        <f t="shared" si="3"/>
        <v>0</v>
      </c>
      <c r="AK10" s="2291">
        <f t="shared" si="3"/>
        <v>0</v>
      </c>
      <c r="AL10" s="2292"/>
      <c r="AM10" s="2291"/>
      <c r="AN10" s="2291">
        <f>'[5]int.bevételek RM V'!AJ10</f>
        <v>345</v>
      </c>
      <c r="AO10" s="2291">
        <v>345</v>
      </c>
      <c r="AP10" s="2292">
        <f t="shared" ref="AP10:AP30" si="4">AO10/AN10</f>
        <v>1</v>
      </c>
      <c r="AQ10" s="2293" t="s">
        <v>1307</v>
      </c>
      <c r="AR10" s="2291">
        <f>[4]int.bevételek2018!L9</f>
        <v>145593</v>
      </c>
      <c r="AS10" s="2291">
        <f>'[5]int.bevételek RM V'!AM10</f>
        <v>145490</v>
      </c>
      <c r="AT10" s="2291">
        <v>139167</v>
      </c>
      <c r="AU10" s="2292">
        <f t="shared" ref="AU10:AU30" si="5">AT10/AS10</f>
        <v>0.95653996838270672</v>
      </c>
      <c r="AV10" s="2291">
        <f>[4]int.bevételek2018!M9</f>
        <v>0</v>
      </c>
      <c r="AW10" s="2291">
        <f>'[5]int.bevételek RM V'!AP10</f>
        <v>6951</v>
      </c>
      <c r="AX10" s="2291">
        <v>550</v>
      </c>
      <c r="AY10" s="2292">
        <f t="shared" ref="AY10:AY26" si="6">AX10/AW10</f>
        <v>7.9125305711408425E-2</v>
      </c>
      <c r="AZ10" s="2291">
        <f t="shared" ref="AZ10:BB27" si="7">AR10+AV10</f>
        <v>145593</v>
      </c>
      <c r="BA10" s="2291">
        <f t="shared" si="7"/>
        <v>152441</v>
      </c>
      <c r="BB10" s="2291">
        <f t="shared" si="7"/>
        <v>139717</v>
      </c>
      <c r="BC10" s="2292">
        <f t="shared" ref="BC10:BC30" si="8">BB10/BA10</f>
        <v>0.91653164174992297</v>
      </c>
      <c r="BD10" s="2291">
        <f t="shared" ref="BD10:BF27" si="9">R10+AI10+AM10+AZ10</f>
        <v>147406</v>
      </c>
      <c r="BE10" s="2291">
        <f t="shared" si="9"/>
        <v>154868</v>
      </c>
      <c r="BF10" s="2291">
        <f t="shared" si="9"/>
        <v>142141</v>
      </c>
      <c r="BG10" s="2292">
        <f t="shared" ref="BG10:BG30" si="10">BF10/BE10</f>
        <v>0.91782033731952373</v>
      </c>
      <c r="BH10" s="2192">
        <f>'[6]éves besz.kiadásai2018'!AQ10-'4 int bevétel'!AK10-AX10</f>
        <v>0</v>
      </c>
      <c r="BI10" s="2192">
        <f>'[6]éves besz.kiadásai2018'!AP10-'4 int bevétel'!AJ10-AW10</f>
        <v>0</v>
      </c>
    </row>
    <row r="11" spans="1:67" ht="57" customHeight="1" x14ac:dyDescent="0.6">
      <c r="A11" s="2205" t="s">
        <v>1308</v>
      </c>
      <c r="B11" s="2291">
        <f>[4]int.bevételek2018!B10</f>
        <v>1301</v>
      </c>
      <c r="C11" s="2291">
        <f>'[5]int.bevételek RM V'!D11</f>
        <v>1637</v>
      </c>
      <c r="D11" s="2291">
        <v>1635</v>
      </c>
      <c r="E11" s="2292">
        <f t="shared" si="0"/>
        <v>0.99877825290164934</v>
      </c>
      <c r="F11" s="2291">
        <f>[4]int.bevételek2018!C10</f>
        <v>0</v>
      </c>
      <c r="G11" s="2291">
        <f>'[5]int.bevételek RM V'!G11</f>
        <v>0</v>
      </c>
      <c r="H11" s="2291"/>
      <c r="I11" s="2292"/>
      <c r="J11" s="2291">
        <f>[4]int.bevételek2018!D10</f>
        <v>0</v>
      </c>
      <c r="K11" s="2291">
        <f>'[5]int.bevételek RM V'!J11</f>
        <v>0</v>
      </c>
      <c r="L11" s="2291"/>
      <c r="M11" s="2292"/>
      <c r="N11" s="2291">
        <f>[4]int.bevételek2018!E10</f>
        <v>0</v>
      </c>
      <c r="O11" s="2291">
        <f>'[5]int.bevételek RM V'!M11</f>
        <v>0</v>
      </c>
      <c r="P11" s="2291"/>
      <c r="Q11" s="2292"/>
      <c r="R11" s="2291">
        <f t="shared" si="1"/>
        <v>1301</v>
      </c>
      <c r="S11" s="2291">
        <f t="shared" si="1"/>
        <v>1637</v>
      </c>
      <c r="T11" s="2291">
        <f t="shared" si="1"/>
        <v>1635</v>
      </c>
      <c r="U11" s="2292">
        <f t="shared" si="2"/>
        <v>0.99877825290164934</v>
      </c>
      <c r="V11" s="2293" t="s">
        <v>1308</v>
      </c>
      <c r="W11" s="2291">
        <f>[4]int.bevételek2018!H10</f>
        <v>0</v>
      </c>
      <c r="X11" s="2291">
        <f>'[5]int.bevételek RM V'!T11</f>
        <v>0</v>
      </c>
      <c r="Y11" s="2291"/>
      <c r="Z11" s="2292"/>
      <c r="AA11" s="2291">
        <f>[4]int.bevételek2018!I10</f>
        <v>0</v>
      </c>
      <c r="AB11" s="2291">
        <f>'[5]int.bevételek RM V'!W11</f>
        <v>0</v>
      </c>
      <c r="AC11" s="2291"/>
      <c r="AD11" s="2292"/>
      <c r="AE11" s="2291">
        <f>[4]int.bevételek2018!J10</f>
        <v>0</v>
      </c>
      <c r="AF11" s="2291">
        <f>'[5]int.bevételek RM V'!Z11</f>
        <v>0</v>
      </c>
      <c r="AG11" s="2291"/>
      <c r="AH11" s="2292"/>
      <c r="AI11" s="2291">
        <f t="shared" si="3"/>
        <v>0</v>
      </c>
      <c r="AJ11" s="2291">
        <f t="shared" si="3"/>
        <v>0</v>
      </c>
      <c r="AK11" s="2291">
        <f t="shared" si="3"/>
        <v>0</v>
      </c>
      <c r="AL11" s="2292"/>
      <c r="AM11" s="2291"/>
      <c r="AN11" s="2291">
        <f>'[5]int.bevételek RM V'!AJ11</f>
        <v>158</v>
      </c>
      <c r="AO11" s="2291">
        <v>158</v>
      </c>
      <c r="AP11" s="2292">
        <f t="shared" si="4"/>
        <v>1</v>
      </c>
      <c r="AQ11" s="2293" t="s">
        <v>1308</v>
      </c>
      <c r="AR11" s="2291">
        <f>[4]int.bevételek2018!L10</f>
        <v>96589</v>
      </c>
      <c r="AS11" s="2291">
        <f>'[5]int.bevételek RM V'!AM11</f>
        <v>98336</v>
      </c>
      <c r="AT11" s="2291">
        <v>97728</v>
      </c>
      <c r="AU11" s="2292">
        <f t="shared" si="5"/>
        <v>0.99381711682395057</v>
      </c>
      <c r="AV11" s="2291">
        <f>[4]int.bevételek2018!M10</f>
        <v>0</v>
      </c>
      <c r="AW11" s="2291">
        <f>'[5]int.bevételek RM V'!AP11</f>
        <v>5825</v>
      </c>
      <c r="AX11" s="2291">
        <v>5824</v>
      </c>
      <c r="AY11" s="2292">
        <f t="shared" si="6"/>
        <v>0.99982832618025752</v>
      </c>
      <c r="AZ11" s="2291">
        <f t="shared" si="7"/>
        <v>96589</v>
      </c>
      <c r="BA11" s="2291">
        <f t="shared" si="7"/>
        <v>104161</v>
      </c>
      <c r="BB11" s="2291">
        <f t="shared" si="7"/>
        <v>103552</v>
      </c>
      <c r="BC11" s="2292">
        <f t="shared" si="8"/>
        <v>0.99415328193853747</v>
      </c>
      <c r="BD11" s="2291">
        <f t="shared" si="9"/>
        <v>97890</v>
      </c>
      <c r="BE11" s="2291">
        <f t="shared" si="9"/>
        <v>105956</v>
      </c>
      <c r="BF11" s="2291">
        <f t="shared" si="9"/>
        <v>105345</v>
      </c>
      <c r="BG11" s="2292">
        <f t="shared" si="10"/>
        <v>0.9942334553965797</v>
      </c>
      <c r="BH11" s="2192">
        <f>'[6]éves besz.kiadásai2018'!AQ11-'4 int bevétel'!AK11-AX11</f>
        <v>0</v>
      </c>
      <c r="BI11" s="2192">
        <f>'[6]éves besz.kiadásai2018'!AP11-'4 int bevétel'!AJ11-AW11</f>
        <v>0</v>
      </c>
    </row>
    <row r="12" spans="1:67" ht="57" customHeight="1" x14ac:dyDescent="0.6">
      <c r="A12" s="2205" t="s">
        <v>1309</v>
      </c>
      <c r="B12" s="2291">
        <f>[4]int.bevételek2018!B11</f>
        <v>1466</v>
      </c>
      <c r="C12" s="2291">
        <f>'[5]int.bevételek RM V'!D12</f>
        <v>1848</v>
      </c>
      <c r="D12" s="2291">
        <v>1848</v>
      </c>
      <c r="E12" s="2292">
        <f t="shared" si="0"/>
        <v>1</v>
      </c>
      <c r="F12" s="2291">
        <f>[4]int.bevételek2018!C11</f>
        <v>0</v>
      </c>
      <c r="G12" s="2291">
        <f>'[5]int.bevételek RM V'!G12</f>
        <v>223</v>
      </c>
      <c r="H12" s="2291">
        <v>222</v>
      </c>
      <c r="I12" s="2292">
        <f>H12/G12</f>
        <v>0.99551569506726456</v>
      </c>
      <c r="J12" s="2291">
        <f>[4]int.bevételek2018!D11</f>
        <v>0</v>
      </c>
      <c r="K12" s="2291">
        <f>'[5]int.bevételek RM V'!J12</f>
        <v>0</v>
      </c>
      <c r="L12" s="2291"/>
      <c r="M12" s="2292"/>
      <c r="N12" s="2291">
        <f>[4]int.bevételek2018!E11</f>
        <v>0</v>
      </c>
      <c r="O12" s="2291">
        <f>'[5]int.bevételek RM V'!M12</f>
        <v>0</v>
      </c>
      <c r="P12" s="2291"/>
      <c r="Q12" s="2292"/>
      <c r="R12" s="2291">
        <f t="shared" si="1"/>
        <v>1466</v>
      </c>
      <c r="S12" s="2291">
        <f t="shared" si="1"/>
        <v>2071</v>
      </c>
      <c r="T12" s="2291">
        <f t="shared" si="1"/>
        <v>2070</v>
      </c>
      <c r="U12" s="2292">
        <f t="shared" si="2"/>
        <v>0.99951714147754711</v>
      </c>
      <c r="V12" s="2293" t="s">
        <v>1309</v>
      </c>
      <c r="W12" s="2291">
        <f>[4]int.bevételek2018!H11</f>
        <v>0</v>
      </c>
      <c r="X12" s="2291">
        <f>'[5]int.bevételek RM V'!T12</f>
        <v>0</v>
      </c>
      <c r="Y12" s="2291"/>
      <c r="Z12" s="2292"/>
      <c r="AA12" s="2291">
        <f>[4]int.bevételek2018!I11</f>
        <v>0</v>
      </c>
      <c r="AB12" s="2291">
        <f>'[5]int.bevételek RM V'!W12</f>
        <v>0</v>
      </c>
      <c r="AC12" s="2291"/>
      <c r="AD12" s="2292"/>
      <c r="AE12" s="2291">
        <f>[4]int.bevételek2018!J11</f>
        <v>0</v>
      </c>
      <c r="AF12" s="2291">
        <f>'[5]int.bevételek RM V'!Z12</f>
        <v>0</v>
      </c>
      <c r="AG12" s="2291"/>
      <c r="AH12" s="2292"/>
      <c r="AI12" s="2291">
        <f t="shared" si="3"/>
        <v>0</v>
      </c>
      <c r="AJ12" s="2291">
        <f t="shared" si="3"/>
        <v>0</v>
      </c>
      <c r="AK12" s="2291">
        <f t="shared" si="3"/>
        <v>0</v>
      </c>
      <c r="AL12" s="2292"/>
      <c r="AM12" s="2291"/>
      <c r="AN12" s="2291">
        <f>'[5]int.bevételek RM V'!AJ12</f>
        <v>1561</v>
      </c>
      <c r="AO12" s="2291">
        <v>1561</v>
      </c>
      <c r="AP12" s="2292">
        <f t="shared" si="4"/>
        <v>1</v>
      </c>
      <c r="AQ12" s="2293" t="s">
        <v>1309</v>
      </c>
      <c r="AR12" s="2291">
        <f>[4]int.bevételek2018!L11</f>
        <v>88155</v>
      </c>
      <c r="AS12" s="2291">
        <f>'[5]int.bevételek RM V'!AM12</f>
        <v>88962</v>
      </c>
      <c r="AT12" s="2291">
        <v>86305</v>
      </c>
      <c r="AU12" s="2292">
        <f t="shared" si="5"/>
        <v>0.97013331534812619</v>
      </c>
      <c r="AV12" s="2291">
        <f>[4]int.bevételek2018!M11</f>
        <v>0</v>
      </c>
      <c r="AW12" s="2291">
        <f>'[5]int.bevételek RM V'!AP12</f>
        <v>4361</v>
      </c>
      <c r="AX12" s="2291">
        <v>1080</v>
      </c>
      <c r="AY12" s="2292">
        <f t="shared" si="6"/>
        <v>0.24764962164641138</v>
      </c>
      <c r="AZ12" s="2291">
        <f t="shared" si="7"/>
        <v>88155</v>
      </c>
      <c r="BA12" s="2291">
        <f t="shared" si="7"/>
        <v>93323</v>
      </c>
      <c r="BB12" s="2291">
        <f t="shared" si="7"/>
        <v>87385</v>
      </c>
      <c r="BC12" s="2292">
        <f t="shared" si="8"/>
        <v>0.93637152684761527</v>
      </c>
      <c r="BD12" s="2291">
        <f t="shared" si="9"/>
        <v>89621</v>
      </c>
      <c r="BE12" s="2291">
        <f t="shared" si="9"/>
        <v>96955</v>
      </c>
      <c r="BF12" s="2291">
        <f t="shared" si="9"/>
        <v>91016</v>
      </c>
      <c r="BG12" s="2292">
        <f t="shared" si="10"/>
        <v>0.93874477850549221</v>
      </c>
      <c r="BH12" s="2192">
        <f>'[6]éves besz.kiadásai2018'!AQ12-'4 int bevétel'!AK12-AX12</f>
        <v>0</v>
      </c>
      <c r="BI12" s="2192">
        <f>'[6]éves besz.kiadásai2018'!AP12-'4 int bevétel'!AJ12-AW12</f>
        <v>0</v>
      </c>
    </row>
    <row r="13" spans="1:67" ht="57" customHeight="1" x14ac:dyDescent="0.6">
      <c r="A13" s="2205" t="s">
        <v>1310</v>
      </c>
      <c r="B13" s="2291">
        <f>[4]int.bevételek2018!B12</f>
        <v>1509</v>
      </c>
      <c r="C13" s="2291">
        <f>'[5]int.bevételek RM V'!D13</f>
        <v>1589</v>
      </c>
      <c r="D13" s="2291">
        <v>1589</v>
      </c>
      <c r="E13" s="2292">
        <f t="shared" si="0"/>
        <v>1</v>
      </c>
      <c r="F13" s="2291">
        <f>[4]int.bevételek2018!C12</f>
        <v>0</v>
      </c>
      <c r="G13" s="2291">
        <f>'[5]int.bevételek RM V'!G13</f>
        <v>0</v>
      </c>
      <c r="H13" s="2291"/>
      <c r="I13" s="2292"/>
      <c r="J13" s="2291">
        <f>[4]int.bevételek2018!D12</f>
        <v>0</v>
      </c>
      <c r="K13" s="2291">
        <f>'[5]int.bevételek RM V'!J13</f>
        <v>0</v>
      </c>
      <c r="L13" s="2291"/>
      <c r="M13" s="2292"/>
      <c r="N13" s="2291">
        <f>[4]int.bevételek2018!E12</f>
        <v>0</v>
      </c>
      <c r="O13" s="2291">
        <f>'[5]int.bevételek RM V'!M13</f>
        <v>0</v>
      </c>
      <c r="P13" s="2291"/>
      <c r="Q13" s="2292"/>
      <c r="R13" s="2291">
        <f t="shared" si="1"/>
        <v>1509</v>
      </c>
      <c r="S13" s="2291">
        <f t="shared" si="1"/>
        <v>1589</v>
      </c>
      <c r="T13" s="2291">
        <f t="shared" si="1"/>
        <v>1589</v>
      </c>
      <c r="U13" s="2292">
        <f t="shared" si="2"/>
        <v>1</v>
      </c>
      <c r="V13" s="2293" t="s">
        <v>1310</v>
      </c>
      <c r="W13" s="2291">
        <f>[4]int.bevételek2018!H12</f>
        <v>0</v>
      </c>
      <c r="X13" s="2291">
        <f>'[5]int.bevételek RM V'!T13</f>
        <v>0</v>
      </c>
      <c r="Y13" s="2291"/>
      <c r="Z13" s="2292"/>
      <c r="AA13" s="2291">
        <f>[4]int.bevételek2018!I12</f>
        <v>0</v>
      </c>
      <c r="AB13" s="2291">
        <f>'[5]int.bevételek RM V'!W13</f>
        <v>0</v>
      </c>
      <c r="AC13" s="2291"/>
      <c r="AD13" s="2292"/>
      <c r="AE13" s="2291">
        <f>[4]int.bevételek2018!J12</f>
        <v>0</v>
      </c>
      <c r="AF13" s="2291">
        <f>'[5]int.bevételek RM V'!Z13</f>
        <v>0</v>
      </c>
      <c r="AG13" s="2291"/>
      <c r="AH13" s="2292"/>
      <c r="AI13" s="2291">
        <f t="shared" si="3"/>
        <v>0</v>
      </c>
      <c r="AJ13" s="2291">
        <f t="shared" si="3"/>
        <v>0</v>
      </c>
      <c r="AK13" s="2291">
        <f t="shared" si="3"/>
        <v>0</v>
      </c>
      <c r="AL13" s="2292"/>
      <c r="AM13" s="2291"/>
      <c r="AN13" s="2291">
        <f>'[5]int.bevételek RM V'!AJ13</f>
        <v>589</v>
      </c>
      <c r="AO13" s="2291">
        <v>589</v>
      </c>
      <c r="AP13" s="2292">
        <f t="shared" si="4"/>
        <v>1</v>
      </c>
      <c r="AQ13" s="2293" t="s">
        <v>1310</v>
      </c>
      <c r="AR13" s="2291">
        <f>[4]int.bevételek2018!L12</f>
        <v>122985</v>
      </c>
      <c r="AS13" s="2291">
        <f>'[5]int.bevételek RM V'!AM13</f>
        <v>120923</v>
      </c>
      <c r="AT13" s="2291">
        <v>118910</v>
      </c>
      <c r="AU13" s="2292">
        <f t="shared" si="5"/>
        <v>0.98335304284544711</v>
      </c>
      <c r="AV13" s="2291">
        <f>[4]int.bevételek2018!M12</f>
        <v>0</v>
      </c>
      <c r="AW13" s="2291">
        <f>'[5]int.bevételek RM V'!AP13</f>
        <v>12863</v>
      </c>
      <c r="AX13" s="2291">
        <v>12862</v>
      </c>
      <c r="AY13" s="2292">
        <f t="shared" si="6"/>
        <v>0.9999222576381871</v>
      </c>
      <c r="AZ13" s="2291">
        <f t="shared" si="7"/>
        <v>122985</v>
      </c>
      <c r="BA13" s="2291">
        <f t="shared" si="7"/>
        <v>133786</v>
      </c>
      <c r="BB13" s="2291">
        <f t="shared" si="7"/>
        <v>131772</v>
      </c>
      <c r="BC13" s="2292">
        <f t="shared" si="8"/>
        <v>0.98494610796346405</v>
      </c>
      <c r="BD13" s="2291">
        <f t="shared" si="9"/>
        <v>124494</v>
      </c>
      <c r="BE13" s="2291">
        <f t="shared" si="9"/>
        <v>135964</v>
      </c>
      <c r="BF13" s="2291">
        <f t="shared" si="9"/>
        <v>133950</v>
      </c>
      <c r="BG13" s="2292">
        <f t="shared" si="10"/>
        <v>0.9851872554499721</v>
      </c>
      <c r="BH13" s="2192">
        <f>'[6]éves besz.kiadásai2018'!AQ13-'4 int bevétel'!AK13-AX13</f>
        <v>0</v>
      </c>
      <c r="BI13" s="2192">
        <f>'[6]éves besz.kiadásai2018'!AP13-'4 int bevétel'!AJ13-AW13</f>
        <v>0</v>
      </c>
    </row>
    <row r="14" spans="1:67" ht="57" customHeight="1" x14ac:dyDescent="0.6">
      <c r="A14" s="2205" t="s">
        <v>1311</v>
      </c>
      <c r="B14" s="2291">
        <f>[4]int.bevételek2018!B13</f>
        <v>1300</v>
      </c>
      <c r="C14" s="2291">
        <f>'[5]int.bevételek RM V'!D14</f>
        <v>1942</v>
      </c>
      <c r="D14" s="2291">
        <v>1940</v>
      </c>
      <c r="E14" s="2292">
        <f t="shared" si="0"/>
        <v>0.99897013388259526</v>
      </c>
      <c r="F14" s="2291">
        <f>[4]int.bevételek2018!C13</f>
        <v>0</v>
      </c>
      <c r="G14" s="2291">
        <f>'[5]int.bevételek RM V'!G14</f>
        <v>55</v>
      </c>
      <c r="H14" s="2291">
        <v>55</v>
      </c>
      <c r="I14" s="2292">
        <f>H14/G14</f>
        <v>1</v>
      </c>
      <c r="J14" s="2291">
        <f>[4]int.bevételek2018!D13</f>
        <v>0</v>
      </c>
      <c r="K14" s="2291">
        <f>'[5]int.bevételek RM V'!J14</f>
        <v>865</v>
      </c>
      <c r="L14" s="2291">
        <v>865</v>
      </c>
      <c r="M14" s="2292">
        <f>L14/K14</f>
        <v>1</v>
      </c>
      <c r="N14" s="2291">
        <f>[4]int.bevételek2018!E13</f>
        <v>0</v>
      </c>
      <c r="O14" s="2291">
        <f>'[5]int.bevételek RM V'!M14</f>
        <v>0</v>
      </c>
      <c r="P14" s="2291"/>
      <c r="Q14" s="2292"/>
      <c r="R14" s="2291">
        <f t="shared" si="1"/>
        <v>1300</v>
      </c>
      <c r="S14" s="2291">
        <f t="shared" si="1"/>
        <v>2862</v>
      </c>
      <c r="T14" s="2291">
        <f t="shared" si="1"/>
        <v>2860</v>
      </c>
      <c r="U14" s="2292">
        <f t="shared" si="2"/>
        <v>0.99930118798043321</v>
      </c>
      <c r="V14" s="2293" t="s">
        <v>1311</v>
      </c>
      <c r="W14" s="2291">
        <f>[4]int.bevételek2018!H13</f>
        <v>0</v>
      </c>
      <c r="X14" s="2291">
        <f>'[5]int.bevételek RM V'!T14</f>
        <v>0</v>
      </c>
      <c r="Y14" s="2291"/>
      <c r="Z14" s="2292"/>
      <c r="AA14" s="2291">
        <f>[4]int.bevételek2018!I13</f>
        <v>0</v>
      </c>
      <c r="AB14" s="2291">
        <f>'[5]int.bevételek RM V'!W14</f>
        <v>0</v>
      </c>
      <c r="AC14" s="2291"/>
      <c r="AD14" s="2292"/>
      <c r="AE14" s="2291">
        <f>[4]int.bevételek2018!J13</f>
        <v>0</v>
      </c>
      <c r="AF14" s="2291">
        <f>'[5]int.bevételek RM V'!Z14</f>
        <v>0</v>
      </c>
      <c r="AG14" s="2291"/>
      <c r="AH14" s="2292"/>
      <c r="AI14" s="2291">
        <f t="shared" si="3"/>
        <v>0</v>
      </c>
      <c r="AJ14" s="2291">
        <f t="shared" si="3"/>
        <v>0</v>
      </c>
      <c r="AK14" s="2291">
        <f t="shared" si="3"/>
        <v>0</v>
      </c>
      <c r="AL14" s="2292"/>
      <c r="AM14" s="2291"/>
      <c r="AN14" s="2291">
        <f>'[5]int.bevételek RM V'!AJ14</f>
        <v>303</v>
      </c>
      <c r="AO14" s="2291">
        <v>303</v>
      </c>
      <c r="AP14" s="2292">
        <f t="shared" si="4"/>
        <v>1</v>
      </c>
      <c r="AQ14" s="2293" t="s">
        <v>1311</v>
      </c>
      <c r="AR14" s="2291">
        <f>[4]int.bevételek2018!L13</f>
        <v>104775</v>
      </c>
      <c r="AS14" s="2291">
        <f>'[5]int.bevételek RM V'!AM14</f>
        <v>108284</v>
      </c>
      <c r="AT14" s="2291">
        <v>105755</v>
      </c>
      <c r="AU14" s="2292">
        <f t="shared" si="5"/>
        <v>0.97664474899338771</v>
      </c>
      <c r="AV14" s="2291">
        <f>[4]int.bevételek2018!M13</f>
        <v>0</v>
      </c>
      <c r="AW14" s="2291">
        <f>'[5]int.bevételek RM V'!AP14</f>
        <v>5098</v>
      </c>
      <c r="AX14" s="2291">
        <v>4180</v>
      </c>
      <c r="AY14" s="2292">
        <f t="shared" si="6"/>
        <v>0.81992938407218519</v>
      </c>
      <c r="AZ14" s="2291">
        <f t="shared" si="7"/>
        <v>104775</v>
      </c>
      <c r="BA14" s="2291">
        <f t="shared" si="7"/>
        <v>113382</v>
      </c>
      <c r="BB14" s="2291">
        <f t="shared" si="7"/>
        <v>109935</v>
      </c>
      <c r="BC14" s="2292">
        <f t="shared" si="8"/>
        <v>0.96959834894427688</v>
      </c>
      <c r="BD14" s="2291">
        <f t="shared" si="9"/>
        <v>106075</v>
      </c>
      <c r="BE14" s="2291">
        <f t="shared" si="9"/>
        <v>116547</v>
      </c>
      <c r="BF14" s="2291">
        <f t="shared" si="9"/>
        <v>113098</v>
      </c>
      <c r="BG14" s="2292">
        <f t="shared" si="10"/>
        <v>0.97040678867752928</v>
      </c>
      <c r="BH14" s="2192">
        <f>'[6]éves besz.kiadásai2018'!AQ14-'4 int bevétel'!AK14-AX14</f>
        <v>0</v>
      </c>
      <c r="BI14" s="2192">
        <f>'[6]éves besz.kiadásai2018'!AP14-'4 int bevétel'!AJ14-AW14</f>
        <v>0</v>
      </c>
    </row>
    <row r="15" spans="1:67" ht="57" customHeight="1" x14ac:dyDescent="0.6">
      <c r="A15" s="2205" t="s">
        <v>1312</v>
      </c>
      <c r="B15" s="2291">
        <f>[4]int.bevételek2018!B14</f>
        <v>969</v>
      </c>
      <c r="C15" s="2291">
        <f>'[5]int.bevételek RM V'!D15</f>
        <v>1588</v>
      </c>
      <c r="D15" s="2291">
        <f>1587</f>
        <v>1587</v>
      </c>
      <c r="E15" s="2292">
        <f t="shared" si="0"/>
        <v>0.99937027707808568</v>
      </c>
      <c r="F15" s="2291">
        <f>[4]int.bevételek2018!C14</f>
        <v>0</v>
      </c>
      <c r="G15" s="2291">
        <f>'[5]int.bevételek RM V'!G15</f>
        <v>0</v>
      </c>
      <c r="H15" s="2291"/>
      <c r="I15" s="2292"/>
      <c r="J15" s="2291">
        <f>[4]int.bevételek2018!D14</f>
        <v>0</v>
      </c>
      <c r="K15" s="2291">
        <f>'[5]int.bevételek RM V'!J15</f>
        <v>1168</v>
      </c>
      <c r="L15" s="2291">
        <f>1168-1</f>
        <v>1167</v>
      </c>
      <c r="M15" s="2292">
        <f>L15/K15</f>
        <v>0.99914383561643838</v>
      </c>
      <c r="N15" s="2291">
        <f>[4]int.bevételek2018!E14</f>
        <v>0</v>
      </c>
      <c r="O15" s="2291">
        <f>'[5]int.bevételek RM V'!M15</f>
        <v>0</v>
      </c>
      <c r="P15" s="2291"/>
      <c r="Q15" s="2292"/>
      <c r="R15" s="2291">
        <f t="shared" si="1"/>
        <v>969</v>
      </c>
      <c r="S15" s="2291">
        <f t="shared" si="1"/>
        <v>2756</v>
      </c>
      <c r="T15" s="2291">
        <f t="shared" si="1"/>
        <v>2754</v>
      </c>
      <c r="U15" s="2292">
        <f t="shared" si="2"/>
        <v>0.99927431059506533</v>
      </c>
      <c r="V15" s="2293" t="s">
        <v>1312</v>
      </c>
      <c r="W15" s="2291">
        <f>[4]int.bevételek2018!H14</f>
        <v>0</v>
      </c>
      <c r="X15" s="2291">
        <f>'[5]int.bevételek RM V'!T15</f>
        <v>0</v>
      </c>
      <c r="Y15" s="2291"/>
      <c r="Z15" s="2292"/>
      <c r="AA15" s="2291">
        <f>[4]int.bevételek2018!I14</f>
        <v>0</v>
      </c>
      <c r="AB15" s="2291">
        <f>'[5]int.bevételek RM V'!W15</f>
        <v>0</v>
      </c>
      <c r="AC15" s="2291"/>
      <c r="AD15" s="2292"/>
      <c r="AE15" s="2291">
        <f>[4]int.bevételek2018!J14</f>
        <v>0</v>
      </c>
      <c r="AF15" s="2291">
        <f>'[5]int.bevételek RM V'!Z15</f>
        <v>0</v>
      </c>
      <c r="AG15" s="2291"/>
      <c r="AH15" s="2292"/>
      <c r="AI15" s="2291">
        <f t="shared" si="3"/>
        <v>0</v>
      </c>
      <c r="AJ15" s="2291">
        <f t="shared" si="3"/>
        <v>0</v>
      </c>
      <c r="AK15" s="2291">
        <f t="shared" si="3"/>
        <v>0</v>
      </c>
      <c r="AL15" s="2292"/>
      <c r="AM15" s="2291"/>
      <c r="AN15" s="2291">
        <f>'[5]int.bevételek RM V'!AJ15</f>
        <v>584</v>
      </c>
      <c r="AO15" s="2291">
        <v>584</v>
      </c>
      <c r="AP15" s="2292">
        <f t="shared" si="4"/>
        <v>1</v>
      </c>
      <c r="AQ15" s="2293" t="s">
        <v>1312</v>
      </c>
      <c r="AR15" s="2291">
        <f>[4]int.bevételek2018!L14</f>
        <v>96178</v>
      </c>
      <c r="AS15" s="2291">
        <f>'[5]int.bevételek RM V'!AM15</f>
        <v>99266</v>
      </c>
      <c r="AT15" s="2291">
        <v>95368</v>
      </c>
      <c r="AU15" s="2292">
        <f t="shared" si="5"/>
        <v>0.96073177120061248</v>
      </c>
      <c r="AV15" s="2291">
        <f>[4]int.bevételek2018!M14</f>
        <v>0</v>
      </c>
      <c r="AW15" s="2291">
        <f>'[5]int.bevételek RM V'!AP15</f>
        <v>767</v>
      </c>
      <c r="AX15" s="2291">
        <v>766</v>
      </c>
      <c r="AY15" s="2292">
        <f t="shared" si="6"/>
        <v>0.99869621903520212</v>
      </c>
      <c r="AZ15" s="2291">
        <f t="shared" si="7"/>
        <v>96178</v>
      </c>
      <c r="BA15" s="2291">
        <f t="shared" si="7"/>
        <v>100033</v>
      </c>
      <c r="BB15" s="2291">
        <f t="shared" si="7"/>
        <v>96134</v>
      </c>
      <c r="BC15" s="2292">
        <f t="shared" si="8"/>
        <v>0.9610228624553897</v>
      </c>
      <c r="BD15" s="2291">
        <f t="shared" si="9"/>
        <v>97147</v>
      </c>
      <c r="BE15" s="2291">
        <f t="shared" si="9"/>
        <v>103373</v>
      </c>
      <c r="BF15" s="2291">
        <f t="shared" si="9"/>
        <v>99472</v>
      </c>
      <c r="BG15" s="2292">
        <f t="shared" si="10"/>
        <v>0.96226287328412641</v>
      </c>
      <c r="BH15" s="2192">
        <f>'[6]éves besz.kiadásai2018'!AQ15-'4 int bevétel'!AK15-AX15</f>
        <v>0</v>
      </c>
      <c r="BI15" s="2192">
        <f>'[6]éves besz.kiadásai2018'!AP15-'4 int bevétel'!AJ15-AW15</f>
        <v>0</v>
      </c>
    </row>
    <row r="16" spans="1:67" ht="57" customHeight="1" x14ac:dyDescent="0.6">
      <c r="A16" s="2205" t="s">
        <v>1313</v>
      </c>
      <c r="B16" s="2291">
        <f>[4]int.bevételek2018!B15</f>
        <v>774</v>
      </c>
      <c r="C16" s="2291">
        <f>'[5]int.bevételek RM V'!D16</f>
        <v>1336</v>
      </c>
      <c r="D16" s="2291">
        <v>1336</v>
      </c>
      <c r="E16" s="2292">
        <f t="shared" si="0"/>
        <v>1</v>
      </c>
      <c r="F16" s="2291">
        <f>[4]int.bevételek2018!C15</f>
        <v>0</v>
      </c>
      <c r="G16" s="2291">
        <f>'[5]int.bevételek RM V'!G16</f>
        <v>0</v>
      </c>
      <c r="H16" s="2291"/>
      <c r="I16" s="2292"/>
      <c r="J16" s="2291">
        <f>[4]int.bevételek2018!D15</f>
        <v>0</v>
      </c>
      <c r="K16" s="2291">
        <f>'[5]int.bevételek RM V'!J16</f>
        <v>0</v>
      </c>
      <c r="L16" s="2291"/>
      <c r="M16" s="2292"/>
      <c r="N16" s="2291">
        <f>[4]int.bevételek2018!E15</f>
        <v>0</v>
      </c>
      <c r="O16" s="2291">
        <f>'[5]int.bevételek RM V'!M16</f>
        <v>0</v>
      </c>
      <c r="P16" s="2291"/>
      <c r="Q16" s="2292"/>
      <c r="R16" s="2291">
        <f t="shared" si="1"/>
        <v>774</v>
      </c>
      <c r="S16" s="2291">
        <f t="shared" si="1"/>
        <v>1336</v>
      </c>
      <c r="T16" s="2291">
        <f t="shared" si="1"/>
        <v>1336</v>
      </c>
      <c r="U16" s="2292">
        <f t="shared" si="2"/>
        <v>1</v>
      </c>
      <c r="V16" s="2293" t="s">
        <v>1313</v>
      </c>
      <c r="W16" s="2291">
        <f>[4]int.bevételek2018!H15</f>
        <v>0</v>
      </c>
      <c r="X16" s="2291">
        <f>'[5]int.bevételek RM V'!T16</f>
        <v>0</v>
      </c>
      <c r="Y16" s="2291"/>
      <c r="Z16" s="2292"/>
      <c r="AA16" s="2291">
        <f>[4]int.bevételek2018!I15</f>
        <v>0</v>
      </c>
      <c r="AB16" s="2291">
        <f>'[5]int.bevételek RM V'!W16</f>
        <v>0</v>
      </c>
      <c r="AC16" s="2291"/>
      <c r="AD16" s="2292"/>
      <c r="AE16" s="2291">
        <f>[4]int.bevételek2018!J15</f>
        <v>0</v>
      </c>
      <c r="AF16" s="2291">
        <f>'[5]int.bevételek RM V'!Z16</f>
        <v>0</v>
      </c>
      <c r="AG16" s="2291"/>
      <c r="AH16" s="2292"/>
      <c r="AI16" s="2291">
        <f t="shared" si="3"/>
        <v>0</v>
      </c>
      <c r="AJ16" s="2291">
        <f t="shared" si="3"/>
        <v>0</v>
      </c>
      <c r="AK16" s="2291">
        <f t="shared" si="3"/>
        <v>0</v>
      </c>
      <c r="AL16" s="2292"/>
      <c r="AM16" s="2291"/>
      <c r="AN16" s="2291">
        <f>'[5]int.bevételek RM V'!AJ16</f>
        <v>141</v>
      </c>
      <c r="AO16" s="2291">
        <v>141</v>
      </c>
      <c r="AP16" s="2292">
        <f t="shared" si="4"/>
        <v>1</v>
      </c>
      <c r="AQ16" s="2293" t="s">
        <v>1313</v>
      </c>
      <c r="AR16" s="2291">
        <f>[4]int.bevételek2018!L15</f>
        <v>79843</v>
      </c>
      <c r="AS16" s="2291">
        <f>'[5]int.bevételek RM V'!AM16</f>
        <v>80948</v>
      </c>
      <c r="AT16" s="2291">
        <v>80501</v>
      </c>
      <c r="AU16" s="2292">
        <f t="shared" si="5"/>
        <v>0.99447793645303162</v>
      </c>
      <c r="AV16" s="2291">
        <f>[4]int.bevételek2018!M15</f>
        <v>0</v>
      </c>
      <c r="AW16" s="2291">
        <f>'[5]int.bevételek RM V'!AP16</f>
        <v>977</v>
      </c>
      <c r="AX16" s="2291">
        <v>751</v>
      </c>
      <c r="AY16" s="2292">
        <f t="shared" si="6"/>
        <v>0.76867963152507679</v>
      </c>
      <c r="AZ16" s="2291">
        <f t="shared" si="7"/>
        <v>79843</v>
      </c>
      <c r="BA16" s="2291">
        <f t="shared" si="7"/>
        <v>81925</v>
      </c>
      <c r="BB16" s="2291">
        <f t="shared" si="7"/>
        <v>81252</v>
      </c>
      <c r="BC16" s="2292">
        <f t="shared" si="8"/>
        <v>0.9917851693622215</v>
      </c>
      <c r="BD16" s="2291">
        <f t="shared" si="9"/>
        <v>80617</v>
      </c>
      <c r="BE16" s="2291">
        <f t="shared" si="9"/>
        <v>83402</v>
      </c>
      <c r="BF16" s="2291">
        <f t="shared" si="9"/>
        <v>82729</v>
      </c>
      <c r="BG16" s="2292">
        <f t="shared" si="10"/>
        <v>0.99193064914510443</v>
      </c>
      <c r="BH16" s="2192">
        <f>'[6]éves besz.kiadásai2018'!AQ16-'4 int bevétel'!AK16-AX16</f>
        <v>0</v>
      </c>
      <c r="BI16" s="2192">
        <f>'[6]éves besz.kiadásai2018'!AP16-'4 int bevétel'!AJ16-AW16</f>
        <v>0</v>
      </c>
    </row>
    <row r="17" spans="1:61" ht="57" customHeight="1" x14ac:dyDescent="0.6">
      <c r="A17" s="2205" t="s">
        <v>1314</v>
      </c>
      <c r="B17" s="2291">
        <f>[4]int.bevételek2018!B16</f>
        <v>813</v>
      </c>
      <c r="C17" s="2291">
        <f>'[5]int.bevételek RM V'!D17</f>
        <v>1423</v>
      </c>
      <c r="D17" s="2291">
        <v>1422</v>
      </c>
      <c r="E17" s="2292">
        <f t="shared" si="0"/>
        <v>0.99929725931131408</v>
      </c>
      <c r="F17" s="2291">
        <f>[4]int.bevételek2018!C16</f>
        <v>0</v>
      </c>
      <c r="G17" s="2291">
        <f>'[5]int.bevételek RM V'!G17</f>
        <v>0</v>
      </c>
      <c r="H17" s="2291"/>
      <c r="I17" s="2292"/>
      <c r="J17" s="2291">
        <f>[4]int.bevételek2018!D16</f>
        <v>0</v>
      </c>
      <c r="K17" s="2291">
        <f>'[5]int.bevételek RM V'!J17</f>
        <v>0</v>
      </c>
      <c r="L17" s="2291"/>
      <c r="M17" s="2292"/>
      <c r="N17" s="2291">
        <f>[4]int.bevételek2018!E16</f>
        <v>0</v>
      </c>
      <c r="O17" s="2291">
        <f>'[5]int.bevételek RM V'!M17</f>
        <v>0</v>
      </c>
      <c r="P17" s="2291"/>
      <c r="Q17" s="2292"/>
      <c r="R17" s="2291">
        <f t="shared" si="1"/>
        <v>813</v>
      </c>
      <c r="S17" s="2291">
        <f t="shared" si="1"/>
        <v>1423</v>
      </c>
      <c r="T17" s="2291">
        <f t="shared" si="1"/>
        <v>1422</v>
      </c>
      <c r="U17" s="2292">
        <f t="shared" si="2"/>
        <v>0.99929725931131408</v>
      </c>
      <c r="V17" s="2293" t="s">
        <v>1314</v>
      </c>
      <c r="W17" s="2291">
        <f>[4]int.bevételek2018!H16</f>
        <v>0</v>
      </c>
      <c r="X17" s="2291">
        <f>'[5]int.bevételek RM V'!T17</f>
        <v>0</v>
      </c>
      <c r="Y17" s="2291"/>
      <c r="Z17" s="2292"/>
      <c r="AA17" s="2291">
        <f>[4]int.bevételek2018!I16</f>
        <v>0</v>
      </c>
      <c r="AB17" s="2291">
        <f>'[5]int.bevételek RM V'!W17</f>
        <v>0</v>
      </c>
      <c r="AC17" s="2291"/>
      <c r="AD17" s="2292"/>
      <c r="AE17" s="2291">
        <f>[4]int.bevételek2018!J16</f>
        <v>0</v>
      </c>
      <c r="AF17" s="2291">
        <f>'[5]int.bevételek RM V'!Z17</f>
        <v>0</v>
      </c>
      <c r="AG17" s="2291"/>
      <c r="AH17" s="2292"/>
      <c r="AI17" s="2291">
        <f t="shared" si="3"/>
        <v>0</v>
      </c>
      <c r="AJ17" s="2291">
        <f t="shared" si="3"/>
        <v>0</v>
      </c>
      <c r="AK17" s="2291">
        <f t="shared" si="3"/>
        <v>0</v>
      </c>
      <c r="AL17" s="2292"/>
      <c r="AM17" s="2291"/>
      <c r="AN17" s="2291">
        <f>'[5]int.bevételek RM V'!AJ17</f>
        <v>3162</v>
      </c>
      <c r="AO17" s="2291">
        <v>3162</v>
      </c>
      <c r="AP17" s="2292">
        <f t="shared" si="4"/>
        <v>1</v>
      </c>
      <c r="AQ17" s="2293" t="s">
        <v>1314</v>
      </c>
      <c r="AR17" s="2291">
        <f>[4]int.bevételek2018!L16</f>
        <v>74151</v>
      </c>
      <c r="AS17" s="2291">
        <f>'[5]int.bevételek RM V'!AM17</f>
        <v>72119</v>
      </c>
      <c r="AT17" s="2291">
        <v>71006</v>
      </c>
      <c r="AU17" s="2292">
        <f t="shared" si="5"/>
        <v>0.98456717369902524</v>
      </c>
      <c r="AV17" s="2291">
        <f>[4]int.bevételek2018!M16</f>
        <v>0</v>
      </c>
      <c r="AW17" s="2291">
        <f>'[5]int.bevételek RM V'!AP17</f>
        <v>31802</v>
      </c>
      <c r="AX17" s="2291">
        <v>25450</v>
      </c>
      <c r="AY17" s="2292">
        <f t="shared" si="6"/>
        <v>0.80026413433117416</v>
      </c>
      <c r="AZ17" s="2291">
        <f t="shared" si="7"/>
        <v>74151</v>
      </c>
      <c r="BA17" s="2291">
        <f t="shared" si="7"/>
        <v>103921</v>
      </c>
      <c r="BB17" s="2291">
        <f t="shared" si="7"/>
        <v>96456</v>
      </c>
      <c r="BC17" s="2292">
        <f t="shared" si="8"/>
        <v>0.92816658808133101</v>
      </c>
      <c r="BD17" s="2291">
        <f t="shared" si="9"/>
        <v>74964</v>
      </c>
      <c r="BE17" s="2291">
        <f t="shared" si="9"/>
        <v>108506</v>
      </c>
      <c r="BF17" s="2291">
        <f t="shared" si="9"/>
        <v>101040</v>
      </c>
      <c r="BG17" s="2292">
        <f t="shared" si="10"/>
        <v>0.9311927451016534</v>
      </c>
      <c r="BH17" s="2192">
        <f>'[6]éves besz.kiadásai2018'!AQ17-'4 int bevétel'!AK17-AX17</f>
        <v>0</v>
      </c>
      <c r="BI17" s="2192">
        <f>'[6]éves besz.kiadásai2018'!AP17-'4 int bevétel'!AJ17-AW17</f>
        <v>0</v>
      </c>
    </row>
    <row r="18" spans="1:61" ht="57" customHeight="1" x14ac:dyDescent="0.6">
      <c r="A18" s="2205" t="s">
        <v>1315</v>
      </c>
      <c r="B18" s="2291">
        <f>[4]int.bevételek2018!B17</f>
        <v>1962</v>
      </c>
      <c r="C18" s="2291">
        <f>'[5]int.bevételek RM V'!D18</f>
        <v>1211</v>
      </c>
      <c r="D18" s="2291">
        <v>1210</v>
      </c>
      <c r="E18" s="2292">
        <f t="shared" si="0"/>
        <v>0.9991742361684558</v>
      </c>
      <c r="F18" s="2291">
        <f>[4]int.bevételek2018!C17</f>
        <v>0</v>
      </c>
      <c r="G18" s="2291">
        <f>'[5]int.bevételek RM V'!G18</f>
        <v>20</v>
      </c>
      <c r="H18" s="2291">
        <f>19+1</f>
        <v>20</v>
      </c>
      <c r="I18" s="2292">
        <f>H18/G18</f>
        <v>1</v>
      </c>
      <c r="J18" s="2291">
        <f>[4]int.bevételek2018!D17</f>
        <v>0</v>
      </c>
      <c r="K18" s="2291">
        <f>'[5]int.bevételek RM V'!J18</f>
        <v>0</v>
      </c>
      <c r="L18" s="2291"/>
      <c r="M18" s="2292"/>
      <c r="N18" s="2291">
        <f>[4]int.bevételek2018!E17</f>
        <v>0</v>
      </c>
      <c r="O18" s="2291">
        <f>'[5]int.bevételek RM V'!M18</f>
        <v>0</v>
      </c>
      <c r="P18" s="2291"/>
      <c r="Q18" s="2292"/>
      <c r="R18" s="2291">
        <f t="shared" si="1"/>
        <v>1962</v>
      </c>
      <c r="S18" s="2291">
        <f t="shared" si="1"/>
        <v>1231</v>
      </c>
      <c r="T18" s="2291">
        <f t="shared" si="1"/>
        <v>1230</v>
      </c>
      <c r="U18" s="2292">
        <f t="shared" si="2"/>
        <v>0.99918765231519091</v>
      </c>
      <c r="V18" s="2293" t="s">
        <v>1315</v>
      </c>
      <c r="W18" s="2291">
        <f>[4]int.bevételek2018!H17</f>
        <v>0</v>
      </c>
      <c r="X18" s="2291">
        <f>'[5]int.bevételek RM V'!T18</f>
        <v>0</v>
      </c>
      <c r="Y18" s="2291"/>
      <c r="Z18" s="2292"/>
      <c r="AA18" s="2291">
        <f>[4]int.bevételek2018!I17</f>
        <v>0</v>
      </c>
      <c r="AB18" s="2291">
        <f>'[5]int.bevételek RM V'!W18</f>
        <v>0</v>
      </c>
      <c r="AC18" s="2291"/>
      <c r="AD18" s="2292"/>
      <c r="AE18" s="2291">
        <f>[4]int.bevételek2018!J17</f>
        <v>0</v>
      </c>
      <c r="AF18" s="2291">
        <f>'[5]int.bevételek RM V'!Z18</f>
        <v>0</v>
      </c>
      <c r="AG18" s="2291"/>
      <c r="AH18" s="2292"/>
      <c r="AI18" s="2291">
        <f t="shared" si="3"/>
        <v>0</v>
      </c>
      <c r="AJ18" s="2291">
        <f t="shared" si="3"/>
        <v>0</v>
      </c>
      <c r="AK18" s="2291">
        <f t="shared" si="3"/>
        <v>0</v>
      </c>
      <c r="AL18" s="2292"/>
      <c r="AM18" s="2291"/>
      <c r="AN18" s="2291">
        <f>'[5]int.bevételek RM V'!AJ18</f>
        <v>321</v>
      </c>
      <c r="AO18" s="2291">
        <v>321</v>
      </c>
      <c r="AP18" s="2292">
        <f t="shared" si="4"/>
        <v>1</v>
      </c>
      <c r="AQ18" s="2293" t="s">
        <v>1315</v>
      </c>
      <c r="AR18" s="2291">
        <f>[4]int.bevételek2018!L17</f>
        <v>108086</v>
      </c>
      <c r="AS18" s="2291">
        <f>'[5]int.bevételek RM V'!AM18</f>
        <v>112195</v>
      </c>
      <c r="AT18" s="2291">
        <v>109016</v>
      </c>
      <c r="AU18" s="2292">
        <f t="shared" si="5"/>
        <v>0.97166540398413481</v>
      </c>
      <c r="AV18" s="2291">
        <f>[4]int.bevételek2018!M17</f>
        <v>0</v>
      </c>
      <c r="AW18" s="2291">
        <f>'[5]int.bevételek RM V'!AP18</f>
        <v>1131</v>
      </c>
      <c r="AX18" s="2291">
        <v>1131</v>
      </c>
      <c r="AY18" s="2292">
        <f t="shared" si="6"/>
        <v>1</v>
      </c>
      <c r="AZ18" s="2291">
        <f t="shared" si="7"/>
        <v>108086</v>
      </c>
      <c r="BA18" s="2291">
        <f t="shared" si="7"/>
        <v>113326</v>
      </c>
      <c r="BB18" s="2291">
        <f t="shared" si="7"/>
        <v>110147</v>
      </c>
      <c r="BC18" s="2292">
        <f t="shared" si="8"/>
        <v>0.97194818488255119</v>
      </c>
      <c r="BD18" s="2291">
        <f t="shared" si="9"/>
        <v>110048</v>
      </c>
      <c r="BE18" s="2291">
        <f t="shared" si="9"/>
        <v>114878</v>
      </c>
      <c r="BF18" s="2291">
        <f t="shared" si="9"/>
        <v>111698</v>
      </c>
      <c r="BG18" s="2292">
        <f t="shared" si="10"/>
        <v>0.97231845958321006</v>
      </c>
      <c r="BH18" s="2192">
        <f>'[6]éves besz.kiadásai2018'!AQ18-'4 int bevétel'!AK18-AX18</f>
        <v>0</v>
      </c>
      <c r="BI18" s="2192">
        <f>'[6]éves besz.kiadásai2018'!AP18-'4 int bevétel'!AJ18-AW18</f>
        <v>0</v>
      </c>
    </row>
    <row r="19" spans="1:61" ht="57" customHeight="1" x14ac:dyDescent="0.6">
      <c r="A19" s="2205" t="s">
        <v>1316</v>
      </c>
      <c r="B19" s="2291">
        <f>[4]int.bevételek2018!B18</f>
        <v>1976</v>
      </c>
      <c r="C19" s="2291">
        <f>'[5]int.bevételek RM V'!D19</f>
        <v>3202</v>
      </c>
      <c r="D19" s="2291">
        <v>3202</v>
      </c>
      <c r="E19" s="2292">
        <f t="shared" si="0"/>
        <v>1</v>
      </c>
      <c r="F19" s="2291">
        <f>[4]int.bevételek2018!C18</f>
        <v>0</v>
      </c>
      <c r="G19" s="2291">
        <f>'[5]int.bevételek RM V'!G19</f>
        <v>0</v>
      </c>
      <c r="H19" s="2291"/>
      <c r="I19" s="2292"/>
      <c r="J19" s="2291">
        <f>[4]int.bevételek2018!D18</f>
        <v>0</v>
      </c>
      <c r="K19" s="2291">
        <f>'[5]int.bevételek RM V'!J19</f>
        <v>62</v>
      </c>
      <c r="L19" s="2291">
        <v>62</v>
      </c>
      <c r="M19" s="2292">
        <f>L19/K19</f>
        <v>1</v>
      </c>
      <c r="N19" s="2291">
        <f>[4]int.bevételek2018!E18</f>
        <v>0</v>
      </c>
      <c r="O19" s="2291">
        <f>'[5]int.bevételek RM V'!M19</f>
        <v>0</v>
      </c>
      <c r="P19" s="2291"/>
      <c r="Q19" s="2292"/>
      <c r="R19" s="2291">
        <f t="shared" si="1"/>
        <v>1976</v>
      </c>
      <c r="S19" s="2291">
        <f t="shared" si="1"/>
        <v>3264</v>
      </c>
      <c r="T19" s="2291">
        <f t="shared" si="1"/>
        <v>3264</v>
      </c>
      <c r="U19" s="2292">
        <f t="shared" si="2"/>
        <v>1</v>
      </c>
      <c r="V19" s="2293" t="s">
        <v>1316</v>
      </c>
      <c r="W19" s="2291">
        <f>[4]int.bevételek2018!H18</f>
        <v>0</v>
      </c>
      <c r="X19" s="2291">
        <f>'[5]int.bevételek RM V'!T19</f>
        <v>0</v>
      </c>
      <c r="Y19" s="2291"/>
      <c r="Z19" s="2292"/>
      <c r="AA19" s="2291">
        <f>[4]int.bevételek2018!I18</f>
        <v>0</v>
      </c>
      <c r="AB19" s="2291">
        <f>'[5]int.bevételek RM V'!W19</f>
        <v>0</v>
      </c>
      <c r="AC19" s="2291"/>
      <c r="AD19" s="2292"/>
      <c r="AE19" s="2291">
        <f>[4]int.bevételek2018!J18</f>
        <v>0</v>
      </c>
      <c r="AF19" s="2291">
        <f>'[5]int.bevételek RM V'!Z19</f>
        <v>0</v>
      </c>
      <c r="AG19" s="2291"/>
      <c r="AH19" s="2292"/>
      <c r="AI19" s="2291">
        <f t="shared" si="3"/>
        <v>0</v>
      </c>
      <c r="AJ19" s="2291">
        <f t="shared" si="3"/>
        <v>0</v>
      </c>
      <c r="AK19" s="2291">
        <f t="shared" si="3"/>
        <v>0</v>
      </c>
      <c r="AL19" s="2292"/>
      <c r="AM19" s="2291"/>
      <c r="AN19" s="2291">
        <f>'[5]int.bevételek RM V'!AJ19</f>
        <v>286</v>
      </c>
      <c r="AO19" s="2291">
        <v>286</v>
      </c>
      <c r="AP19" s="2292">
        <f t="shared" si="4"/>
        <v>1</v>
      </c>
      <c r="AQ19" s="2293" t="s">
        <v>1316</v>
      </c>
      <c r="AR19" s="2291">
        <f>[4]int.bevételek2018!L18</f>
        <v>131240</v>
      </c>
      <c r="AS19" s="2291">
        <f>'[5]int.bevételek RM V'!AM19</f>
        <v>133267</v>
      </c>
      <c r="AT19" s="2291">
        <v>131610</v>
      </c>
      <c r="AU19" s="2292">
        <f t="shared" si="5"/>
        <v>0.98756631424133512</v>
      </c>
      <c r="AV19" s="2291">
        <f>[4]int.bevételek2018!M18</f>
        <v>0</v>
      </c>
      <c r="AW19" s="2291">
        <f>'[5]int.bevételek RM V'!AP19</f>
        <v>11800</v>
      </c>
      <c r="AX19" s="2291">
        <v>9711</v>
      </c>
      <c r="AY19" s="2292">
        <f t="shared" si="6"/>
        <v>0.82296610169491524</v>
      </c>
      <c r="AZ19" s="2291">
        <f t="shared" si="7"/>
        <v>131240</v>
      </c>
      <c r="BA19" s="2291">
        <f t="shared" si="7"/>
        <v>145067</v>
      </c>
      <c r="BB19" s="2291">
        <f t="shared" si="7"/>
        <v>141321</v>
      </c>
      <c r="BC19" s="2292">
        <f t="shared" si="8"/>
        <v>0.97417744904078807</v>
      </c>
      <c r="BD19" s="2291">
        <f t="shared" si="9"/>
        <v>133216</v>
      </c>
      <c r="BE19" s="2291">
        <f t="shared" si="9"/>
        <v>148617</v>
      </c>
      <c r="BF19" s="2291">
        <f t="shared" si="9"/>
        <v>144871</v>
      </c>
      <c r="BG19" s="2292">
        <f t="shared" si="10"/>
        <v>0.97479426983454109</v>
      </c>
      <c r="BH19" s="2192">
        <f>'[6]éves besz.kiadásai2018'!AQ19-'4 int bevétel'!AK19-AX19</f>
        <v>0</v>
      </c>
      <c r="BI19" s="2192">
        <f>'[6]éves besz.kiadásai2018'!AP19-'4 int bevétel'!AJ19-AW19</f>
        <v>0</v>
      </c>
    </row>
    <row r="20" spans="1:61" ht="57" customHeight="1" x14ac:dyDescent="0.6">
      <c r="A20" s="2205" t="s">
        <v>1317</v>
      </c>
      <c r="B20" s="2291">
        <f>[4]int.bevételek2018!B19</f>
        <v>644</v>
      </c>
      <c r="C20" s="2291">
        <f>'[5]int.bevételek RM V'!D20</f>
        <v>860</v>
      </c>
      <c r="D20" s="2291">
        <f>859</f>
        <v>859</v>
      </c>
      <c r="E20" s="2292">
        <f t="shared" si="0"/>
        <v>0.99883720930232556</v>
      </c>
      <c r="F20" s="2291">
        <f>[4]int.bevételek2018!C19</f>
        <v>0</v>
      </c>
      <c r="G20" s="2291">
        <f>'[5]int.bevételek RM V'!G20</f>
        <v>0</v>
      </c>
      <c r="H20" s="2291"/>
      <c r="I20" s="2292"/>
      <c r="J20" s="2291">
        <f>[4]int.bevételek2018!D19</f>
        <v>0</v>
      </c>
      <c r="K20" s="2291">
        <f>'[5]int.bevételek RM V'!J20</f>
        <v>313</v>
      </c>
      <c r="L20" s="2291">
        <f>313-1</f>
        <v>312</v>
      </c>
      <c r="M20" s="2292">
        <f>L20/K20</f>
        <v>0.99680511182108622</v>
      </c>
      <c r="N20" s="2291">
        <f>[4]int.bevételek2018!E19</f>
        <v>0</v>
      </c>
      <c r="O20" s="2291">
        <f>'[5]int.bevételek RM V'!M20</f>
        <v>0</v>
      </c>
      <c r="P20" s="2291"/>
      <c r="Q20" s="2292"/>
      <c r="R20" s="2291">
        <f t="shared" si="1"/>
        <v>644</v>
      </c>
      <c r="S20" s="2291">
        <f t="shared" si="1"/>
        <v>1173</v>
      </c>
      <c r="T20" s="2291">
        <f t="shared" si="1"/>
        <v>1171</v>
      </c>
      <c r="U20" s="2292">
        <f t="shared" si="2"/>
        <v>0.99829497016197788</v>
      </c>
      <c r="V20" s="2293" t="s">
        <v>1317</v>
      </c>
      <c r="W20" s="2291">
        <f>[4]int.bevételek2018!H19</f>
        <v>0</v>
      </c>
      <c r="X20" s="2291">
        <f>'[5]int.bevételek RM V'!T20</f>
        <v>0</v>
      </c>
      <c r="Y20" s="2291"/>
      <c r="Z20" s="2292"/>
      <c r="AA20" s="2291">
        <f>[4]int.bevételek2018!I19</f>
        <v>0</v>
      </c>
      <c r="AB20" s="2291">
        <f>'[5]int.bevételek RM V'!W20</f>
        <v>0</v>
      </c>
      <c r="AC20" s="2291"/>
      <c r="AD20" s="2292"/>
      <c r="AE20" s="2291">
        <f>[4]int.bevételek2018!J19</f>
        <v>0</v>
      </c>
      <c r="AF20" s="2291">
        <f>'[5]int.bevételek RM V'!Z20</f>
        <v>0</v>
      </c>
      <c r="AG20" s="2291"/>
      <c r="AH20" s="2292"/>
      <c r="AI20" s="2291">
        <f t="shared" si="3"/>
        <v>0</v>
      </c>
      <c r="AJ20" s="2291">
        <f t="shared" si="3"/>
        <v>0</v>
      </c>
      <c r="AK20" s="2291">
        <f t="shared" si="3"/>
        <v>0</v>
      </c>
      <c r="AL20" s="2292"/>
      <c r="AM20" s="2291"/>
      <c r="AN20" s="2291">
        <f>'[5]int.bevételek RM V'!AJ20</f>
        <v>237</v>
      </c>
      <c r="AO20" s="2291">
        <v>237</v>
      </c>
      <c r="AP20" s="2292">
        <f t="shared" si="4"/>
        <v>1</v>
      </c>
      <c r="AQ20" s="2293" t="s">
        <v>1317</v>
      </c>
      <c r="AR20" s="2291">
        <f>[4]int.bevételek2018!L19</f>
        <v>67832</v>
      </c>
      <c r="AS20" s="2291">
        <f>'[5]int.bevételek RM V'!AM20</f>
        <v>68269</v>
      </c>
      <c r="AT20" s="2291">
        <v>67167</v>
      </c>
      <c r="AU20" s="2292">
        <f t="shared" si="5"/>
        <v>0.98385797360441785</v>
      </c>
      <c r="AV20" s="2291">
        <f>[4]int.bevételek2018!M19</f>
        <v>0</v>
      </c>
      <c r="AW20" s="2291">
        <f>'[5]int.bevételek RM V'!AP20</f>
        <v>1205</v>
      </c>
      <c r="AX20" s="2291">
        <v>1204</v>
      </c>
      <c r="AY20" s="2292">
        <f t="shared" si="6"/>
        <v>0.9991701244813278</v>
      </c>
      <c r="AZ20" s="2291">
        <f t="shared" si="7"/>
        <v>67832</v>
      </c>
      <c r="BA20" s="2291">
        <f t="shared" si="7"/>
        <v>69474</v>
      </c>
      <c r="BB20" s="2291">
        <f t="shared" si="7"/>
        <v>68371</v>
      </c>
      <c r="BC20" s="2292">
        <f t="shared" si="8"/>
        <v>0.98412355701413479</v>
      </c>
      <c r="BD20" s="2291">
        <f t="shared" si="9"/>
        <v>68476</v>
      </c>
      <c r="BE20" s="2291">
        <f t="shared" si="9"/>
        <v>70884</v>
      </c>
      <c r="BF20" s="2291">
        <f t="shared" si="9"/>
        <v>69779</v>
      </c>
      <c r="BG20" s="2292">
        <f t="shared" si="10"/>
        <v>0.98441115061226792</v>
      </c>
      <c r="BH20" s="2192">
        <f>'[6]éves besz.kiadásai2018'!AQ20-'4 int bevétel'!AK20-AX20</f>
        <v>0</v>
      </c>
      <c r="BI20" s="2192">
        <f>'[6]éves besz.kiadásai2018'!AP20-'4 int bevétel'!AJ20-AW20</f>
        <v>0</v>
      </c>
    </row>
    <row r="21" spans="1:61" ht="57" customHeight="1" x14ac:dyDescent="0.6">
      <c r="A21" s="2205" t="s">
        <v>1318</v>
      </c>
      <c r="B21" s="2291">
        <f>[4]int.bevételek2018!B20</f>
        <v>820</v>
      </c>
      <c r="C21" s="2291">
        <f>'[5]int.bevételek RM V'!D21</f>
        <v>1286</v>
      </c>
      <c r="D21" s="2291">
        <v>1285</v>
      </c>
      <c r="E21" s="2292">
        <f t="shared" si="0"/>
        <v>0.9992223950233281</v>
      </c>
      <c r="F21" s="2291">
        <f>[4]int.bevételek2018!C20</f>
        <v>0</v>
      </c>
      <c r="G21" s="2291">
        <f>'[5]int.bevételek RM V'!G21</f>
        <v>0</v>
      </c>
      <c r="H21" s="2291"/>
      <c r="I21" s="2292"/>
      <c r="J21" s="2291">
        <f>[4]int.bevételek2018!D20</f>
        <v>0</v>
      </c>
      <c r="K21" s="2291">
        <f>'[5]int.bevételek RM V'!J21</f>
        <v>0</v>
      </c>
      <c r="L21" s="2291"/>
      <c r="M21" s="2292"/>
      <c r="N21" s="2291">
        <f>[4]int.bevételek2018!E20</f>
        <v>0</v>
      </c>
      <c r="O21" s="2291">
        <f>'[5]int.bevételek RM V'!M21</f>
        <v>0</v>
      </c>
      <c r="P21" s="2291"/>
      <c r="Q21" s="2292"/>
      <c r="R21" s="2291">
        <f t="shared" si="1"/>
        <v>820</v>
      </c>
      <c r="S21" s="2291">
        <f t="shared" si="1"/>
        <v>1286</v>
      </c>
      <c r="T21" s="2291">
        <f t="shared" si="1"/>
        <v>1285</v>
      </c>
      <c r="U21" s="2292">
        <f t="shared" si="2"/>
        <v>0.9992223950233281</v>
      </c>
      <c r="V21" s="2293" t="s">
        <v>1318</v>
      </c>
      <c r="W21" s="2291">
        <f>[4]int.bevételek2018!H20</f>
        <v>0</v>
      </c>
      <c r="X21" s="2291">
        <f>'[5]int.bevételek RM V'!T21</f>
        <v>0</v>
      </c>
      <c r="Y21" s="2291"/>
      <c r="Z21" s="2292"/>
      <c r="AA21" s="2291">
        <f>[4]int.bevételek2018!I20</f>
        <v>0</v>
      </c>
      <c r="AB21" s="2291">
        <f>'[5]int.bevételek RM V'!W21</f>
        <v>0</v>
      </c>
      <c r="AC21" s="2291"/>
      <c r="AD21" s="2292"/>
      <c r="AE21" s="2291">
        <f>[4]int.bevételek2018!J20</f>
        <v>0</v>
      </c>
      <c r="AF21" s="2291">
        <f>'[5]int.bevételek RM V'!Z21</f>
        <v>0</v>
      </c>
      <c r="AG21" s="2291"/>
      <c r="AH21" s="2292"/>
      <c r="AI21" s="2291">
        <f t="shared" si="3"/>
        <v>0</v>
      </c>
      <c r="AJ21" s="2291">
        <f t="shared" si="3"/>
        <v>0</v>
      </c>
      <c r="AK21" s="2291">
        <f t="shared" si="3"/>
        <v>0</v>
      </c>
      <c r="AL21" s="2292"/>
      <c r="AM21" s="2291"/>
      <c r="AN21" s="2291">
        <f>'[5]int.bevételek RM V'!AJ21</f>
        <v>154</v>
      </c>
      <c r="AO21" s="2291">
        <v>154</v>
      </c>
      <c r="AP21" s="2292">
        <f t="shared" si="4"/>
        <v>1</v>
      </c>
      <c r="AQ21" s="2293" t="s">
        <v>1318</v>
      </c>
      <c r="AR21" s="2291">
        <f>[4]int.bevételek2018!L20</f>
        <v>55986</v>
      </c>
      <c r="AS21" s="2291">
        <f>'[5]int.bevételek RM V'!AM21</f>
        <v>55706</v>
      </c>
      <c r="AT21" s="2291">
        <v>53740</v>
      </c>
      <c r="AU21" s="2292">
        <f t="shared" si="5"/>
        <v>0.96470757189530754</v>
      </c>
      <c r="AV21" s="2291">
        <f>[4]int.bevételek2018!M20</f>
        <v>0</v>
      </c>
      <c r="AW21" s="2291">
        <f>'[5]int.bevételek RM V'!AP21</f>
        <v>15138</v>
      </c>
      <c r="AX21" s="2291">
        <v>5383</v>
      </c>
      <c r="AY21" s="2292">
        <f t="shared" si="6"/>
        <v>0.35559519091029196</v>
      </c>
      <c r="AZ21" s="2291">
        <f t="shared" si="7"/>
        <v>55986</v>
      </c>
      <c r="BA21" s="2291">
        <f t="shared" si="7"/>
        <v>70844</v>
      </c>
      <c r="BB21" s="2291">
        <f t="shared" si="7"/>
        <v>59123</v>
      </c>
      <c r="BC21" s="2292">
        <f t="shared" si="8"/>
        <v>0.8345519733498955</v>
      </c>
      <c r="BD21" s="2291">
        <f t="shared" si="9"/>
        <v>56806</v>
      </c>
      <c r="BE21" s="2291">
        <f t="shared" si="9"/>
        <v>72284</v>
      </c>
      <c r="BF21" s="2291">
        <f t="shared" si="9"/>
        <v>60562</v>
      </c>
      <c r="BG21" s="2292">
        <f t="shared" si="10"/>
        <v>0.83783409883238336</v>
      </c>
      <c r="BH21" s="2192">
        <f>'[6]éves besz.kiadásai2018'!AQ21-'4 int bevétel'!AK21-AX21</f>
        <v>0</v>
      </c>
      <c r="BI21" s="2192">
        <f>'[6]éves besz.kiadásai2018'!AP21-'4 int bevétel'!AJ21-AW21</f>
        <v>0</v>
      </c>
    </row>
    <row r="22" spans="1:61" ht="57" customHeight="1" x14ac:dyDescent="0.6">
      <c r="A22" s="2205" t="s">
        <v>1319</v>
      </c>
      <c r="B22" s="2291">
        <f>[4]int.bevételek2018!B21</f>
        <v>135</v>
      </c>
      <c r="C22" s="2291">
        <f>'[5]int.bevételek RM V'!D22</f>
        <v>520</v>
      </c>
      <c r="D22" s="2291">
        <v>520</v>
      </c>
      <c r="E22" s="2292">
        <f t="shared" si="0"/>
        <v>1</v>
      </c>
      <c r="F22" s="2291">
        <f>[4]int.bevételek2018!C21</f>
        <v>0</v>
      </c>
      <c r="G22" s="2291">
        <f>'[5]int.bevételek RM V'!G22</f>
        <v>0</v>
      </c>
      <c r="H22" s="2291"/>
      <c r="I22" s="2292"/>
      <c r="J22" s="2291">
        <f>[4]int.bevételek2018!D21</f>
        <v>0</v>
      </c>
      <c r="K22" s="2291">
        <f>'[5]int.bevételek RM V'!J22</f>
        <v>952</v>
      </c>
      <c r="L22" s="2291">
        <v>951</v>
      </c>
      <c r="M22" s="2292">
        <f>L22/K22</f>
        <v>0.99894957983193278</v>
      </c>
      <c r="N22" s="2291">
        <f>[4]int.bevételek2018!E21</f>
        <v>0</v>
      </c>
      <c r="O22" s="2291">
        <f>'[5]int.bevételek RM V'!M22</f>
        <v>0</v>
      </c>
      <c r="P22" s="2291"/>
      <c r="Q22" s="2292"/>
      <c r="R22" s="2291">
        <f t="shared" si="1"/>
        <v>135</v>
      </c>
      <c r="S22" s="2291">
        <f t="shared" si="1"/>
        <v>1472</v>
      </c>
      <c r="T22" s="2291">
        <f t="shared" si="1"/>
        <v>1471</v>
      </c>
      <c r="U22" s="2292">
        <f t="shared" si="2"/>
        <v>0.99932065217391308</v>
      </c>
      <c r="V22" s="2293" t="s">
        <v>1319</v>
      </c>
      <c r="W22" s="2291">
        <f>[4]int.bevételek2018!H21</f>
        <v>0</v>
      </c>
      <c r="X22" s="2291">
        <f>'[5]int.bevételek RM V'!T22</f>
        <v>0</v>
      </c>
      <c r="Y22" s="2291"/>
      <c r="Z22" s="2292"/>
      <c r="AA22" s="2291">
        <f>[4]int.bevételek2018!I21</f>
        <v>0</v>
      </c>
      <c r="AB22" s="2291">
        <f>'[5]int.bevételek RM V'!W22</f>
        <v>0</v>
      </c>
      <c r="AC22" s="2291"/>
      <c r="AD22" s="2292"/>
      <c r="AE22" s="2291">
        <f>[4]int.bevételek2018!J21</f>
        <v>0</v>
      </c>
      <c r="AF22" s="2291">
        <f>'[5]int.bevételek RM V'!Z22</f>
        <v>0</v>
      </c>
      <c r="AG22" s="2291"/>
      <c r="AH22" s="2292"/>
      <c r="AI22" s="2291">
        <f t="shared" si="3"/>
        <v>0</v>
      </c>
      <c r="AJ22" s="2291">
        <f t="shared" si="3"/>
        <v>0</v>
      </c>
      <c r="AK22" s="2291">
        <f t="shared" si="3"/>
        <v>0</v>
      </c>
      <c r="AL22" s="2292"/>
      <c r="AM22" s="2291"/>
      <c r="AN22" s="2291">
        <f>'[5]int.bevételek RM V'!AJ22</f>
        <v>75</v>
      </c>
      <c r="AO22" s="2291">
        <v>75</v>
      </c>
      <c r="AP22" s="2292">
        <f t="shared" si="4"/>
        <v>1</v>
      </c>
      <c r="AQ22" s="2293" t="s">
        <v>1319</v>
      </c>
      <c r="AR22" s="2291">
        <f>[4]int.bevételek2018!L21</f>
        <v>66596</v>
      </c>
      <c r="AS22" s="2291">
        <f>'[5]int.bevételek RM V'!AM22</f>
        <v>66439</v>
      </c>
      <c r="AT22" s="2291">
        <v>64994</v>
      </c>
      <c r="AU22" s="2292">
        <f t="shared" si="5"/>
        <v>0.9782507262300757</v>
      </c>
      <c r="AV22" s="2291">
        <f>[4]int.bevételek2018!M21</f>
        <v>0</v>
      </c>
      <c r="AW22" s="2291">
        <f>'[5]int.bevételek RM V'!AP22</f>
        <v>1812</v>
      </c>
      <c r="AX22" s="2291">
        <v>859</v>
      </c>
      <c r="AY22" s="2292">
        <f t="shared" si="6"/>
        <v>0.47406181015452536</v>
      </c>
      <c r="AZ22" s="2291">
        <f t="shared" si="7"/>
        <v>66596</v>
      </c>
      <c r="BA22" s="2291">
        <f t="shared" si="7"/>
        <v>68251</v>
      </c>
      <c r="BB22" s="2291">
        <f t="shared" si="7"/>
        <v>65853</v>
      </c>
      <c r="BC22" s="2292">
        <f t="shared" si="8"/>
        <v>0.96486498366324303</v>
      </c>
      <c r="BD22" s="2291">
        <f t="shared" si="9"/>
        <v>66731</v>
      </c>
      <c r="BE22" s="2291">
        <f t="shared" si="9"/>
        <v>69798</v>
      </c>
      <c r="BF22" s="2291">
        <f t="shared" si="9"/>
        <v>67399</v>
      </c>
      <c r="BG22" s="2292">
        <f t="shared" si="10"/>
        <v>0.96562938766153761</v>
      </c>
      <c r="BH22" s="2192">
        <f>'[6]éves besz.kiadásai2018'!AQ22-'4 int bevétel'!AK22-AX22</f>
        <v>0</v>
      </c>
      <c r="BI22" s="2192">
        <f>'[6]éves besz.kiadásai2018'!AP22-'4 int bevétel'!AJ22-AW22</f>
        <v>0</v>
      </c>
    </row>
    <row r="23" spans="1:61" ht="57" customHeight="1" x14ac:dyDescent="0.6">
      <c r="A23" s="2205" t="s">
        <v>1320</v>
      </c>
      <c r="B23" s="2291">
        <f>[4]int.bevételek2018!B22</f>
        <v>604</v>
      </c>
      <c r="C23" s="2291">
        <f>'[5]int.bevételek RM V'!D23</f>
        <v>1768</v>
      </c>
      <c r="D23" s="2291">
        <v>1767</v>
      </c>
      <c r="E23" s="2292">
        <f t="shared" si="0"/>
        <v>0.9994343891402715</v>
      </c>
      <c r="F23" s="2291">
        <f>[4]int.bevételek2018!C22</f>
        <v>0</v>
      </c>
      <c r="G23" s="2291">
        <f>'[5]int.bevételek RM V'!G23</f>
        <v>200</v>
      </c>
      <c r="H23" s="2291">
        <v>200</v>
      </c>
      <c r="I23" s="2292">
        <f>H23/G23</f>
        <v>1</v>
      </c>
      <c r="J23" s="2291">
        <f>[4]int.bevételek2018!D22</f>
        <v>0</v>
      </c>
      <c r="K23" s="2291">
        <f>'[5]int.bevételek RM V'!J23</f>
        <v>0</v>
      </c>
      <c r="L23" s="2291"/>
      <c r="M23" s="2292"/>
      <c r="N23" s="2291">
        <f>[4]int.bevételek2018!E22</f>
        <v>0</v>
      </c>
      <c r="O23" s="2291">
        <f>'[5]int.bevételek RM V'!M23</f>
        <v>0</v>
      </c>
      <c r="P23" s="2291"/>
      <c r="Q23" s="2292"/>
      <c r="R23" s="2291">
        <f t="shared" si="1"/>
        <v>604</v>
      </c>
      <c r="S23" s="2291">
        <f t="shared" si="1"/>
        <v>1968</v>
      </c>
      <c r="T23" s="2291">
        <f t="shared" si="1"/>
        <v>1967</v>
      </c>
      <c r="U23" s="2292">
        <f t="shared" si="2"/>
        <v>0.99949186991869921</v>
      </c>
      <c r="V23" s="2293" t="s">
        <v>1320</v>
      </c>
      <c r="W23" s="2291">
        <f>[4]int.bevételek2018!H22</f>
        <v>0</v>
      </c>
      <c r="X23" s="2291">
        <f>'[5]int.bevételek RM V'!T23</f>
        <v>0</v>
      </c>
      <c r="Y23" s="2291"/>
      <c r="Z23" s="2292"/>
      <c r="AA23" s="2291">
        <f>[4]int.bevételek2018!I22</f>
        <v>0</v>
      </c>
      <c r="AB23" s="2291">
        <f>'[5]int.bevételek RM V'!W23</f>
        <v>0</v>
      </c>
      <c r="AC23" s="2291"/>
      <c r="AD23" s="2292"/>
      <c r="AE23" s="2291">
        <f>[4]int.bevételek2018!J22</f>
        <v>0</v>
      </c>
      <c r="AF23" s="2291">
        <f>'[5]int.bevételek RM V'!Z23</f>
        <v>0</v>
      </c>
      <c r="AG23" s="2291"/>
      <c r="AH23" s="2292"/>
      <c r="AI23" s="2291">
        <f t="shared" si="3"/>
        <v>0</v>
      </c>
      <c r="AJ23" s="2291">
        <f t="shared" si="3"/>
        <v>0</v>
      </c>
      <c r="AK23" s="2291">
        <f t="shared" si="3"/>
        <v>0</v>
      </c>
      <c r="AL23" s="2292"/>
      <c r="AM23" s="2291"/>
      <c r="AN23" s="2291">
        <f>'[5]int.bevételek RM V'!AJ23</f>
        <v>356</v>
      </c>
      <c r="AO23" s="2291">
        <v>356</v>
      </c>
      <c r="AP23" s="2292">
        <f t="shared" si="4"/>
        <v>1</v>
      </c>
      <c r="AQ23" s="2293" t="s">
        <v>1320</v>
      </c>
      <c r="AR23" s="2291">
        <f>[4]int.bevételek2018!L22</f>
        <v>93910</v>
      </c>
      <c r="AS23" s="2291">
        <f>'[5]int.bevételek RM V'!AM23</f>
        <v>96567</v>
      </c>
      <c r="AT23" s="2291">
        <v>94616</v>
      </c>
      <c r="AU23" s="2292">
        <f t="shared" si="5"/>
        <v>0.97979641078215129</v>
      </c>
      <c r="AV23" s="2291">
        <f>[4]int.bevételek2018!M22</f>
        <v>0</v>
      </c>
      <c r="AW23" s="2291">
        <f>'[5]int.bevételek RM V'!AP23</f>
        <v>7722</v>
      </c>
      <c r="AX23" s="2291">
        <v>7720</v>
      </c>
      <c r="AY23" s="2292">
        <f t="shared" si="6"/>
        <v>0.99974099974099973</v>
      </c>
      <c r="AZ23" s="2291">
        <f t="shared" si="7"/>
        <v>93910</v>
      </c>
      <c r="BA23" s="2291">
        <f t="shared" si="7"/>
        <v>104289</v>
      </c>
      <c r="BB23" s="2291">
        <f t="shared" si="7"/>
        <v>102336</v>
      </c>
      <c r="BC23" s="2292">
        <f t="shared" si="8"/>
        <v>0.98127319276241987</v>
      </c>
      <c r="BD23" s="2291">
        <f t="shared" si="9"/>
        <v>94514</v>
      </c>
      <c r="BE23" s="2291">
        <f t="shared" si="9"/>
        <v>106613</v>
      </c>
      <c r="BF23" s="2291">
        <f t="shared" si="9"/>
        <v>104659</v>
      </c>
      <c r="BG23" s="2292">
        <f t="shared" si="10"/>
        <v>0.98167202873945958</v>
      </c>
      <c r="BH23" s="2192">
        <f>'[6]éves besz.kiadásai2018'!AQ23-'4 int bevétel'!AK23-AX23</f>
        <v>0</v>
      </c>
      <c r="BI23" s="2192">
        <f>'[6]éves besz.kiadásai2018'!AP23-'4 int bevétel'!AJ23-AW23</f>
        <v>0</v>
      </c>
    </row>
    <row r="24" spans="1:61" ht="57" customHeight="1" x14ac:dyDescent="0.6">
      <c r="A24" s="2205" t="s">
        <v>1321</v>
      </c>
      <c r="B24" s="2291">
        <f>[4]int.bevételek2018!B23</f>
        <v>1939</v>
      </c>
      <c r="C24" s="2291">
        <f>'[5]int.bevételek RM V'!D24</f>
        <v>2268</v>
      </c>
      <c r="D24" s="2291">
        <v>2267</v>
      </c>
      <c r="E24" s="2292">
        <f t="shared" si="0"/>
        <v>0.99955908289241624</v>
      </c>
      <c r="F24" s="2291">
        <f>[4]int.bevételek2018!C23</f>
        <v>0</v>
      </c>
      <c r="G24" s="2291">
        <f>'[5]int.bevételek RM V'!G24</f>
        <v>0</v>
      </c>
      <c r="H24" s="2291"/>
      <c r="I24" s="2292"/>
      <c r="J24" s="2291">
        <f>[4]int.bevételek2018!D23</f>
        <v>0</v>
      </c>
      <c r="K24" s="2291">
        <f>'[5]int.bevételek RM V'!J24</f>
        <v>136</v>
      </c>
      <c r="L24" s="2291">
        <v>136</v>
      </c>
      <c r="M24" s="2292">
        <f>L24/K24</f>
        <v>1</v>
      </c>
      <c r="N24" s="2291">
        <f>[4]int.bevételek2018!E23</f>
        <v>0</v>
      </c>
      <c r="O24" s="2291">
        <f>'[5]int.bevételek RM V'!M24</f>
        <v>0</v>
      </c>
      <c r="P24" s="2291"/>
      <c r="Q24" s="2292"/>
      <c r="R24" s="2291">
        <f t="shared" si="1"/>
        <v>1939</v>
      </c>
      <c r="S24" s="2291">
        <f t="shared" si="1"/>
        <v>2404</v>
      </c>
      <c r="T24" s="2291">
        <f t="shared" si="1"/>
        <v>2403</v>
      </c>
      <c r="U24" s="2292">
        <f t="shared" si="2"/>
        <v>0.99958402662229617</v>
      </c>
      <c r="V24" s="2293" t="s">
        <v>1321</v>
      </c>
      <c r="W24" s="2291">
        <f>[4]int.bevételek2018!H23</f>
        <v>0</v>
      </c>
      <c r="X24" s="2291">
        <f>'[5]int.bevételek RM V'!T24</f>
        <v>0</v>
      </c>
      <c r="Y24" s="2291"/>
      <c r="Z24" s="2292"/>
      <c r="AA24" s="2291">
        <f>[4]int.bevételek2018!I23</f>
        <v>0</v>
      </c>
      <c r="AB24" s="2291">
        <f>'[5]int.bevételek RM V'!W24</f>
        <v>0</v>
      </c>
      <c r="AC24" s="2291"/>
      <c r="AD24" s="2292"/>
      <c r="AE24" s="2291">
        <f>[4]int.bevételek2018!J23</f>
        <v>0</v>
      </c>
      <c r="AF24" s="2291">
        <f>'[5]int.bevételek RM V'!Z24</f>
        <v>0</v>
      </c>
      <c r="AG24" s="2291"/>
      <c r="AH24" s="2292"/>
      <c r="AI24" s="2291">
        <f t="shared" si="3"/>
        <v>0</v>
      </c>
      <c r="AJ24" s="2291">
        <f t="shared" si="3"/>
        <v>0</v>
      </c>
      <c r="AK24" s="2291">
        <f t="shared" si="3"/>
        <v>0</v>
      </c>
      <c r="AL24" s="2292"/>
      <c r="AM24" s="2291"/>
      <c r="AN24" s="2291">
        <f>'[5]int.bevételek RM V'!AJ24</f>
        <v>222</v>
      </c>
      <c r="AO24" s="2291">
        <v>222</v>
      </c>
      <c r="AP24" s="2292">
        <f t="shared" si="4"/>
        <v>1</v>
      </c>
      <c r="AQ24" s="2293" t="s">
        <v>1321</v>
      </c>
      <c r="AR24" s="2291">
        <f>[4]int.bevételek2018!L23</f>
        <v>121827</v>
      </c>
      <c r="AS24" s="2291">
        <f>'[5]int.bevételek RM V'!AM24</f>
        <v>122184</v>
      </c>
      <c r="AT24" s="2291">
        <f>120683-1</f>
        <v>120682</v>
      </c>
      <c r="AU24" s="2292">
        <f t="shared" si="5"/>
        <v>0.98770706475479608</v>
      </c>
      <c r="AV24" s="2291">
        <f>[4]int.bevételek2018!M23</f>
        <v>0</v>
      </c>
      <c r="AW24" s="2291">
        <f>'[5]int.bevételek RM V'!AP24</f>
        <v>3607</v>
      </c>
      <c r="AX24" s="2291">
        <v>3606</v>
      </c>
      <c r="AY24" s="2292">
        <f t="shared" si="6"/>
        <v>0.99972276129747717</v>
      </c>
      <c r="AZ24" s="2291">
        <f t="shared" si="7"/>
        <v>121827</v>
      </c>
      <c r="BA24" s="2291">
        <f t="shared" si="7"/>
        <v>125791</v>
      </c>
      <c r="BB24" s="2291">
        <f t="shared" si="7"/>
        <v>124288</v>
      </c>
      <c r="BC24" s="2292">
        <f t="shared" si="8"/>
        <v>0.98805160941561798</v>
      </c>
      <c r="BD24" s="2291">
        <f t="shared" si="9"/>
        <v>123766</v>
      </c>
      <c r="BE24" s="2291">
        <f t="shared" si="9"/>
        <v>128417</v>
      </c>
      <c r="BF24" s="2291">
        <f t="shared" si="9"/>
        <v>126913</v>
      </c>
      <c r="BG24" s="2292">
        <f t="shared" si="10"/>
        <v>0.98828815499505518</v>
      </c>
      <c r="BH24" s="2192">
        <f>'[6]éves besz.kiadásai2018'!AQ24-'4 int bevétel'!AK24-AX24</f>
        <v>0</v>
      </c>
      <c r="BI24" s="2192">
        <f>'[6]éves besz.kiadásai2018'!AP24-'4 int bevétel'!AJ24-AW24</f>
        <v>0</v>
      </c>
    </row>
    <row r="25" spans="1:61" ht="57" customHeight="1" x14ac:dyDescent="0.6">
      <c r="A25" s="2205" t="s">
        <v>1424</v>
      </c>
      <c r="B25" s="2291">
        <f>[4]int.bevételek2018!B24</f>
        <v>1256</v>
      </c>
      <c r="C25" s="2291">
        <f>'[5]int.bevételek RM V'!D25</f>
        <v>1546</v>
      </c>
      <c r="D25" s="2291">
        <v>1545</v>
      </c>
      <c r="E25" s="2292">
        <f t="shared" si="0"/>
        <v>0.99935316946959896</v>
      </c>
      <c r="F25" s="2291">
        <f>[4]int.bevételek2018!C24</f>
        <v>0</v>
      </c>
      <c r="G25" s="2291">
        <f>'[5]int.bevételek RM V'!G25</f>
        <v>0</v>
      </c>
      <c r="H25" s="2291"/>
      <c r="I25" s="2292"/>
      <c r="J25" s="2291">
        <f>[4]int.bevételek2018!D24</f>
        <v>0</v>
      </c>
      <c r="K25" s="2291">
        <f>'[5]int.bevételek RM V'!J25</f>
        <v>0</v>
      </c>
      <c r="L25" s="2291"/>
      <c r="M25" s="2292"/>
      <c r="N25" s="2291">
        <f>[4]int.bevételek2018!E24</f>
        <v>0</v>
      </c>
      <c r="O25" s="2291">
        <f>'[5]int.bevételek RM V'!M25</f>
        <v>0</v>
      </c>
      <c r="P25" s="2291"/>
      <c r="Q25" s="2292"/>
      <c r="R25" s="2291">
        <f t="shared" si="1"/>
        <v>1256</v>
      </c>
      <c r="S25" s="2291">
        <f t="shared" si="1"/>
        <v>1546</v>
      </c>
      <c r="T25" s="2291">
        <f t="shared" si="1"/>
        <v>1545</v>
      </c>
      <c r="U25" s="2292">
        <f t="shared" si="2"/>
        <v>0.99935316946959896</v>
      </c>
      <c r="V25" s="2293" t="s">
        <v>1424</v>
      </c>
      <c r="W25" s="2291">
        <f>[4]int.bevételek2018!H24</f>
        <v>0</v>
      </c>
      <c r="X25" s="2291">
        <f>'[5]int.bevételek RM V'!T25</f>
        <v>0</v>
      </c>
      <c r="Y25" s="2291"/>
      <c r="Z25" s="2292"/>
      <c r="AA25" s="2291">
        <f>[4]int.bevételek2018!I24</f>
        <v>0</v>
      </c>
      <c r="AB25" s="2291">
        <f>'[5]int.bevételek RM V'!W25</f>
        <v>0</v>
      </c>
      <c r="AC25" s="2291"/>
      <c r="AD25" s="2292"/>
      <c r="AE25" s="2291">
        <f>[4]int.bevételek2018!J24</f>
        <v>0</v>
      </c>
      <c r="AF25" s="2291">
        <f>'[5]int.bevételek RM V'!Z25</f>
        <v>0</v>
      </c>
      <c r="AG25" s="2291"/>
      <c r="AH25" s="2292"/>
      <c r="AI25" s="2291">
        <f t="shared" si="3"/>
        <v>0</v>
      </c>
      <c r="AJ25" s="2291">
        <f t="shared" si="3"/>
        <v>0</v>
      </c>
      <c r="AK25" s="2291">
        <f t="shared" si="3"/>
        <v>0</v>
      </c>
      <c r="AL25" s="2292"/>
      <c r="AM25" s="2291"/>
      <c r="AN25" s="2291">
        <f>'[5]int.bevételek RM V'!AJ25</f>
        <v>147</v>
      </c>
      <c r="AO25" s="2291">
        <v>147</v>
      </c>
      <c r="AP25" s="2292">
        <f t="shared" si="4"/>
        <v>1</v>
      </c>
      <c r="AQ25" s="2293" t="s">
        <v>1424</v>
      </c>
      <c r="AR25" s="2291">
        <f>[4]int.bevételek2018!L24</f>
        <v>96702</v>
      </c>
      <c r="AS25" s="2291">
        <f>'[5]int.bevételek RM V'!AM25</f>
        <v>100541</v>
      </c>
      <c r="AT25" s="2291">
        <v>94808</v>
      </c>
      <c r="AU25" s="2292">
        <f t="shared" si="5"/>
        <v>0.94297848638863746</v>
      </c>
      <c r="AV25" s="2291">
        <f>[4]int.bevételek2018!M24</f>
        <v>0</v>
      </c>
      <c r="AW25" s="2291">
        <f>'[5]int.bevételek RM V'!AP25</f>
        <v>2953</v>
      </c>
      <c r="AX25" s="2291">
        <v>2789</v>
      </c>
      <c r="AY25" s="2292">
        <f t="shared" si="6"/>
        <v>0.94446325770402983</v>
      </c>
      <c r="AZ25" s="2291">
        <f t="shared" si="7"/>
        <v>96702</v>
      </c>
      <c r="BA25" s="2291">
        <f t="shared" si="7"/>
        <v>103494</v>
      </c>
      <c r="BB25" s="2291">
        <f t="shared" si="7"/>
        <v>97597</v>
      </c>
      <c r="BC25" s="2292">
        <f t="shared" si="8"/>
        <v>0.94302085145032566</v>
      </c>
      <c r="BD25" s="2291">
        <f t="shared" si="9"/>
        <v>97958</v>
      </c>
      <c r="BE25" s="2291">
        <f t="shared" si="9"/>
        <v>105187</v>
      </c>
      <c r="BF25" s="2291">
        <f t="shared" si="9"/>
        <v>99289</v>
      </c>
      <c r="BG25" s="2292">
        <f t="shared" si="10"/>
        <v>0.94392843222071166</v>
      </c>
      <c r="BH25" s="2192">
        <f>'[6]éves besz.kiadásai2018'!AQ25-'4 int bevétel'!AK25-AX25</f>
        <v>0</v>
      </c>
      <c r="BI25" s="2192">
        <f>'[6]éves besz.kiadásai2018'!AP25-'4 int bevétel'!AJ25-AW25</f>
        <v>0</v>
      </c>
    </row>
    <row r="26" spans="1:61" ht="57" customHeight="1" x14ac:dyDescent="0.6">
      <c r="A26" s="2205" t="s">
        <v>1323</v>
      </c>
      <c r="B26" s="2291">
        <f>[4]int.bevételek2018!B25</f>
        <v>987</v>
      </c>
      <c r="C26" s="2291">
        <f>'[5]int.bevételek RM V'!D26</f>
        <v>1409</v>
      </c>
      <c r="D26" s="2291">
        <v>1409</v>
      </c>
      <c r="E26" s="2292">
        <f t="shared" si="0"/>
        <v>1</v>
      </c>
      <c r="F26" s="2291">
        <f>[4]int.bevételek2018!C25</f>
        <v>0</v>
      </c>
      <c r="G26" s="2291">
        <f>'[5]int.bevételek RM V'!G26</f>
        <v>19</v>
      </c>
      <c r="H26" s="2291">
        <f>18+1</f>
        <v>19</v>
      </c>
      <c r="I26" s="2292">
        <f>H26/G26</f>
        <v>1</v>
      </c>
      <c r="J26" s="2291">
        <f>[4]int.bevételek2018!D25</f>
        <v>0</v>
      </c>
      <c r="K26" s="2291">
        <f>'[5]int.bevételek RM V'!J26</f>
        <v>0</v>
      </c>
      <c r="L26" s="2291"/>
      <c r="M26" s="2292"/>
      <c r="N26" s="2291">
        <f>[4]int.bevételek2018!E25</f>
        <v>0</v>
      </c>
      <c r="O26" s="2291">
        <f>'[5]int.bevételek RM V'!M26</f>
        <v>0</v>
      </c>
      <c r="P26" s="2291"/>
      <c r="Q26" s="2292"/>
      <c r="R26" s="2291">
        <f t="shared" si="1"/>
        <v>987</v>
      </c>
      <c r="S26" s="2291">
        <f t="shared" si="1"/>
        <v>1428</v>
      </c>
      <c r="T26" s="2291">
        <f t="shared" si="1"/>
        <v>1428</v>
      </c>
      <c r="U26" s="2292">
        <f t="shared" si="2"/>
        <v>1</v>
      </c>
      <c r="V26" s="2293" t="s">
        <v>1323</v>
      </c>
      <c r="W26" s="2291">
        <f>[4]int.bevételek2018!H25</f>
        <v>0</v>
      </c>
      <c r="X26" s="2291">
        <f>'[5]int.bevételek RM V'!T26</f>
        <v>0</v>
      </c>
      <c r="Y26" s="2291"/>
      <c r="Z26" s="2292"/>
      <c r="AA26" s="2291">
        <f>[4]int.bevételek2018!I25</f>
        <v>0</v>
      </c>
      <c r="AB26" s="2291">
        <f>'[5]int.bevételek RM V'!W26</f>
        <v>0</v>
      </c>
      <c r="AC26" s="2291"/>
      <c r="AD26" s="2292"/>
      <c r="AE26" s="2291">
        <f>[4]int.bevételek2018!J25</f>
        <v>0</v>
      </c>
      <c r="AF26" s="2291">
        <f>'[5]int.bevételek RM V'!Z26</f>
        <v>0</v>
      </c>
      <c r="AG26" s="2291"/>
      <c r="AH26" s="2292"/>
      <c r="AI26" s="2291">
        <f t="shared" si="3"/>
        <v>0</v>
      </c>
      <c r="AJ26" s="2291">
        <f t="shared" si="3"/>
        <v>0</v>
      </c>
      <c r="AK26" s="2291">
        <f t="shared" si="3"/>
        <v>0</v>
      </c>
      <c r="AL26" s="2292"/>
      <c r="AM26" s="2291"/>
      <c r="AN26" s="2291">
        <f>'[5]int.bevételek RM V'!AJ26</f>
        <v>418</v>
      </c>
      <c r="AO26" s="2291">
        <v>418</v>
      </c>
      <c r="AP26" s="2292">
        <f t="shared" si="4"/>
        <v>1</v>
      </c>
      <c r="AQ26" s="2293" t="s">
        <v>1323</v>
      </c>
      <c r="AR26" s="2291">
        <f>[4]int.bevételek2018!L25</f>
        <v>79618</v>
      </c>
      <c r="AS26" s="2291">
        <f>'[5]int.bevételek RM V'!AM26</f>
        <v>81874</v>
      </c>
      <c r="AT26" s="2291">
        <v>77321</v>
      </c>
      <c r="AU26" s="2292">
        <f t="shared" si="5"/>
        <v>0.94439016049050983</v>
      </c>
      <c r="AV26" s="2291">
        <f>[4]int.bevételek2018!M25</f>
        <v>0</v>
      </c>
      <c r="AW26" s="2291">
        <f>'[5]int.bevételek RM V'!AP26</f>
        <v>7085</v>
      </c>
      <c r="AX26" s="2291">
        <v>4856</v>
      </c>
      <c r="AY26" s="2292">
        <f t="shared" si="6"/>
        <v>0.68539167254763589</v>
      </c>
      <c r="AZ26" s="2291">
        <f t="shared" si="7"/>
        <v>79618</v>
      </c>
      <c r="BA26" s="2291">
        <f t="shared" si="7"/>
        <v>88959</v>
      </c>
      <c r="BB26" s="2291">
        <f t="shared" si="7"/>
        <v>82177</v>
      </c>
      <c r="BC26" s="2292">
        <f t="shared" si="8"/>
        <v>0.92376263222383348</v>
      </c>
      <c r="BD26" s="2291">
        <f t="shared" si="9"/>
        <v>80605</v>
      </c>
      <c r="BE26" s="2291">
        <f t="shared" si="9"/>
        <v>90805</v>
      </c>
      <c r="BF26" s="2291">
        <f t="shared" si="9"/>
        <v>84023</v>
      </c>
      <c r="BG26" s="2292">
        <f t="shared" si="10"/>
        <v>0.92531248279279776</v>
      </c>
      <c r="BH26" s="2192">
        <f>'[6]éves besz.kiadásai2018'!AQ26-'4 int bevétel'!AK26-AX26</f>
        <v>0</v>
      </c>
      <c r="BI26" s="2192">
        <f>'[6]éves besz.kiadásai2018'!AP26-'4 int bevétel'!AJ26-AW26</f>
        <v>0</v>
      </c>
    </row>
    <row r="27" spans="1:61" ht="57" customHeight="1" thickBot="1" x14ac:dyDescent="0.65">
      <c r="A27" s="2206" t="s">
        <v>1324</v>
      </c>
      <c r="B27" s="2294">
        <f>[4]int.bevételek2018!B26</f>
        <v>773</v>
      </c>
      <c r="C27" s="2291">
        <f>'[5]int.bevételek RM V'!D27</f>
        <v>984</v>
      </c>
      <c r="D27" s="2294">
        <v>982</v>
      </c>
      <c r="E27" s="2295">
        <f t="shared" si="0"/>
        <v>0.99796747967479671</v>
      </c>
      <c r="F27" s="2294">
        <f>[4]int.bevételek2018!C26</f>
        <v>0</v>
      </c>
      <c r="G27" s="2291">
        <f>'[5]int.bevételek RM V'!G27</f>
        <v>0</v>
      </c>
      <c r="H27" s="2294"/>
      <c r="I27" s="2295"/>
      <c r="J27" s="2294">
        <f>[4]int.bevételek2018!D26</f>
        <v>0</v>
      </c>
      <c r="K27" s="2291">
        <f>'[5]int.bevételek RM V'!J27</f>
        <v>0</v>
      </c>
      <c r="L27" s="2294"/>
      <c r="M27" s="2295"/>
      <c r="N27" s="2294">
        <f>[4]int.bevételek2018!E26</f>
        <v>0</v>
      </c>
      <c r="O27" s="2294">
        <f>'[5]int.bevételek RM V'!M27</f>
        <v>0</v>
      </c>
      <c r="P27" s="2291"/>
      <c r="Q27" s="2295"/>
      <c r="R27" s="2291">
        <f t="shared" si="1"/>
        <v>773</v>
      </c>
      <c r="S27" s="2291">
        <f t="shared" si="1"/>
        <v>984</v>
      </c>
      <c r="T27" s="2291">
        <f t="shared" si="1"/>
        <v>982</v>
      </c>
      <c r="U27" s="2295">
        <f t="shared" si="2"/>
        <v>0.99796747967479671</v>
      </c>
      <c r="V27" s="2296" t="s">
        <v>1324</v>
      </c>
      <c r="W27" s="2294">
        <f>[4]int.bevételek2018!H26</f>
        <v>0</v>
      </c>
      <c r="X27" s="2294">
        <f>'[5]int.bevételek RM V'!T27</f>
        <v>0</v>
      </c>
      <c r="Y27" s="2294"/>
      <c r="Z27" s="2295"/>
      <c r="AA27" s="2294">
        <f>[4]int.bevételek2018!I26</f>
        <v>0</v>
      </c>
      <c r="AB27" s="2294">
        <f>'[5]int.bevételek RM V'!W27</f>
        <v>0</v>
      </c>
      <c r="AC27" s="2291"/>
      <c r="AD27" s="2295"/>
      <c r="AE27" s="2294">
        <f>[4]int.bevételek2018!J26</f>
        <v>0</v>
      </c>
      <c r="AF27" s="2294">
        <f>'[5]int.bevételek RM V'!Z27</f>
        <v>0</v>
      </c>
      <c r="AG27" s="2294"/>
      <c r="AH27" s="2297"/>
      <c r="AI27" s="2291">
        <f t="shared" si="3"/>
        <v>0</v>
      </c>
      <c r="AJ27" s="2291">
        <f t="shared" si="3"/>
        <v>0</v>
      </c>
      <c r="AK27" s="2291">
        <f t="shared" si="3"/>
        <v>0</v>
      </c>
      <c r="AL27" s="2295"/>
      <c r="AM27" s="2294"/>
      <c r="AN27" s="2291">
        <f>'[5]int.bevételek RM V'!AJ27</f>
        <v>258</v>
      </c>
      <c r="AO27" s="2294">
        <v>258</v>
      </c>
      <c r="AP27" s="2295">
        <f t="shared" si="4"/>
        <v>1</v>
      </c>
      <c r="AQ27" s="2296" t="s">
        <v>1324</v>
      </c>
      <c r="AR27" s="2294">
        <f>[4]int.bevételek2018!L26</f>
        <v>54923</v>
      </c>
      <c r="AS27" s="2291">
        <f>'[5]int.bevételek RM V'!AM27</f>
        <v>56421</v>
      </c>
      <c r="AT27" s="2294">
        <v>55073</v>
      </c>
      <c r="AU27" s="2295">
        <f t="shared" si="5"/>
        <v>0.97610818666808463</v>
      </c>
      <c r="AV27" s="2294">
        <f>[4]int.bevételek2018!M26</f>
        <v>0</v>
      </c>
      <c r="AW27" s="2291">
        <f>'[5]int.bevételek RM V'!AP27</f>
        <v>2010</v>
      </c>
      <c r="AX27" s="2294">
        <v>2009</v>
      </c>
      <c r="AY27" s="2295">
        <f>AX27/AW27</f>
        <v>0.99950248756218907</v>
      </c>
      <c r="AZ27" s="2291">
        <f t="shared" si="7"/>
        <v>54923</v>
      </c>
      <c r="BA27" s="2291">
        <f t="shared" si="7"/>
        <v>58431</v>
      </c>
      <c r="BB27" s="2291">
        <f t="shared" si="7"/>
        <v>57082</v>
      </c>
      <c r="BC27" s="2295">
        <f t="shared" si="8"/>
        <v>0.97691294004894658</v>
      </c>
      <c r="BD27" s="2291">
        <f t="shared" si="9"/>
        <v>55696</v>
      </c>
      <c r="BE27" s="2291">
        <f t="shared" si="9"/>
        <v>59673</v>
      </c>
      <c r="BF27" s="2291">
        <f t="shared" si="9"/>
        <v>58322</v>
      </c>
      <c r="BG27" s="2295">
        <f t="shared" si="10"/>
        <v>0.97735994503376733</v>
      </c>
      <c r="BH27" s="2192">
        <f>'[6]éves besz.kiadásai2018'!AQ27-'4 int bevétel'!AK27-AX27</f>
        <v>0</v>
      </c>
      <c r="BI27" s="2192">
        <f>'[6]éves besz.kiadásai2018'!AP27-'4 int bevétel'!AJ27-AW27</f>
        <v>0</v>
      </c>
    </row>
    <row r="28" spans="1:61" ht="57" customHeight="1" thickBot="1" x14ac:dyDescent="0.65">
      <c r="A28" s="2207" t="s">
        <v>1425</v>
      </c>
      <c r="B28" s="2298">
        <f>SUM(B10:B27)</f>
        <v>21041</v>
      </c>
      <c r="C28" s="2298">
        <f>SUM(C10:C27)</f>
        <v>28475</v>
      </c>
      <c r="D28" s="2298">
        <f>SUM(D10:D27)</f>
        <v>28459</v>
      </c>
      <c r="E28" s="2299">
        <f t="shared" si="0"/>
        <v>0.9994381035996488</v>
      </c>
      <c r="F28" s="2298">
        <f>SUM(F10:F27)</f>
        <v>0</v>
      </c>
      <c r="G28" s="2298">
        <f>SUM(G10:G27)</f>
        <v>541</v>
      </c>
      <c r="H28" s="2298">
        <f>SUM(H10:H27)</f>
        <v>539</v>
      </c>
      <c r="I28" s="2299">
        <f>H28/G28</f>
        <v>0.99630314232902029</v>
      </c>
      <c r="J28" s="2298">
        <f>SUM(J10:J27)</f>
        <v>0</v>
      </c>
      <c r="K28" s="2298">
        <f>SUM(K10:K27)</f>
        <v>3496</v>
      </c>
      <c r="L28" s="2298">
        <f>SUM(L10:L27)</f>
        <v>3493</v>
      </c>
      <c r="M28" s="2299">
        <f>L28/K28</f>
        <v>0.99914187643020591</v>
      </c>
      <c r="N28" s="2298">
        <f>SUM(N10:N27)</f>
        <v>0</v>
      </c>
      <c r="O28" s="2298">
        <f>SUM(O10:O27)</f>
        <v>0</v>
      </c>
      <c r="P28" s="2298">
        <f>SUM(P10:P27)</f>
        <v>0</v>
      </c>
      <c r="Q28" s="2299"/>
      <c r="R28" s="2298">
        <f>SUM(R10:R27)</f>
        <v>21041</v>
      </c>
      <c r="S28" s="2298">
        <f>SUM(S10:S27)</f>
        <v>32512</v>
      </c>
      <c r="T28" s="2298">
        <f>SUM(T10:T27)</f>
        <v>32491</v>
      </c>
      <c r="U28" s="2299">
        <f t="shared" si="2"/>
        <v>0.99935408464566933</v>
      </c>
      <c r="V28" s="2300" t="s">
        <v>1425</v>
      </c>
      <c r="W28" s="2298">
        <f>SUM(W10:W27)</f>
        <v>0</v>
      </c>
      <c r="X28" s="2298">
        <f>SUM(X10:X27)</f>
        <v>0</v>
      </c>
      <c r="Y28" s="2298">
        <f>SUM(Y10:Y27)</f>
        <v>0</v>
      </c>
      <c r="Z28" s="2299"/>
      <c r="AA28" s="2298">
        <f>SUM(AA10:AA27)</f>
        <v>0</v>
      </c>
      <c r="AB28" s="2298">
        <f>SUM(AB10:AB27)</f>
        <v>0</v>
      </c>
      <c r="AC28" s="2298">
        <f>SUM(AC10:AC27)</f>
        <v>0</v>
      </c>
      <c r="AD28" s="2299"/>
      <c r="AE28" s="2298">
        <f>SUM(AE10:AE27)</f>
        <v>0</v>
      </c>
      <c r="AF28" s="2298">
        <f>SUM(AF10:AF27)</f>
        <v>0</v>
      </c>
      <c r="AG28" s="2298">
        <f>SUM(AG10:AG27)</f>
        <v>0</v>
      </c>
      <c r="AH28" s="2299"/>
      <c r="AI28" s="2298">
        <f>SUM(AI10:AI27)</f>
        <v>0</v>
      </c>
      <c r="AJ28" s="2298">
        <f>SUM(AJ10:AJ27)</f>
        <v>0</v>
      </c>
      <c r="AK28" s="2298">
        <f>SUM(AK10:AK27)</f>
        <v>0</v>
      </c>
      <c r="AL28" s="2299"/>
      <c r="AM28" s="2298">
        <f>SUM(AM10:AM27)</f>
        <v>0</v>
      </c>
      <c r="AN28" s="2298">
        <f>SUM(AN10:AN27)</f>
        <v>9317</v>
      </c>
      <c r="AO28" s="2298">
        <f>SUM(AO10:AO27)</f>
        <v>9317</v>
      </c>
      <c r="AP28" s="2299">
        <f t="shared" si="4"/>
        <v>1</v>
      </c>
      <c r="AQ28" s="2300" t="s">
        <v>1425</v>
      </c>
      <c r="AR28" s="2298">
        <f>SUM(AR10:AR27)</f>
        <v>1684989</v>
      </c>
      <c r="AS28" s="2298">
        <f>SUM(AS10:AS27)</f>
        <v>1707791</v>
      </c>
      <c r="AT28" s="2298">
        <f>SUM(AT10:AT27)</f>
        <v>1663767</v>
      </c>
      <c r="AU28" s="2299">
        <f t="shared" si="5"/>
        <v>0.97422166998186543</v>
      </c>
      <c r="AV28" s="2298">
        <f>SUM(AV10:AV27)</f>
        <v>0</v>
      </c>
      <c r="AW28" s="2298">
        <f>SUM(AW10:AW27)</f>
        <v>123107</v>
      </c>
      <c r="AX28" s="2298">
        <f>SUM(AX10:AX27)</f>
        <v>90731</v>
      </c>
      <c r="AY28" s="2299">
        <f>AX28/AW28</f>
        <v>0.73700926836004454</v>
      </c>
      <c r="AZ28" s="2298">
        <f>SUM(AZ10:AZ27)</f>
        <v>1684989</v>
      </c>
      <c r="BA28" s="2298">
        <f>SUM(BA10:BA27)</f>
        <v>1830898</v>
      </c>
      <c r="BB28" s="2298">
        <f>SUM(BB10:BB27)</f>
        <v>1754498</v>
      </c>
      <c r="BC28" s="2299">
        <f t="shared" si="8"/>
        <v>0.95827184256031739</v>
      </c>
      <c r="BD28" s="2298">
        <f>SUM(BD10:BD27)</f>
        <v>1706030</v>
      </c>
      <c r="BE28" s="2298">
        <f>SUM(BE10:BE27)</f>
        <v>1872727</v>
      </c>
      <c r="BF28" s="2298">
        <f>SUM(BF10:BF27)</f>
        <v>1796306</v>
      </c>
      <c r="BG28" s="2299">
        <f t="shared" si="10"/>
        <v>0.95919266396009673</v>
      </c>
      <c r="BH28" s="2192">
        <f>'[6]éves besz.kiadásai2018'!AQ28-'4 int bevétel'!AK28-AX28</f>
        <v>0</v>
      </c>
    </row>
    <row r="29" spans="1:61" ht="57" customHeight="1" thickBot="1" x14ac:dyDescent="0.65">
      <c r="A29" s="2207" t="s">
        <v>214</v>
      </c>
      <c r="B29" s="2298">
        <f>[4]int.bevételek2018!B28</f>
        <v>423926</v>
      </c>
      <c r="C29" s="2291">
        <f>'[5]int.bevételek RM V'!D29</f>
        <v>371657</v>
      </c>
      <c r="D29" s="2298">
        <v>371656</v>
      </c>
      <c r="E29" s="2299">
        <f t="shared" si="0"/>
        <v>0.99999730934705922</v>
      </c>
      <c r="F29" s="2298">
        <f>[4]int.bevételek2018!C28</f>
        <v>0</v>
      </c>
      <c r="G29" s="2291">
        <f>'[5]int.bevételek RM V'!G29</f>
        <v>7077</v>
      </c>
      <c r="H29" s="2298">
        <v>7076</v>
      </c>
      <c r="I29" s="2299">
        <f>H29/G29</f>
        <v>0.99985869718807407</v>
      </c>
      <c r="J29" s="2298">
        <f>[4]int.bevételek2018!D28</f>
        <v>0</v>
      </c>
      <c r="K29" s="2291">
        <f>'[5]int.bevételek RM V'!J29</f>
        <v>0</v>
      </c>
      <c r="L29" s="2298"/>
      <c r="M29" s="2299"/>
      <c r="N29" s="2298">
        <f>[4]int.bevételek2018!E28</f>
        <v>0</v>
      </c>
      <c r="O29" s="2298">
        <f>'[5]int.bevételek RM V'!M29</f>
        <v>0</v>
      </c>
      <c r="P29" s="2298"/>
      <c r="Q29" s="2299"/>
      <c r="R29" s="2291">
        <f>B29+F29+J29+N29</f>
        <v>423926</v>
      </c>
      <c r="S29" s="2291">
        <f>C29+G29+K29+O29</f>
        <v>378734</v>
      </c>
      <c r="T29" s="2291">
        <f>D29+H29+L29+P29</f>
        <v>378732</v>
      </c>
      <c r="U29" s="2299">
        <f t="shared" si="2"/>
        <v>0.99999471924886596</v>
      </c>
      <c r="V29" s="2300" t="s">
        <v>214</v>
      </c>
      <c r="W29" s="2298">
        <f>[4]int.bevételek2018!H28</f>
        <v>0</v>
      </c>
      <c r="X29" s="2298">
        <f>'[5]int.bevételek RM V'!T29</f>
        <v>34</v>
      </c>
      <c r="Y29" s="2298">
        <v>34</v>
      </c>
      <c r="Z29" s="2299">
        <f>Y29/X29</f>
        <v>1</v>
      </c>
      <c r="AA29" s="2298">
        <f>[4]int.bevételek2018!I28</f>
        <v>0</v>
      </c>
      <c r="AB29" s="2298">
        <f>'[5]int.bevételek RM V'!W29</f>
        <v>0</v>
      </c>
      <c r="AC29" s="2298"/>
      <c r="AD29" s="2299"/>
      <c r="AE29" s="2298">
        <f>[4]int.bevételek2018!J28</f>
        <v>0</v>
      </c>
      <c r="AF29" s="2298">
        <f>'[5]int.bevételek RM V'!Z29</f>
        <v>0</v>
      </c>
      <c r="AG29" s="2298"/>
      <c r="AH29" s="2299"/>
      <c r="AI29" s="2291">
        <f>W29+AA29+AE29</f>
        <v>0</v>
      </c>
      <c r="AJ29" s="2291">
        <f>X29+AB29+AF29</f>
        <v>34</v>
      </c>
      <c r="AK29" s="2291">
        <f>Y29+AC29+AG29</f>
        <v>34</v>
      </c>
      <c r="AL29" s="2299">
        <f>AK29/AJ29</f>
        <v>1</v>
      </c>
      <c r="AM29" s="2298"/>
      <c r="AN29" s="2291">
        <f>'[5]int.bevételek RM V'!AJ29</f>
        <v>25654</v>
      </c>
      <c r="AO29" s="2298">
        <v>25654</v>
      </c>
      <c r="AP29" s="2299">
        <f t="shared" si="4"/>
        <v>1</v>
      </c>
      <c r="AQ29" s="2300" t="s">
        <v>214</v>
      </c>
      <c r="AR29" s="2298">
        <f>[4]int.bevételek2018!L28</f>
        <v>1057242</v>
      </c>
      <c r="AS29" s="2291">
        <f>'[5]int.bevételek RM V'!AM29</f>
        <v>1131495</v>
      </c>
      <c r="AT29" s="2298">
        <v>981509</v>
      </c>
      <c r="AU29" s="2299">
        <f t="shared" si="5"/>
        <v>0.86744439878214219</v>
      </c>
      <c r="AV29" s="2298">
        <f>[4]int.bevételek2018!M28</f>
        <v>0</v>
      </c>
      <c r="AW29" s="2291">
        <f>'[5]int.bevételek RM V'!AP29</f>
        <v>83386</v>
      </c>
      <c r="AX29" s="2298">
        <v>75274</v>
      </c>
      <c r="AY29" s="2299">
        <f>AX29/AW29</f>
        <v>0.90271748255102779</v>
      </c>
      <c r="AZ29" s="2291">
        <f>AR29+AV29</f>
        <v>1057242</v>
      </c>
      <c r="BA29" s="2291">
        <f>AS29+AW29</f>
        <v>1214881</v>
      </c>
      <c r="BB29" s="2291">
        <f>AT29+AX29</f>
        <v>1056783</v>
      </c>
      <c r="BC29" s="2299">
        <f t="shared" si="8"/>
        <v>0.86986544361134954</v>
      </c>
      <c r="BD29" s="2291">
        <f>R29+AI29+AM29+AZ29</f>
        <v>1481168</v>
      </c>
      <c r="BE29" s="2291">
        <f>S29+AJ29+AN29+BA29</f>
        <v>1619303</v>
      </c>
      <c r="BF29" s="2291">
        <f>T29+AK29+AO29+BB29</f>
        <v>1461203</v>
      </c>
      <c r="BG29" s="2299">
        <f t="shared" si="10"/>
        <v>0.90236540042228042</v>
      </c>
      <c r="BH29" s="2192">
        <f>'[6]éves besz.kiadásai2018'!AQ29-'4 int bevétel'!AK29-AX29</f>
        <v>0</v>
      </c>
      <c r="BI29" s="2192">
        <f>'[6]éves besz.kiadásai2018'!AP29-'4 int bevétel'!AJ29-AW29</f>
        <v>0</v>
      </c>
    </row>
    <row r="30" spans="1:61" ht="57" customHeight="1" thickBot="1" x14ac:dyDescent="0.65">
      <c r="A30" s="2207" t="s">
        <v>3</v>
      </c>
      <c r="B30" s="2298">
        <f>SUM(B28:B29)</f>
        <v>444967</v>
      </c>
      <c r="C30" s="2298">
        <f>SUM(C28:C29)</f>
        <v>400132</v>
      </c>
      <c r="D30" s="2298">
        <f>SUM(D28:D29)</f>
        <v>400115</v>
      </c>
      <c r="E30" s="2301">
        <f t="shared" si="0"/>
        <v>0.99995751402037325</v>
      </c>
      <c r="F30" s="2298">
        <f>SUM(F28:F29)</f>
        <v>0</v>
      </c>
      <c r="G30" s="2298">
        <f>SUM(G28:G29)</f>
        <v>7618</v>
      </c>
      <c r="H30" s="2298">
        <f>SUM(H28:H29)</f>
        <v>7615</v>
      </c>
      <c r="I30" s="2301">
        <f>H30/G30</f>
        <v>0.99960619585192967</v>
      </c>
      <c r="J30" s="2298">
        <f>SUM(J28:J29)</f>
        <v>0</v>
      </c>
      <c r="K30" s="2298">
        <f>SUM(K28:K29)</f>
        <v>3496</v>
      </c>
      <c r="L30" s="2298">
        <f>SUM(L28:L29)</f>
        <v>3493</v>
      </c>
      <c r="M30" s="2301">
        <f>L30/K30</f>
        <v>0.99914187643020591</v>
      </c>
      <c r="N30" s="2298">
        <f>SUM(N28:N29)</f>
        <v>0</v>
      </c>
      <c r="O30" s="2298">
        <f>SUM(O28:O29)</f>
        <v>0</v>
      </c>
      <c r="P30" s="2298">
        <f>SUM(P28:P29)</f>
        <v>0</v>
      </c>
      <c r="Q30" s="2301"/>
      <c r="R30" s="2298">
        <f>SUM(R28:R29)</f>
        <v>444967</v>
      </c>
      <c r="S30" s="2298">
        <f>SUM(S28:S29)</f>
        <v>411246</v>
      </c>
      <c r="T30" s="2298">
        <f>SUM(T28:T29)</f>
        <v>411223</v>
      </c>
      <c r="U30" s="2301">
        <f t="shared" si="2"/>
        <v>0.99994407240435168</v>
      </c>
      <c r="V30" s="2300" t="s">
        <v>3</v>
      </c>
      <c r="W30" s="2298">
        <f>SUM(W28:W29)</f>
        <v>0</v>
      </c>
      <c r="X30" s="2298">
        <f>SUM(X28:X29)</f>
        <v>34</v>
      </c>
      <c r="Y30" s="2298">
        <f>SUM(Y28:Y29)</f>
        <v>34</v>
      </c>
      <c r="Z30" s="2301">
        <f>Y30/X30</f>
        <v>1</v>
      </c>
      <c r="AA30" s="2298">
        <f>SUM(AA28:AA29)</f>
        <v>0</v>
      </c>
      <c r="AB30" s="2298">
        <f>SUM(AB28:AB29)</f>
        <v>0</v>
      </c>
      <c r="AC30" s="2298">
        <f>SUM(AC28:AC29)</f>
        <v>0</v>
      </c>
      <c r="AD30" s="2301"/>
      <c r="AE30" s="2298">
        <f>SUM(AE28:AE29)</f>
        <v>0</v>
      </c>
      <c r="AF30" s="2298">
        <f>SUM(AF28:AF29)</f>
        <v>0</v>
      </c>
      <c r="AG30" s="2298">
        <f>SUM(AG28:AG29)</f>
        <v>0</v>
      </c>
      <c r="AH30" s="2299"/>
      <c r="AI30" s="2298">
        <f>AI28+AI29</f>
        <v>0</v>
      </c>
      <c r="AJ30" s="2298">
        <f>AJ28+AJ29</f>
        <v>34</v>
      </c>
      <c r="AK30" s="2298">
        <f>AK28+AK29</f>
        <v>34</v>
      </c>
      <c r="AL30" s="2301">
        <f>AK30/AJ30</f>
        <v>1</v>
      </c>
      <c r="AM30" s="2298">
        <f>SUM(AM28:AM29)</f>
        <v>0</v>
      </c>
      <c r="AN30" s="2298">
        <f>SUM(AN28:AN29)</f>
        <v>34971</v>
      </c>
      <c r="AO30" s="2298">
        <f>SUM(AO28:AO29)</f>
        <v>34971</v>
      </c>
      <c r="AP30" s="2301">
        <f t="shared" si="4"/>
        <v>1</v>
      </c>
      <c r="AQ30" s="2300" t="s">
        <v>3</v>
      </c>
      <c r="AR30" s="2298">
        <f>SUM(AR28:AR29)</f>
        <v>2742231</v>
      </c>
      <c r="AS30" s="2298">
        <f>SUM(AS28:AS29)</f>
        <v>2839286</v>
      </c>
      <c r="AT30" s="2298">
        <f>SUM(AT28:AT29)</f>
        <v>2645276</v>
      </c>
      <c r="AU30" s="2301">
        <f t="shared" si="5"/>
        <v>0.93166944083829528</v>
      </c>
      <c r="AV30" s="2298">
        <f>SUM(AV28:AV29)</f>
        <v>0</v>
      </c>
      <c r="AW30" s="2298">
        <f>SUM(AW28:AW29)</f>
        <v>206493</v>
      </c>
      <c r="AX30" s="2298">
        <f>SUM(AX28:AX29)</f>
        <v>166005</v>
      </c>
      <c r="AY30" s="2301">
        <f>AX30/AW30</f>
        <v>0.8039255567985355</v>
      </c>
      <c r="AZ30" s="2298">
        <f>AZ28+AZ29</f>
        <v>2742231</v>
      </c>
      <c r="BA30" s="2298">
        <f>BA28+BA29</f>
        <v>3045779</v>
      </c>
      <c r="BB30" s="2298">
        <f>BB28+BB29</f>
        <v>2811281</v>
      </c>
      <c r="BC30" s="2301">
        <f t="shared" si="8"/>
        <v>0.92300885914572262</v>
      </c>
      <c r="BD30" s="2298">
        <f>BD28+BD29</f>
        <v>3187198</v>
      </c>
      <c r="BE30" s="2298">
        <f>BE28+BE29</f>
        <v>3492030</v>
      </c>
      <c r="BF30" s="2298">
        <f>BF28+BF29</f>
        <v>3257509</v>
      </c>
      <c r="BG30" s="2301">
        <f t="shared" si="10"/>
        <v>0.93284106952116674</v>
      </c>
      <c r="BH30" s="2192">
        <f>'[6]éves besz.kiadásai2018'!AQ30-'4 int bevétel'!AK30-AX30</f>
        <v>0</v>
      </c>
    </row>
    <row r="31" spans="1:61" ht="57" customHeight="1" x14ac:dyDescent="0.6">
      <c r="A31" s="2208" t="s">
        <v>1327</v>
      </c>
      <c r="B31" s="2294"/>
      <c r="C31" s="2294"/>
      <c r="D31" s="2294"/>
      <c r="E31" s="2294"/>
      <c r="F31" s="2294"/>
      <c r="G31" s="2294"/>
      <c r="H31" s="2294"/>
      <c r="I31" s="2294"/>
      <c r="J31" s="2294"/>
      <c r="K31" s="2294"/>
      <c r="L31" s="2294"/>
      <c r="M31" s="2294"/>
      <c r="N31" s="2294"/>
      <c r="O31" s="2294"/>
      <c r="P31" s="2294"/>
      <c r="Q31" s="2294"/>
      <c r="R31" s="2294"/>
      <c r="S31" s="2294"/>
      <c r="T31" s="2294"/>
      <c r="U31" s="2294"/>
      <c r="V31" s="2302" t="s">
        <v>1327</v>
      </c>
      <c r="W31" s="2294"/>
      <c r="X31" s="2294"/>
      <c r="Y31" s="2294"/>
      <c r="Z31" s="2294"/>
      <c r="AA31" s="2294"/>
      <c r="AB31" s="2294"/>
      <c r="AC31" s="2294"/>
      <c r="AD31" s="2294"/>
      <c r="AE31" s="2294"/>
      <c r="AF31" s="2294"/>
      <c r="AG31" s="2294"/>
      <c r="AH31" s="2294"/>
      <c r="AI31" s="2294"/>
      <c r="AJ31" s="2294"/>
      <c r="AK31" s="2294"/>
      <c r="AL31" s="2294"/>
      <c r="AM31" s="2294"/>
      <c r="AN31" s="2294"/>
      <c r="AO31" s="2294"/>
      <c r="AP31" s="2294"/>
      <c r="AQ31" s="2302" t="s">
        <v>1327</v>
      </c>
      <c r="AR31" s="2294"/>
      <c r="AS31" s="2294"/>
      <c r="AT31" s="2294"/>
      <c r="AU31" s="2294"/>
      <c r="AV31" s="2294"/>
      <c r="AW31" s="2294"/>
      <c r="AX31" s="2294"/>
      <c r="AY31" s="2294"/>
      <c r="AZ31" s="2294"/>
      <c r="BA31" s="2294"/>
      <c r="BB31" s="2294"/>
      <c r="BC31" s="2294"/>
      <c r="BD31" s="2294"/>
      <c r="BE31" s="2294"/>
      <c r="BF31" s="2294"/>
      <c r="BG31" s="2294"/>
    </row>
    <row r="32" spans="1:61" ht="57" customHeight="1" x14ac:dyDescent="0.6">
      <c r="A32" s="2209" t="s">
        <v>1426</v>
      </c>
      <c r="B32" s="2294"/>
      <c r="C32" s="2294"/>
      <c r="D32" s="2294"/>
      <c r="E32" s="2294"/>
      <c r="F32" s="2294"/>
      <c r="G32" s="2294"/>
      <c r="H32" s="2294"/>
      <c r="I32" s="2294"/>
      <c r="J32" s="2294"/>
      <c r="K32" s="2294"/>
      <c r="L32" s="2294"/>
      <c r="M32" s="2294"/>
      <c r="N32" s="2294"/>
      <c r="O32" s="2294"/>
      <c r="P32" s="2294"/>
      <c r="Q32" s="2294"/>
      <c r="R32" s="2294"/>
      <c r="S32" s="2294"/>
      <c r="T32" s="2294"/>
      <c r="U32" s="2294"/>
      <c r="V32" s="2303" t="s">
        <v>1426</v>
      </c>
      <c r="W32" s="2294"/>
      <c r="X32" s="2294"/>
      <c r="Y32" s="2294"/>
      <c r="Z32" s="2294"/>
      <c r="AA32" s="2294"/>
      <c r="AB32" s="2294"/>
      <c r="AC32" s="2294"/>
      <c r="AD32" s="2294"/>
      <c r="AE32" s="2294"/>
      <c r="AF32" s="2294"/>
      <c r="AG32" s="2294"/>
      <c r="AH32" s="2294"/>
      <c r="AI32" s="2294"/>
      <c r="AJ32" s="2294"/>
      <c r="AK32" s="2294"/>
      <c r="AL32" s="2294"/>
      <c r="AM32" s="2294"/>
      <c r="AN32" s="2294"/>
      <c r="AO32" s="2294"/>
      <c r="AP32" s="2294"/>
      <c r="AQ32" s="2303" t="s">
        <v>1426</v>
      </c>
      <c r="AR32" s="2294"/>
      <c r="AS32" s="2294"/>
      <c r="AT32" s="2294"/>
      <c r="AU32" s="2294"/>
      <c r="AV32" s="2294"/>
      <c r="AW32" s="2294"/>
      <c r="AX32" s="2294"/>
      <c r="AY32" s="2294"/>
      <c r="AZ32" s="2294"/>
      <c r="BA32" s="2294"/>
      <c r="BB32" s="2294"/>
      <c r="BC32" s="2294"/>
      <c r="BD32" s="2294"/>
      <c r="BE32" s="2294"/>
      <c r="BF32" s="2294"/>
      <c r="BG32" s="2294"/>
    </row>
    <row r="33" spans="1:61" ht="57" customHeight="1" x14ac:dyDescent="0.6">
      <c r="A33" s="2210" t="s">
        <v>1329</v>
      </c>
      <c r="B33" s="2294">
        <f>[4]int.bevételek2018!B32</f>
        <v>267832</v>
      </c>
      <c r="C33" s="2291">
        <f>'[5]int.bevételek RM V'!D33</f>
        <v>312206</v>
      </c>
      <c r="D33" s="2294">
        <v>312206</v>
      </c>
      <c r="E33" s="2292">
        <f t="shared" ref="E33:E38" si="11">D33/C33</f>
        <v>1</v>
      </c>
      <c r="F33" s="2294">
        <f>[4]int.bevételek2018!C32</f>
        <v>0</v>
      </c>
      <c r="G33" s="2291">
        <f>'[5]int.bevételek RM V'!G33</f>
        <v>8760</v>
      </c>
      <c r="H33" s="2294">
        <v>8760</v>
      </c>
      <c r="I33" s="2292">
        <f t="shared" ref="I33:I38" si="12">H33/G33</f>
        <v>1</v>
      </c>
      <c r="J33" s="2294">
        <f>[4]int.bevételek2018!D32</f>
        <v>0</v>
      </c>
      <c r="K33" s="2291">
        <f>'[5]int.bevételek RM V'!J33</f>
        <v>155</v>
      </c>
      <c r="L33" s="2294">
        <v>155</v>
      </c>
      <c r="M33" s="2292">
        <f>L33/K33</f>
        <v>1</v>
      </c>
      <c r="N33" s="2294">
        <f>[4]int.bevételek2018!E32</f>
        <v>0</v>
      </c>
      <c r="O33" s="2294">
        <f>'[5]int.bevételek RM V'!M33</f>
        <v>0</v>
      </c>
      <c r="P33" s="2291"/>
      <c r="Q33" s="2292"/>
      <c r="R33" s="2291">
        <f t="shared" ref="R33:T37" si="13">B33+F33+J33+N33</f>
        <v>267832</v>
      </c>
      <c r="S33" s="2291">
        <f t="shared" si="13"/>
        <v>321121</v>
      </c>
      <c r="T33" s="2291">
        <f t="shared" si="13"/>
        <v>321121</v>
      </c>
      <c r="U33" s="2292">
        <f t="shared" ref="U33:U38" si="14">T33/S33</f>
        <v>1</v>
      </c>
      <c r="V33" s="2304" t="s">
        <v>1329</v>
      </c>
      <c r="W33" s="2294">
        <f>[4]int.bevételek2018!H32</f>
        <v>0</v>
      </c>
      <c r="X33" s="2294">
        <f>'[5]int.bevételek RM V'!T33</f>
        <v>0</v>
      </c>
      <c r="Y33" s="2294"/>
      <c r="Z33" s="2292"/>
      <c r="AA33" s="2294">
        <f>[4]int.bevételek2018!I32</f>
        <v>0</v>
      </c>
      <c r="AB33" s="2294">
        <f>'[5]int.bevételek RM V'!W33</f>
        <v>2000</v>
      </c>
      <c r="AC33" s="2294">
        <v>2000</v>
      </c>
      <c r="AD33" s="2292">
        <f>AC33/AB33</f>
        <v>1</v>
      </c>
      <c r="AE33" s="2294">
        <f>[4]int.bevételek2018!J32</f>
        <v>0</v>
      </c>
      <c r="AF33" s="2294">
        <f>'[5]int.bevételek RM V'!Z33</f>
        <v>1847</v>
      </c>
      <c r="AG33" s="2294">
        <v>1847</v>
      </c>
      <c r="AH33" s="2292">
        <f>AG33/AF33</f>
        <v>1</v>
      </c>
      <c r="AI33" s="2291">
        <f t="shared" ref="AI33:AK37" si="15">W33+AA33+AE33</f>
        <v>0</v>
      </c>
      <c r="AJ33" s="2291">
        <f t="shared" si="15"/>
        <v>3847</v>
      </c>
      <c r="AK33" s="2291">
        <f t="shared" si="15"/>
        <v>3847</v>
      </c>
      <c r="AL33" s="2292">
        <f>AK33/AJ33</f>
        <v>1</v>
      </c>
      <c r="AM33" s="2294"/>
      <c r="AN33" s="2291">
        <f>'[5]int.bevételek RM V'!AJ33</f>
        <v>8068</v>
      </c>
      <c r="AO33" s="2294">
        <v>8068</v>
      </c>
      <c r="AP33" s="2292">
        <f t="shared" ref="AP33:AP38" si="16">AO33/AN33</f>
        <v>1</v>
      </c>
      <c r="AQ33" s="2304" t="s">
        <v>1329</v>
      </c>
      <c r="AR33" s="2294">
        <f>[4]int.bevételek2018!L32</f>
        <v>105000</v>
      </c>
      <c r="AS33" s="2291">
        <f>'[5]int.bevételek RM V'!AM33</f>
        <v>160134</v>
      </c>
      <c r="AT33" s="2294">
        <v>142765</v>
      </c>
      <c r="AU33" s="2292">
        <f t="shared" ref="AU33:AU38" si="17">AT33/AS33</f>
        <v>0.89153458978105837</v>
      </c>
      <c r="AV33" s="2294">
        <f>[4]int.bevételek2018!M32</f>
        <v>0</v>
      </c>
      <c r="AW33" s="2291">
        <f>'[5]int.bevételek RM V'!AP33</f>
        <v>3826</v>
      </c>
      <c r="AX33" s="2294">
        <v>3823</v>
      </c>
      <c r="AY33" s="2292">
        <f t="shared" ref="AY33:AY38" si="18">AX33/AW33</f>
        <v>0.99921589127025612</v>
      </c>
      <c r="AZ33" s="2291">
        <f t="shared" ref="AZ33:BB37" si="19">AR33+AV33</f>
        <v>105000</v>
      </c>
      <c r="BA33" s="2291">
        <f t="shared" si="19"/>
        <v>163960</v>
      </c>
      <c r="BB33" s="2291">
        <f t="shared" si="19"/>
        <v>146588</v>
      </c>
      <c r="BC33" s="2292">
        <f t="shared" ref="BC33:BC38" si="20">BB33/BA33</f>
        <v>0.89404732861673575</v>
      </c>
      <c r="BD33" s="2291">
        <f t="shared" ref="BD33:BF37" si="21">R33+AI33+AM33+AZ33</f>
        <v>372832</v>
      </c>
      <c r="BE33" s="2291">
        <f t="shared" si="21"/>
        <v>496996</v>
      </c>
      <c r="BF33" s="2291">
        <f t="shared" si="21"/>
        <v>479624</v>
      </c>
      <c r="BG33" s="2292">
        <f t="shared" ref="BG33:BG38" si="22">BF33/BE33</f>
        <v>0.96504599634604704</v>
      </c>
      <c r="BH33" s="2192">
        <f>'[6]éves besz.kiadásai2018'!AQ33-'4 int bevétel'!AK33-AX33</f>
        <v>0</v>
      </c>
      <c r="BI33" s="2192">
        <f>'[6]éves besz.kiadásai2018'!AP33-'4 int bevétel'!AJ33-AW33</f>
        <v>0</v>
      </c>
    </row>
    <row r="34" spans="1:61" ht="57" customHeight="1" x14ac:dyDescent="0.6">
      <c r="A34" s="2211" t="s">
        <v>373</v>
      </c>
      <c r="B34" s="2305">
        <f>[4]int.bevételek2018!B33</f>
        <v>33830</v>
      </c>
      <c r="C34" s="2291">
        <f>'[5]int.bevételek RM V'!D34</f>
        <v>33830</v>
      </c>
      <c r="D34" s="2305">
        <v>33255</v>
      </c>
      <c r="E34" s="2292">
        <f t="shared" si="11"/>
        <v>0.98300325155187707</v>
      </c>
      <c r="F34" s="2305">
        <f>[4]int.bevételek2018!C33</f>
        <v>0</v>
      </c>
      <c r="G34" s="2291">
        <f>'[5]int.bevételek RM V'!G34</f>
        <v>16167</v>
      </c>
      <c r="H34" s="2305">
        <v>16167</v>
      </c>
      <c r="I34" s="2292">
        <f t="shared" si="12"/>
        <v>1</v>
      </c>
      <c r="J34" s="2305">
        <f>[4]int.bevételek2018!D33</f>
        <v>0</v>
      </c>
      <c r="K34" s="2291">
        <f>'[5]int.bevételek RM V'!J34</f>
        <v>0</v>
      </c>
      <c r="L34" s="2305"/>
      <c r="M34" s="2292"/>
      <c r="N34" s="2305">
        <f>[4]int.bevételek2018!E33</f>
        <v>0</v>
      </c>
      <c r="O34" s="2305">
        <f>'[5]int.bevételek RM V'!M34</f>
        <v>0</v>
      </c>
      <c r="P34" s="2291"/>
      <c r="Q34" s="2292"/>
      <c r="R34" s="2291">
        <f t="shared" si="13"/>
        <v>33830</v>
      </c>
      <c r="S34" s="2291">
        <f t="shared" si="13"/>
        <v>49997</v>
      </c>
      <c r="T34" s="2291">
        <f t="shared" si="13"/>
        <v>49422</v>
      </c>
      <c r="U34" s="2292">
        <f t="shared" si="14"/>
        <v>0.98849930995859747</v>
      </c>
      <c r="V34" s="2306" t="s">
        <v>373</v>
      </c>
      <c r="W34" s="2305">
        <f>[4]int.bevételek2018!H33</f>
        <v>0</v>
      </c>
      <c r="X34" s="2305">
        <f>'[5]int.bevételek RM V'!T34</f>
        <v>0</v>
      </c>
      <c r="Y34" s="2305"/>
      <c r="Z34" s="2292"/>
      <c r="AA34" s="2305">
        <f>[4]int.bevételek2018!I33</f>
        <v>0</v>
      </c>
      <c r="AB34" s="2305">
        <f>'[5]int.bevételek RM V'!W34</f>
        <v>0</v>
      </c>
      <c r="AC34" s="2305"/>
      <c r="AD34" s="2292"/>
      <c r="AE34" s="2305">
        <f>[4]int.bevételek2018!J33</f>
        <v>0</v>
      </c>
      <c r="AF34" s="2305">
        <f>'[5]int.bevételek RM V'!Z34</f>
        <v>0</v>
      </c>
      <c r="AG34" s="2305"/>
      <c r="AH34" s="2292"/>
      <c r="AI34" s="2291">
        <f t="shared" si="15"/>
        <v>0</v>
      </c>
      <c r="AJ34" s="2291">
        <f t="shared" si="15"/>
        <v>0</v>
      </c>
      <c r="AK34" s="2291">
        <f t="shared" si="15"/>
        <v>0</v>
      </c>
      <c r="AL34" s="2292"/>
      <c r="AM34" s="2305"/>
      <c r="AN34" s="2291">
        <f>'[5]int.bevételek RM V'!AJ34</f>
        <v>2776</v>
      </c>
      <c r="AO34" s="2305">
        <v>2776</v>
      </c>
      <c r="AP34" s="2292">
        <f t="shared" si="16"/>
        <v>1</v>
      </c>
      <c r="AQ34" s="2306" t="s">
        <v>373</v>
      </c>
      <c r="AR34" s="2305">
        <f>[4]int.bevételek2018!L33</f>
        <v>85600</v>
      </c>
      <c r="AS34" s="2291">
        <f>'[5]int.bevételek RM V'!AM34</f>
        <v>105156</v>
      </c>
      <c r="AT34" s="2305">
        <v>94663</v>
      </c>
      <c r="AU34" s="2292">
        <f t="shared" si="17"/>
        <v>0.90021491878732551</v>
      </c>
      <c r="AV34" s="2305">
        <f>[4]int.bevételek2018!M33</f>
        <v>0</v>
      </c>
      <c r="AW34" s="2291">
        <f>'[5]int.bevételek RM V'!AP34</f>
        <v>156</v>
      </c>
      <c r="AX34" s="2305">
        <v>155</v>
      </c>
      <c r="AY34" s="2292">
        <f t="shared" si="18"/>
        <v>0.99358974358974361</v>
      </c>
      <c r="AZ34" s="2291">
        <f t="shared" si="19"/>
        <v>85600</v>
      </c>
      <c r="BA34" s="2291">
        <f t="shared" si="19"/>
        <v>105312</v>
      </c>
      <c r="BB34" s="2291">
        <f t="shared" si="19"/>
        <v>94818</v>
      </c>
      <c r="BC34" s="2292">
        <f t="shared" si="20"/>
        <v>0.9003532360984503</v>
      </c>
      <c r="BD34" s="2291">
        <f t="shared" si="21"/>
        <v>119430</v>
      </c>
      <c r="BE34" s="2291">
        <f t="shared" si="21"/>
        <v>158085</v>
      </c>
      <c r="BF34" s="2291">
        <f t="shared" si="21"/>
        <v>147016</v>
      </c>
      <c r="BG34" s="2292">
        <f t="shared" si="22"/>
        <v>0.92998070658190213</v>
      </c>
      <c r="BH34" s="2192">
        <f>'[6]éves besz.kiadásai2018'!AQ34-'4 int bevétel'!AK34-AX34</f>
        <v>0</v>
      </c>
      <c r="BI34" s="2192">
        <f>'[6]éves besz.kiadásai2018'!AP34-'4 int bevétel'!AJ34-AW34</f>
        <v>0</v>
      </c>
    </row>
    <row r="35" spans="1:61" ht="57" customHeight="1" x14ac:dyDescent="0.6">
      <c r="A35" s="2211" t="s">
        <v>1330</v>
      </c>
      <c r="B35" s="2305">
        <f>[4]int.bevételek2018!B34</f>
        <v>87000</v>
      </c>
      <c r="C35" s="2291">
        <f>'[5]int.bevételek RM V'!D35</f>
        <v>92445</v>
      </c>
      <c r="D35" s="2305">
        <v>91933</v>
      </c>
      <c r="E35" s="2292">
        <f t="shared" si="11"/>
        <v>0.99446157174536209</v>
      </c>
      <c r="F35" s="2305">
        <f>[4]int.bevételek2018!C34</f>
        <v>24000</v>
      </c>
      <c r="G35" s="2291">
        <f>'[5]int.bevételek RM V'!G35</f>
        <v>22267</v>
      </c>
      <c r="H35" s="2305">
        <v>22267</v>
      </c>
      <c r="I35" s="2292">
        <f t="shared" si="12"/>
        <v>1</v>
      </c>
      <c r="J35" s="2305">
        <f>[4]int.bevételek2018!D34</f>
        <v>0</v>
      </c>
      <c r="K35" s="2291">
        <f>'[5]int.bevételek RM V'!J35</f>
        <v>0</v>
      </c>
      <c r="L35" s="2305"/>
      <c r="M35" s="2307"/>
      <c r="N35" s="2305">
        <f>[4]int.bevételek2018!E34</f>
        <v>0</v>
      </c>
      <c r="O35" s="2305">
        <f>'[5]int.bevételek RM V'!M35</f>
        <v>0</v>
      </c>
      <c r="P35" s="2291"/>
      <c r="Q35" s="2292"/>
      <c r="R35" s="2291">
        <f t="shared" si="13"/>
        <v>111000</v>
      </c>
      <c r="S35" s="2291">
        <f t="shared" si="13"/>
        <v>114712</v>
      </c>
      <c r="T35" s="2291">
        <f t="shared" si="13"/>
        <v>114200</v>
      </c>
      <c r="U35" s="2292">
        <f t="shared" si="14"/>
        <v>0.99553664830183419</v>
      </c>
      <c r="V35" s="2306" t="s">
        <v>1330</v>
      </c>
      <c r="W35" s="2305">
        <f>[4]int.bevételek2018!H34</f>
        <v>0</v>
      </c>
      <c r="X35" s="2305">
        <f>'[5]int.bevételek RM V'!T35</f>
        <v>0</v>
      </c>
      <c r="Y35" s="2305">
        <v>512</v>
      </c>
      <c r="Z35" s="2292"/>
      <c r="AA35" s="2305">
        <f>[4]int.bevételek2018!I34</f>
        <v>0</v>
      </c>
      <c r="AB35" s="2305">
        <f>'[5]int.bevételek RM V'!W35</f>
        <v>0</v>
      </c>
      <c r="AC35" s="2305"/>
      <c r="AD35" s="2292"/>
      <c r="AE35" s="2305">
        <f>[4]int.bevételek2018!J34</f>
        <v>0</v>
      </c>
      <c r="AF35" s="2305">
        <f>'[5]int.bevételek RM V'!Z35</f>
        <v>0</v>
      </c>
      <c r="AG35" s="2305"/>
      <c r="AH35" s="2292"/>
      <c r="AI35" s="2291">
        <f t="shared" si="15"/>
        <v>0</v>
      </c>
      <c r="AJ35" s="2291">
        <f t="shared" si="15"/>
        <v>0</v>
      </c>
      <c r="AK35" s="2291">
        <f t="shared" si="15"/>
        <v>512</v>
      </c>
      <c r="AL35" s="2292"/>
      <c r="AM35" s="2305"/>
      <c r="AN35" s="2291">
        <f>'[5]int.bevételek RM V'!AJ35</f>
        <v>50270</v>
      </c>
      <c r="AO35" s="2305">
        <v>50271</v>
      </c>
      <c r="AP35" s="2292">
        <f t="shared" si="16"/>
        <v>1.0000198925800676</v>
      </c>
      <c r="AQ35" s="2306" t="s">
        <v>1330</v>
      </c>
      <c r="AR35" s="2305">
        <f>[4]int.bevételek2018!L34</f>
        <v>362153</v>
      </c>
      <c r="AS35" s="2291">
        <f>'[5]int.bevételek RM V'!AM35</f>
        <v>445106</v>
      </c>
      <c r="AT35" s="2305">
        <v>369629</v>
      </c>
      <c r="AU35" s="2292">
        <f t="shared" si="17"/>
        <v>0.83042915620099478</v>
      </c>
      <c r="AV35" s="2305">
        <f>[4]int.bevételek2018!M34</f>
        <v>0</v>
      </c>
      <c r="AW35" s="2291">
        <f>'[5]int.bevételek RM V'!AP35</f>
        <v>18781</v>
      </c>
      <c r="AX35" s="2305">
        <v>13942</v>
      </c>
      <c r="AY35" s="2292">
        <f t="shared" si="18"/>
        <v>0.74234598796656193</v>
      </c>
      <c r="AZ35" s="2291">
        <f t="shared" si="19"/>
        <v>362153</v>
      </c>
      <c r="BA35" s="2291">
        <f t="shared" si="19"/>
        <v>463887</v>
      </c>
      <c r="BB35" s="2291">
        <f t="shared" si="19"/>
        <v>383571</v>
      </c>
      <c r="BC35" s="2292">
        <f t="shared" si="20"/>
        <v>0.82686300758589915</v>
      </c>
      <c r="BD35" s="2291">
        <f t="shared" si="21"/>
        <v>473153</v>
      </c>
      <c r="BE35" s="2291">
        <f t="shared" si="21"/>
        <v>628869</v>
      </c>
      <c r="BF35" s="2291">
        <f t="shared" si="21"/>
        <v>548554</v>
      </c>
      <c r="BG35" s="2292">
        <f t="shared" si="22"/>
        <v>0.87228659704962397</v>
      </c>
      <c r="BH35" s="2192">
        <f>'[6]éves besz.kiadásai2018'!AQ35-'4 int bevétel'!AK35-AX35</f>
        <v>0</v>
      </c>
      <c r="BI35" s="2192">
        <f>'[6]éves besz.kiadásai2018'!AP35-'4 int bevétel'!AJ35-AW35</f>
        <v>0</v>
      </c>
    </row>
    <row r="36" spans="1:61" ht="57" customHeight="1" x14ac:dyDescent="0.6">
      <c r="A36" s="2211" t="s">
        <v>1331</v>
      </c>
      <c r="B36" s="2305">
        <f>[4]int.bevételek2018!B35</f>
        <v>24000</v>
      </c>
      <c r="C36" s="2291">
        <f>'[5]int.bevételek RM V'!D36</f>
        <v>26177</v>
      </c>
      <c r="D36" s="2305">
        <v>26177</v>
      </c>
      <c r="E36" s="2292">
        <f t="shared" si="11"/>
        <v>1</v>
      </c>
      <c r="F36" s="2305">
        <f>[4]int.bevételek2018!C35</f>
        <v>0</v>
      </c>
      <c r="G36" s="2291">
        <f>'[5]int.bevételek RM V'!G36</f>
        <v>3990</v>
      </c>
      <c r="H36" s="2305">
        <v>3991</v>
      </c>
      <c r="I36" s="2292">
        <f t="shared" si="12"/>
        <v>1.0002506265664159</v>
      </c>
      <c r="J36" s="2305">
        <f>[4]int.bevételek2018!D35</f>
        <v>0</v>
      </c>
      <c r="K36" s="2291">
        <f>'[5]int.bevételek RM V'!J36</f>
        <v>0</v>
      </c>
      <c r="L36" s="2305"/>
      <c r="M36" s="2307"/>
      <c r="N36" s="2305">
        <f>[4]int.bevételek2018!E35</f>
        <v>0</v>
      </c>
      <c r="O36" s="2305">
        <f>'[5]int.bevételek RM V'!M36</f>
        <v>0</v>
      </c>
      <c r="P36" s="2291"/>
      <c r="Q36" s="2292"/>
      <c r="R36" s="2291">
        <f t="shared" si="13"/>
        <v>24000</v>
      </c>
      <c r="S36" s="2291">
        <f t="shared" si="13"/>
        <v>30167</v>
      </c>
      <c r="T36" s="2291">
        <f t="shared" si="13"/>
        <v>30168</v>
      </c>
      <c r="U36" s="2292">
        <f t="shared" si="14"/>
        <v>1.0000331488049856</v>
      </c>
      <c r="V36" s="2306" t="s">
        <v>1331</v>
      </c>
      <c r="W36" s="2305">
        <f>[4]int.bevételek2018!H35</f>
        <v>0</v>
      </c>
      <c r="X36" s="2305">
        <f>'[5]int.bevételek RM V'!T36</f>
        <v>0</v>
      </c>
      <c r="Y36" s="2305"/>
      <c r="Z36" s="2308"/>
      <c r="AA36" s="2305">
        <f>[4]int.bevételek2018!I35</f>
        <v>0</v>
      </c>
      <c r="AB36" s="2305">
        <f>'[5]int.bevételek RM V'!W36</f>
        <v>0</v>
      </c>
      <c r="AC36" s="2305"/>
      <c r="AD36" s="2292"/>
      <c r="AE36" s="2305">
        <f>[4]int.bevételek2018!J35</f>
        <v>0</v>
      </c>
      <c r="AF36" s="2305">
        <f>'[5]int.bevételek RM V'!Z36</f>
        <v>0</v>
      </c>
      <c r="AG36" s="2305"/>
      <c r="AH36" s="2292"/>
      <c r="AI36" s="2291">
        <f t="shared" si="15"/>
        <v>0</v>
      </c>
      <c r="AJ36" s="2291">
        <f t="shared" si="15"/>
        <v>0</v>
      </c>
      <c r="AK36" s="2291">
        <f t="shared" si="15"/>
        <v>0</v>
      </c>
      <c r="AL36" s="2292"/>
      <c r="AM36" s="2305"/>
      <c r="AN36" s="2291">
        <f>'[5]int.bevételek RM V'!AJ36</f>
        <v>37400</v>
      </c>
      <c r="AO36" s="2305">
        <v>37400</v>
      </c>
      <c r="AP36" s="2292">
        <f t="shared" si="16"/>
        <v>1</v>
      </c>
      <c r="AQ36" s="2306" t="s">
        <v>1331</v>
      </c>
      <c r="AR36" s="2305">
        <f>[4]int.bevételek2018!L35</f>
        <v>209334</v>
      </c>
      <c r="AS36" s="2291">
        <f>'[5]int.bevételek RM V'!AM36</f>
        <v>349620</v>
      </c>
      <c r="AT36" s="2305">
        <v>345764</v>
      </c>
      <c r="AU36" s="2292">
        <f t="shared" si="17"/>
        <v>0.98897088267261601</v>
      </c>
      <c r="AV36" s="2305">
        <f>[4]int.bevételek2018!M35</f>
        <v>0</v>
      </c>
      <c r="AW36" s="2291">
        <f>'[5]int.bevételek RM V'!AP36</f>
        <v>18526</v>
      </c>
      <c r="AX36" s="2305">
        <v>9191</v>
      </c>
      <c r="AY36" s="2292">
        <f t="shared" si="18"/>
        <v>0.49611357011767249</v>
      </c>
      <c r="AZ36" s="2291">
        <f t="shared" si="19"/>
        <v>209334</v>
      </c>
      <c r="BA36" s="2291">
        <f t="shared" si="19"/>
        <v>368146</v>
      </c>
      <c r="BB36" s="2291">
        <f t="shared" si="19"/>
        <v>354955</v>
      </c>
      <c r="BC36" s="2292">
        <f t="shared" si="20"/>
        <v>0.96416910682175005</v>
      </c>
      <c r="BD36" s="2291">
        <f t="shared" si="21"/>
        <v>233334</v>
      </c>
      <c r="BE36" s="2291">
        <f t="shared" si="21"/>
        <v>435713</v>
      </c>
      <c r="BF36" s="2291">
        <f t="shared" si="21"/>
        <v>422523</v>
      </c>
      <c r="BG36" s="2292">
        <f t="shared" si="22"/>
        <v>0.96972777952459532</v>
      </c>
      <c r="BH36" s="2192">
        <f>'[6]éves besz.kiadásai2018'!AQ36-'4 int bevétel'!AK36-AX36</f>
        <v>0</v>
      </c>
      <c r="BI36" s="2192">
        <f>'[6]éves besz.kiadásai2018'!AP36-'4 int bevétel'!AJ36-AW36</f>
        <v>0</v>
      </c>
    </row>
    <row r="37" spans="1:61" ht="57" customHeight="1" thickBot="1" x14ac:dyDescent="0.65">
      <c r="A37" s="2212" t="s">
        <v>1332</v>
      </c>
      <c r="B37" s="2305">
        <f>[4]int.bevételek2018!B36</f>
        <v>148850</v>
      </c>
      <c r="C37" s="2291">
        <f>'[5]int.bevételek RM V'!D37</f>
        <v>298850</v>
      </c>
      <c r="D37" s="2305">
        <v>299712</v>
      </c>
      <c r="E37" s="2295">
        <f t="shared" si="11"/>
        <v>1.0028843901622888</v>
      </c>
      <c r="F37" s="2305">
        <f>[4]int.bevételek2018!C36</f>
        <v>0</v>
      </c>
      <c r="G37" s="2291">
        <f>'[5]int.bevételek RM V'!G37</f>
        <v>39051</v>
      </c>
      <c r="H37" s="2305">
        <v>39051</v>
      </c>
      <c r="I37" s="2295">
        <f t="shared" si="12"/>
        <v>1</v>
      </c>
      <c r="J37" s="2305">
        <f>[4]int.bevételek2018!D36</f>
        <v>0</v>
      </c>
      <c r="K37" s="2291">
        <f>'[5]int.bevételek RM V'!J37</f>
        <v>0</v>
      </c>
      <c r="L37" s="2305">
        <v>3</v>
      </c>
      <c r="M37" s="2295"/>
      <c r="N37" s="2309">
        <f>[4]int.bevételek2018!E36</f>
        <v>0</v>
      </c>
      <c r="O37" s="2309">
        <f>'[5]int.bevételek RM V'!M37</f>
        <v>0</v>
      </c>
      <c r="P37" s="2291"/>
      <c r="Q37" s="2295"/>
      <c r="R37" s="2291">
        <f t="shared" si="13"/>
        <v>148850</v>
      </c>
      <c r="S37" s="2291">
        <f t="shared" si="13"/>
        <v>337901</v>
      </c>
      <c r="T37" s="2291">
        <f t="shared" si="13"/>
        <v>338766</v>
      </c>
      <c r="U37" s="2295">
        <f t="shared" si="14"/>
        <v>1.0025599213970955</v>
      </c>
      <c r="V37" s="2310" t="s">
        <v>1332</v>
      </c>
      <c r="W37" s="2305">
        <f>[4]int.bevételek2018!H36</f>
        <v>0</v>
      </c>
      <c r="X37" s="2305">
        <f>'[5]int.bevételek RM V'!T37</f>
        <v>0</v>
      </c>
      <c r="Y37" s="2305">
        <v>945</v>
      </c>
      <c r="Z37" s="2295"/>
      <c r="AA37" s="2305">
        <f>[4]int.bevételek2018!I36</f>
        <v>0</v>
      </c>
      <c r="AB37" s="2305">
        <f>'[5]int.bevételek RM V'!W37</f>
        <v>12800</v>
      </c>
      <c r="AC37" s="2305">
        <v>12800</v>
      </c>
      <c r="AD37" s="2295">
        <f>AC37/AB37</f>
        <v>1</v>
      </c>
      <c r="AE37" s="2305">
        <f>[4]int.bevételek2018!J36</f>
        <v>0</v>
      </c>
      <c r="AF37" s="2305">
        <f>'[5]int.bevételek RM V'!Z37</f>
        <v>0</v>
      </c>
      <c r="AG37" s="2305"/>
      <c r="AH37" s="2295"/>
      <c r="AI37" s="2291">
        <f t="shared" si="15"/>
        <v>0</v>
      </c>
      <c r="AJ37" s="2291">
        <f t="shared" si="15"/>
        <v>12800</v>
      </c>
      <c r="AK37" s="2291">
        <f t="shared" si="15"/>
        <v>13745</v>
      </c>
      <c r="AL37" s="2295">
        <f>AK37/AJ37</f>
        <v>1.0738281249999999</v>
      </c>
      <c r="AM37" s="2305"/>
      <c r="AN37" s="2291">
        <f>'[5]int.bevételek RM V'!AJ37</f>
        <v>5682</v>
      </c>
      <c r="AO37" s="2305">
        <v>5682</v>
      </c>
      <c r="AP37" s="2295">
        <f t="shared" si="16"/>
        <v>1</v>
      </c>
      <c r="AQ37" s="2310" t="s">
        <v>1332</v>
      </c>
      <c r="AR37" s="2305">
        <f>[4]int.bevételek2018!L36</f>
        <v>353000</v>
      </c>
      <c r="AS37" s="2291">
        <f>'[5]int.bevételek RM V'!AM37</f>
        <v>431607</v>
      </c>
      <c r="AT37" s="2305">
        <v>403927</v>
      </c>
      <c r="AU37" s="2295">
        <f t="shared" si="17"/>
        <v>0.93586758324123565</v>
      </c>
      <c r="AV37" s="2305">
        <f>[4]int.bevételek2018!M36</f>
        <v>0</v>
      </c>
      <c r="AW37" s="2291">
        <f>'[5]int.bevételek RM V'!AP37</f>
        <v>24134</v>
      </c>
      <c r="AX37" s="2305">
        <v>15404</v>
      </c>
      <c r="AY37" s="2295">
        <f t="shared" si="18"/>
        <v>0.63826966105908678</v>
      </c>
      <c r="AZ37" s="2291">
        <f t="shared" si="19"/>
        <v>353000</v>
      </c>
      <c r="BA37" s="2291">
        <f t="shared" si="19"/>
        <v>455741</v>
      </c>
      <c r="BB37" s="2291">
        <f t="shared" si="19"/>
        <v>419331</v>
      </c>
      <c r="BC37" s="2295">
        <f t="shared" si="20"/>
        <v>0.92010813159228599</v>
      </c>
      <c r="BD37" s="2291">
        <f t="shared" si="21"/>
        <v>501850</v>
      </c>
      <c r="BE37" s="2291">
        <f t="shared" si="21"/>
        <v>812124</v>
      </c>
      <c r="BF37" s="2291">
        <f t="shared" si="21"/>
        <v>777524</v>
      </c>
      <c r="BG37" s="2295">
        <f t="shared" si="22"/>
        <v>0.95739566864173453</v>
      </c>
      <c r="BH37" s="2192">
        <f>'[6]éves besz.kiadásai2018'!AQ37-'4 int bevétel'!AK37-AX37</f>
        <v>0</v>
      </c>
      <c r="BI37" s="2192">
        <f>'[6]éves besz.kiadásai2018'!AP37-'4 int bevétel'!AJ37-AW37</f>
        <v>0</v>
      </c>
    </row>
    <row r="38" spans="1:61" ht="57" customHeight="1" thickBot="1" x14ac:dyDescent="0.65">
      <c r="A38" s="2213" t="s">
        <v>1427</v>
      </c>
      <c r="B38" s="2298">
        <f>SUM(B33:B37)</f>
        <v>561512</v>
      </c>
      <c r="C38" s="2298">
        <f>SUM(C33:C37)</f>
        <v>763508</v>
      </c>
      <c r="D38" s="2298">
        <f>SUM(D33:D37)</f>
        <v>763283</v>
      </c>
      <c r="E38" s="2299">
        <f t="shared" si="11"/>
        <v>0.99970530760646914</v>
      </c>
      <c r="F38" s="2298">
        <f>SUM(F33:F37)</f>
        <v>24000</v>
      </c>
      <c r="G38" s="2298">
        <f>SUM(G33:G37)</f>
        <v>90235</v>
      </c>
      <c r="H38" s="2298">
        <f>SUM(H33:H37)</f>
        <v>90236</v>
      </c>
      <c r="I38" s="2299">
        <f t="shared" si="12"/>
        <v>1.0000110821743227</v>
      </c>
      <c r="J38" s="2298">
        <f>SUM(J33:J37)</f>
        <v>0</v>
      </c>
      <c r="K38" s="2298">
        <f>SUM(K33:K37)</f>
        <v>155</v>
      </c>
      <c r="L38" s="2298">
        <f>SUM(L33:L37)</f>
        <v>158</v>
      </c>
      <c r="M38" s="2299">
        <f>L38/K38</f>
        <v>1.0193548387096774</v>
      </c>
      <c r="N38" s="2298">
        <f>SUM(N33:N37)</f>
        <v>0</v>
      </c>
      <c r="O38" s="2298">
        <f>SUM(O33:O37)</f>
        <v>0</v>
      </c>
      <c r="P38" s="2298">
        <f>SUM(P33:P37)</f>
        <v>0</v>
      </c>
      <c r="Q38" s="2299"/>
      <c r="R38" s="2298">
        <f>SUM(R33:R37)</f>
        <v>585512</v>
      </c>
      <c r="S38" s="2298">
        <f>SUM(S33:S37)</f>
        <v>853898</v>
      </c>
      <c r="T38" s="2298">
        <f>SUM(T33:T37)</f>
        <v>853677</v>
      </c>
      <c r="U38" s="2299">
        <f t="shared" si="14"/>
        <v>0.99974118688648994</v>
      </c>
      <c r="V38" s="2311" t="s">
        <v>1427</v>
      </c>
      <c r="W38" s="2298">
        <f>SUM(W33:W37)</f>
        <v>0</v>
      </c>
      <c r="X38" s="2298">
        <f>SUM(X33:X37)</f>
        <v>0</v>
      </c>
      <c r="Y38" s="2298">
        <f>SUM(Y33:Y37)</f>
        <v>1457</v>
      </c>
      <c r="Z38" s="2299"/>
      <c r="AA38" s="2298">
        <f>SUM(AA33:AA37)</f>
        <v>0</v>
      </c>
      <c r="AB38" s="2298">
        <f>SUM(AB33:AB37)</f>
        <v>14800</v>
      </c>
      <c r="AC38" s="2298">
        <f>SUM(AC33:AC37)</f>
        <v>14800</v>
      </c>
      <c r="AD38" s="2299">
        <f>AC38/AB38</f>
        <v>1</v>
      </c>
      <c r="AE38" s="2298">
        <f>SUM(AE33:AE37)</f>
        <v>0</v>
      </c>
      <c r="AF38" s="2298">
        <f>SUM(AF33:AF37)</f>
        <v>1847</v>
      </c>
      <c r="AG38" s="2298">
        <f>SUM(AG33:AG37)</f>
        <v>1847</v>
      </c>
      <c r="AH38" s="2299">
        <f>AG38/AF38</f>
        <v>1</v>
      </c>
      <c r="AI38" s="2298">
        <f>SUM(AI33:AI37)</f>
        <v>0</v>
      </c>
      <c r="AJ38" s="2298">
        <f>SUM(AJ33:AJ37)</f>
        <v>16647</v>
      </c>
      <c r="AK38" s="2298">
        <f>SUM(AK33:AK37)</f>
        <v>18104</v>
      </c>
      <c r="AL38" s="2299">
        <f>AK38/AJ38</f>
        <v>1.0875232774674115</v>
      </c>
      <c r="AM38" s="2298">
        <f>SUM(AM33:AM37)</f>
        <v>0</v>
      </c>
      <c r="AN38" s="2298">
        <f>SUM(AN33:AN37)</f>
        <v>104196</v>
      </c>
      <c r="AO38" s="2298">
        <f>SUM(AO33:AO37)</f>
        <v>104197</v>
      </c>
      <c r="AP38" s="2299">
        <f t="shared" si="16"/>
        <v>1.000009597297401</v>
      </c>
      <c r="AQ38" s="2311" t="s">
        <v>1427</v>
      </c>
      <c r="AR38" s="2298">
        <f>SUM(AR33:AR37)</f>
        <v>1115087</v>
      </c>
      <c r="AS38" s="2298">
        <f>SUM(AS33:AS37)</f>
        <v>1491623</v>
      </c>
      <c r="AT38" s="2298">
        <f>SUM(AT33:AT37)</f>
        <v>1356748</v>
      </c>
      <c r="AU38" s="2299">
        <f t="shared" si="17"/>
        <v>0.90957835860669889</v>
      </c>
      <c r="AV38" s="2298">
        <f>SUM(AV33:AV37)</f>
        <v>0</v>
      </c>
      <c r="AW38" s="2298">
        <f>SUM(AW33:AW37)</f>
        <v>65423</v>
      </c>
      <c r="AX38" s="2298">
        <f>SUM(AX33:AX37)</f>
        <v>42515</v>
      </c>
      <c r="AY38" s="2299">
        <f t="shared" si="18"/>
        <v>0.64984791281353649</v>
      </c>
      <c r="AZ38" s="2298">
        <f>SUM(AZ33:AZ37)</f>
        <v>1115087</v>
      </c>
      <c r="BA38" s="2298">
        <f>SUM(BA33:BA37)</f>
        <v>1557046</v>
      </c>
      <c r="BB38" s="2298">
        <f>SUM(BB33:BB37)</f>
        <v>1399263</v>
      </c>
      <c r="BC38" s="2299">
        <f t="shared" si="20"/>
        <v>0.89866516467721569</v>
      </c>
      <c r="BD38" s="2298">
        <f>SUM(BD33:BD37)</f>
        <v>1700599</v>
      </c>
      <c r="BE38" s="2298">
        <f>SUM(BE33:BE37)</f>
        <v>2531787</v>
      </c>
      <c r="BF38" s="2298">
        <f>SUM(BF33:BF37)</f>
        <v>2375241</v>
      </c>
      <c r="BG38" s="2299">
        <f t="shared" si="22"/>
        <v>0.93816778425673253</v>
      </c>
      <c r="BH38" s="2192">
        <f>'[6]éves besz.kiadásai2018'!AQ38-'4 int bevétel'!AK38-AX38</f>
        <v>0</v>
      </c>
    </row>
    <row r="39" spans="1:61" ht="57" customHeight="1" x14ac:dyDescent="0.6">
      <c r="A39" s="2214" t="s">
        <v>1334</v>
      </c>
      <c r="B39" s="2312"/>
      <c r="C39" s="2312"/>
      <c r="D39" s="2312"/>
      <c r="E39" s="2312"/>
      <c r="F39" s="2312"/>
      <c r="G39" s="2312"/>
      <c r="H39" s="2312"/>
      <c r="I39" s="2312"/>
      <c r="J39" s="2312"/>
      <c r="K39" s="2312"/>
      <c r="L39" s="2312"/>
      <c r="M39" s="2312"/>
      <c r="N39" s="2312"/>
      <c r="O39" s="2312"/>
      <c r="P39" s="2312"/>
      <c r="Q39" s="2312"/>
      <c r="R39" s="2312"/>
      <c r="S39" s="2312"/>
      <c r="T39" s="2312"/>
      <c r="U39" s="2312"/>
      <c r="V39" s="2313" t="s">
        <v>1334</v>
      </c>
      <c r="W39" s="2312"/>
      <c r="X39" s="2312"/>
      <c r="Y39" s="2312"/>
      <c r="Z39" s="2312"/>
      <c r="AA39" s="2312"/>
      <c r="AB39" s="2312"/>
      <c r="AC39" s="2312"/>
      <c r="AD39" s="2312"/>
      <c r="AE39" s="2312"/>
      <c r="AF39" s="2312"/>
      <c r="AG39" s="2312"/>
      <c r="AH39" s="2312"/>
      <c r="AI39" s="2312"/>
      <c r="AJ39" s="2312"/>
      <c r="AK39" s="2312"/>
      <c r="AL39" s="2312"/>
      <c r="AM39" s="2312"/>
      <c r="AN39" s="2312"/>
      <c r="AO39" s="2312"/>
      <c r="AP39" s="2312"/>
      <c r="AQ39" s="2313" t="s">
        <v>1334</v>
      </c>
      <c r="AR39" s="2312"/>
      <c r="AS39" s="2312"/>
      <c r="AT39" s="2312"/>
      <c r="AU39" s="2312"/>
      <c r="AV39" s="2312"/>
      <c r="AW39" s="2312"/>
      <c r="AX39" s="2312"/>
      <c r="AY39" s="2312"/>
      <c r="AZ39" s="2312"/>
      <c r="BA39" s="2312"/>
      <c r="BB39" s="2312"/>
      <c r="BC39" s="2312"/>
      <c r="BD39" s="2312"/>
      <c r="BE39" s="2312"/>
      <c r="BF39" s="2312"/>
      <c r="BG39" s="2312"/>
    </row>
    <row r="40" spans="1:61" s="2216" customFormat="1" ht="114" customHeight="1" thickBot="1" x14ac:dyDescent="0.65">
      <c r="A40" s="2215" t="s">
        <v>1335</v>
      </c>
      <c r="B40" s="2291">
        <f>[4]int.bevételek2018!B39</f>
        <v>87867</v>
      </c>
      <c r="C40" s="2291">
        <f>'[5]int.bevételek RM V'!D40</f>
        <v>119917</v>
      </c>
      <c r="D40" s="2291">
        <v>119917</v>
      </c>
      <c r="E40" s="2301">
        <f>D40/C40</f>
        <v>1</v>
      </c>
      <c r="F40" s="2291">
        <f>[4]int.bevételek2018!C39</f>
        <v>0</v>
      </c>
      <c r="G40" s="2291">
        <f>'[5]int.bevételek RM V'!G40</f>
        <v>323</v>
      </c>
      <c r="H40" s="2291">
        <v>323</v>
      </c>
      <c r="I40" s="2301">
        <f>H40/G40</f>
        <v>1</v>
      </c>
      <c r="J40" s="2291">
        <f>[4]int.bevételek2018!D39</f>
        <v>0</v>
      </c>
      <c r="K40" s="2291">
        <f>'[5]int.bevételek RM V'!J40</f>
        <v>150</v>
      </c>
      <c r="L40" s="2291">
        <v>150</v>
      </c>
      <c r="M40" s="2301">
        <f>L40/K40</f>
        <v>1</v>
      </c>
      <c r="N40" s="2294">
        <f>[4]int.bevételek2018!E39</f>
        <v>0</v>
      </c>
      <c r="O40" s="2294">
        <f>'[5]int.bevételek RM V'!M40</f>
        <v>0</v>
      </c>
      <c r="P40" s="2294"/>
      <c r="Q40" s="2301"/>
      <c r="R40" s="2291">
        <f>B40+F40+J40+N40</f>
        <v>87867</v>
      </c>
      <c r="S40" s="2291">
        <f>C40+G40+K40+O40</f>
        <v>120390</v>
      </c>
      <c r="T40" s="2291">
        <f>D40+H40+L40+P40</f>
        <v>120390</v>
      </c>
      <c r="U40" s="2301">
        <f>T40/S40</f>
        <v>1</v>
      </c>
      <c r="V40" s="2314" t="s">
        <v>1335</v>
      </c>
      <c r="W40" s="2291">
        <f>[4]int.bevételek2018!H39</f>
        <v>0</v>
      </c>
      <c r="X40" s="2291">
        <f>'[5]int.bevételek RM V'!T40</f>
        <v>0</v>
      </c>
      <c r="Y40" s="2291"/>
      <c r="Z40" s="2301"/>
      <c r="AA40" s="2291">
        <f>[4]int.bevételek2018!I39</f>
        <v>0</v>
      </c>
      <c r="AB40" s="2291">
        <f>'[5]int.bevételek RM V'!W40</f>
        <v>0</v>
      </c>
      <c r="AC40" s="2291"/>
      <c r="AD40" s="2301"/>
      <c r="AE40" s="2291">
        <f>[4]int.bevételek2018!J39</f>
        <v>0</v>
      </c>
      <c r="AF40" s="2291">
        <f>'[5]int.bevételek RM V'!Z40</f>
        <v>0</v>
      </c>
      <c r="AG40" s="2291"/>
      <c r="AH40" s="2301"/>
      <c r="AI40" s="2291">
        <f>W40+AA40+AE40</f>
        <v>0</v>
      </c>
      <c r="AJ40" s="2291">
        <f>X40+AB40+AF40</f>
        <v>0</v>
      </c>
      <c r="AK40" s="2291">
        <f>Y40+AC40+AG40</f>
        <v>0</v>
      </c>
      <c r="AL40" s="2301"/>
      <c r="AM40" s="2291"/>
      <c r="AN40" s="2291">
        <f>'[5]int.bevételek RM V'!AJ40</f>
        <v>28092</v>
      </c>
      <c r="AO40" s="2291">
        <v>28092</v>
      </c>
      <c r="AP40" s="2301">
        <f>AO40/AN40</f>
        <v>1</v>
      </c>
      <c r="AQ40" s="2314" t="s">
        <v>1335</v>
      </c>
      <c r="AR40" s="2291">
        <f>[4]int.bevételek2018!L39</f>
        <v>621369</v>
      </c>
      <c r="AS40" s="2291">
        <f>'[5]int.bevételek RM V'!AM40</f>
        <v>747834</v>
      </c>
      <c r="AT40" s="2291">
        <v>725085</v>
      </c>
      <c r="AU40" s="2301">
        <f>AT40/AS40</f>
        <v>0.9695801474658815</v>
      </c>
      <c r="AV40" s="2291">
        <f>[4]int.bevételek2018!M39</f>
        <v>0</v>
      </c>
      <c r="AW40" s="2291">
        <f>'[5]int.bevételek RM V'!AP40</f>
        <v>57009</v>
      </c>
      <c r="AX40" s="2291">
        <v>45520</v>
      </c>
      <c r="AY40" s="2315">
        <f>AX40/AW40</f>
        <v>0.79847041695170939</v>
      </c>
      <c r="AZ40" s="2291">
        <f>AR40+AV40</f>
        <v>621369</v>
      </c>
      <c r="BA40" s="2291">
        <f>AS40+AW40</f>
        <v>804843</v>
      </c>
      <c r="BB40" s="2291">
        <f>AT40+AX40</f>
        <v>770605</v>
      </c>
      <c r="BC40" s="2301">
        <f>BB40/BA40</f>
        <v>0.95746002636539052</v>
      </c>
      <c r="BD40" s="2291">
        <f>R40+AI40+AM40+AZ40</f>
        <v>709236</v>
      </c>
      <c r="BE40" s="2291">
        <f>S40+AJ40+AN40+BA40</f>
        <v>953325</v>
      </c>
      <c r="BF40" s="2291">
        <f>T40+AK40+AO40+BB40</f>
        <v>919087</v>
      </c>
      <c r="BG40" s="2301">
        <f>BF40/BE40</f>
        <v>0.96408570004982563</v>
      </c>
      <c r="BH40" s="2192">
        <f>'[6]éves besz.kiadásai2018'!AQ40-'4 int bevétel'!AK40-AX40</f>
        <v>0</v>
      </c>
      <c r="BI40" s="2189">
        <f>'[6]éves besz.kiadásai2018'!AP40-'4 int bevétel'!AJ40-AW40</f>
        <v>0</v>
      </c>
    </row>
    <row r="41" spans="1:61" ht="57" customHeight="1" x14ac:dyDescent="0.6">
      <c r="A41" s="2214" t="s">
        <v>1336</v>
      </c>
      <c r="B41" s="2312"/>
      <c r="C41" s="2312"/>
      <c r="D41" s="2312"/>
      <c r="E41" s="2295"/>
      <c r="F41" s="2312"/>
      <c r="G41" s="2312"/>
      <c r="H41" s="2312"/>
      <c r="I41" s="2295"/>
      <c r="J41" s="2312"/>
      <c r="K41" s="2312"/>
      <c r="L41" s="2312"/>
      <c r="M41" s="2295"/>
      <c r="N41" s="2312"/>
      <c r="O41" s="2312"/>
      <c r="P41" s="2312"/>
      <c r="Q41" s="2295"/>
      <c r="R41" s="2312"/>
      <c r="S41" s="2312"/>
      <c r="T41" s="2312"/>
      <c r="U41" s="2295"/>
      <c r="V41" s="2313" t="s">
        <v>1336</v>
      </c>
      <c r="W41" s="2312"/>
      <c r="X41" s="2312"/>
      <c r="Y41" s="2312"/>
      <c r="Z41" s="2295"/>
      <c r="AA41" s="2312"/>
      <c r="AB41" s="2312"/>
      <c r="AC41" s="2312"/>
      <c r="AD41" s="2295"/>
      <c r="AE41" s="2312"/>
      <c r="AF41" s="2312"/>
      <c r="AG41" s="2312"/>
      <c r="AH41" s="2295"/>
      <c r="AI41" s="2312"/>
      <c r="AJ41" s="2312"/>
      <c r="AK41" s="2312"/>
      <c r="AL41" s="2295"/>
      <c r="AM41" s="2312"/>
      <c r="AN41" s="2312"/>
      <c r="AO41" s="2312"/>
      <c r="AP41" s="2295"/>
      <c r="AQ41" s="2313" t="s">
        <v>1336</v>
      </c>
      <c r="AR41" s="2312"/>
      <c r="AS41" s="2312"/>
      <c r="AT41" s="2312"/>
      <c r="AU41" s="2295"/>
      <c r="AV41" s="2312"/>
      <c r="AW41" s="2312"/>
      <c r="AX41" s="2312"/>
      <c r="AY41" s="2295"/>
      <c r="AZ41" s="2312"/>
      <c r="BA41" s="2312"/>
      <c r="BB41" s="2312"/>
      <c r="BC41" s="2295"/>
      <c r="BD41" s="2312"/>
      <c r="BE41" s="2312"/>
      <c r="BF41" s="2312"/>
      <c r="BG41" s="2295"/>
    </row>
    <row r="42" spans="1:61" ht="57" customHeight="1" thickBot="1" x14ac:dyDescent="0.65">
      <c r="A42" s="2217" t="s">
        <v>1337</v>
      </c>
      <c r="B42" s="2316">
        <f>[4]int.bevételek2018!B41</f>
        <v>29335</v>
      </c>
      <c r="C42" s="2291">
        <f>'[5]int.bevételek RM V'!D42</f>
        <v>30722</v>
      </c>
      <c r="D42" s="2316">
        <v>30722</v>
      </c>
      <c r="E42" s="2301">
        <f>D42/C42</f>
        <v>1</v>
      </c>
      <c r="F42" s="2316">
        <f>[4]int.bevételek2018!C41</f>
        <v>231397</v>
      </c>
      <c r="G42" s="2291">
        <f>'[5]int.bevételek RM V'!G42</f>
        <v>281916</v>
      </c>
      <c r="H42" s="2316">
        <v>281916</v>
      </c>
      <c r="I42" s="2301">
        <f>H42/G42</f>
        <v>1</v>
      </c>
      <c r="J42" s="2316">
        <f>[4]int.bevételek2018!D41</f>
        <v>0</v>
      </c>
      <c r="K42" s="2291">
        <f>'[5]int.bevételek RM V'!J42</f>
        <v>0</v>
      </c>
      <c r="L42" s="2316"/>
      <c r="M42" s="2301"/>
      <c r="N42" s="2316">
        <f>[4]int.bevételek2018!E41</f>
        <v>0</v>
      </c>
      <c r="O42" s="2316">
        <f>'[5]int.bevételek RM V'!M42</f>
        <v>0</v>
      </c>
      <c r="P42" s="2291"/>
      <c r="Q42" s="2301"/>
      <c r="R42" s="2291">
        <f>B42+F42+J42+N42</f>
        <v>260732</v>
      </c>
      <c r="S42" s="2291">
        <f>C42+G42+K42+O42</f>
        <v>312638</v>
      </c>
      <c r="T42" s="2291">
        <f>D42+H42+L42+P42</f>
        <v>312638</v>
      </c>
      <c r="U42" s="2301">
        <f>T42/S42</f>
        <v>1</v>
      </c>
      <c r="V42" s="2304" t="s">
        <v>1337</v>
      </c>
      <c r="W42" s="2316">
        <f>[4]int.bevételek2018!H41</f>
        <v>0</v>
      </c>
      <c r="X42" s="2316">
        <f>'[5]int.bevételek RM V'!T42</f>
        <v>949</v>
      </c>
      <c r="Y42" s="2316">
        <v>952</v>
      </c>
      <c r="Z42" s="2301">
        <f>Y42/X42</f>
        <v>1.0031612223393045</v>
      </c>
      <c r="AA42" s="2316">
        <f>[4]int.bevételek2018!I41</f>
        <v>1990</v>
      </c>
      <c r="AB42" s="2316">
        <f>'[5]int.bevételek RM V'!W42</f>
        <v>13503</v>
      </c>
      <c r="AC42" s="2316">
        <v>13500</v>
      </c>
      <c r="AD42" s="2301">
        <f>AC42/AB42</f>
        <v>0.99977782714952235</v>
      </c>
      <c r="AE42" s="2316">
        <f>[4]int.bevételek2018!J41</f>
        <v>0</v>
      </c>
      <c r="AF42" s="2316">
        <f>'[5]int.bevételek RM V'!Z42</f>
        <v>0</v>
      </c>
      <c r="AG42" s="2316"/>
      <c r="AH42" s="2301"/>
      <c r="AI42" s="2291">
        <f>W42+AA42+AE42</f>
        <v>1990</v>
      </c>
      <c r="AJ42" s="2291">
        <f>X42+AB42+AF42</f>
        <v>14452</v>
      </c>
      <c r="AK42" s="2291">
        <f>Y42+AC42+AG42</f>
        <v>14452</v>
      </c>
      <c r="AL42" s="2301">
        <f>AK42/AJ42</f>
        <v>1</v>
      </c>
      <c r="AM42" s="2316"/>
      <c r="AN42" s="2291">
        <f>'[5]int.bevételek RM V'!AJ42</f>
        <v>361</v>
      </c>
      <c r="AO42" s="2316">
        <v>361</v>
      </c>
      <c r="AP42" s="2301">
        <f>AO42/AN42</f>
        <v>1</v>
      </c>
      <c r="AQ42" s="2304" t="s">
        <v>1337</v>
      </c>
      <c r="AR42" s="2316">
        <f>[4]int.bevételek2018!L41</f>
        <v>273199</v>
      </c>
      <c r="AS42" s="2291">
        <f>'[5]int.bevételek RM V'!AM42</f>
        <v>291679</v>
      </c>
      <c r="AT42" s="2316">
        <v>289949</v>
      </c>
      <c r="AU42" s="2301">
        <f>AT42/AS42</f>
        <v>0.99406882223265991</v>
      </c>
      <c r="AV42" s="2316">
        <f>[4]int.bevételek2018!M41</f>
        <v>5273</v>
      </c>
      <c r="AW42" s="2291">
        <f>'[5]int.bevételek RM V'!AP42</f>
        <v>55328</v>
      </c>
      <c r="AX42" s="2316">
        <v>31191</v>
      </c>
      <c r="AY42" s="2301">
        <f>AX42/AW42</f>
        <v>0.56374710815500284</v>
      </c>
      <c r="AZ42" s="2291">
        <f>AR42+AV42</f>
        <v>278472</v>
      </c>
      <c r="BA42" s="2291">
        <f>AS42+AW42</f>
        <v>347007</v>
      </c>
      <c r="BB42" s="2291">
        <f>AT42+AX42</f>
        <v>321140</v>
      </c>
      <c r="BC42" s="2301">
        <f>BB42/BA42</f>
        <v>0.92545683516470845</v>
      </c>
      <c r="BD42" s="2291">
        <f>R42+AI42+AM42+AZ42</f>
        <v>541194</v>
      </c>
      <c r="BE42" s="2291">
        <f>S42+AJ42+AN42+BA42</f>
        <v>674458</v>
      </c>
      <c r="BF42" s="2291">
        <f>T42+AK42+AO42+BB42</f>
        <v>648591</v>
      </c>
      <c r="BG42" s="2301">
        <f>BF42/BE42</f>
        <v>0.96164772306059088</v>
      </c>
      <c r="BH42" s="2192">
        <f>'[6]éves besz.kiadásai2018'!AQ42-'4 int bevétel'!AK42-AX42</f>
        <v>0</v>
      </c>
      <c r="BI42" s="2192">
        <f>'[6]éves besz.kiadásai2018'!AP42-'4 int bevétel'!AJ42-AW42</f>
        <v>0</v>
      </c>
    </row>
    <row r="43" spans="1:61" ht="57" customHeight="1" x14ac:dyDescent="0.6">
      <c r="A43" s="2214" t="s">
        <v>1338</v>
      </c>
      <c r="B43" s="2312"/>
      <c r="C43" s="2312"/>
      <c r="D43" s="2312"/>
      <c r="E43" s="2295"/>
      <c r="F43" s="2312"/>
      <c r="G43" s="2312"/>
      <c r="H43" s="2312"/>
      <c r="I43" s="2295"/>
      <c r="J43" s="2312"/>
      <c r="K43" s="2312"/>
      <c r="L43" s="2312"/>
      <c r="M43" s="2295"/>
      <c r="N43" s="2312"/>
      <c r="O43" s="2312"/>
      <c r="P43" s="2312"/>
      <c r="Q43" s="2295"/>
      <c r="R43" s="2312"/>
      <c r="S43" s="2312"/>
      <c r="T43" s="2312"/>
      <c r="U43" s="2295"/>
      <c r="V43" s="2313" t="s">
        <v>1338</v>
      </c>
      <c r="W43" s="2312"/>
      <c r="X43" s="2312"/>
      <c r="Y43" s="2312"/>
      <c r="Z43" s="2295"/>
      <c r="AA43" s="2312"/>
      <c r="AB43" s="2312"/>
      <c r="AC43" s="2312"/>
      <c r="AD43" s="2295"/>
      <c r="AE43" s="2312"/>
      <c r="AF43" s="2312"/>
      <c r="AG43" s="2312"/>
      <c r="AH43" s="2295"/>
      <c r="AI43" s="2312"/>
      <c r="AJ43" s="2312"/>
      <c r="AK43" s="2312"/>
      <c r="AL43" s="2295"/>
      <c r="AM43" s="2312"/>
      <c r="AN43" s="2312"/>
      <c r="AO43" s="2312"/>
      <c r="AP43" s="2295"/>
      <c r="AQ43" s="2313" t="s">
        <v>1338</v>
      </c>
      <c r="AR43" s="2312"/>
      <c r="AS43" s="2312"/>
      <c r="AT43" s="2312"/>
      <c r="AU43" s="2295"/>
      <c r="AV43" s="2312"/>
      <c r="AW43" s="2312"/>
      <c r="AX43" s="2312"/>
      <c r="AY43" s="2295"/>
      <c r="AZ43" s="2312"/>
      <c r="BA43" s="2312"/>
      <c r="BB43" s="2312"/>
      <c r="BC43" s="2295"/>
      <c r="BD43" s="2312"/>
      <c r="BE43" s="2312"/>
      <c r="BF43" s="2312"/>
      <c r="BG43" s="2295"/>
    </row>
    <row r="44" spans="1:61" ht="45.75" thickBot="1" x14ac:dyDescent="0.65">
      <c r="A44" s="2218" t="s">
        <v>1428</v>
      </c>
      <c r="B44" s="2294">
        <f>[4]int.bevételek2018!B43</f>
        <v>47906</v>
      </c>
      <c r="C44" s="2291">
        <f>'[5]int.bevételek RM V'!D44</f>
        <v>51170</v>
      </c>
      <c r="D44" s="2294">
        <v>51170</v>
      </c>
      <c r="E44" s="2292">
        <f>D44/C44</f>
        <v>1</v>
      </c>
      <c r="F44" s="2294">
        <f>[4]int.bevételek2018!C43</f>
        <v>0</v>
      </c>
      <c r="G44" s="2291">
        <f>'[5]int.bevételek RM V'!G44</f>
        <v>1310</v>
      </c>
      <c r="H44" s="2294">
        <v>1310</v>
      </c>
      <c r="I44" s="2292">
        <f>H44/G44</f>
        <v>1</v>
      </c>
      <c r="J44" s="2294">
        <f>[4]int.bevételek2018!D43</f>
        <v>0</v>
      </c>
      <c r="K44" s="2291">
        <f>'[5]int.bevételek RM V'!J44</f>
        <v>52</v>
      </c>
      <c r="L44" s="2291">
        <v>52</v>
      </c>
      <c r="M44" s="2292">
        <f>L44/K44</f>
        <v>1</v>
      </c>
      <c r="N44" s="2317">
        <f>[4]int.bevételek2018!E43</f>
        <v>0</v>
      </c>
      <c r="O44" s="2291">
        <f>'[5]int.bevételek RM V'!M44</f>
        <v>0</v>
      </c>
      <c r="P44" s="2291"/>
      <c r="Q44" s="2292"/>
      <c r="R44" s="2291">
        <f>B44+F44+J44+N44</f>
        <v>47906</v>
      </c>
      <c r="S44" s="2291">
        <f>C44+G44+K44+O44</f>
        <v>52532</v>
      </c>
      <c r="T44" s="2291">
        <f>D44+H44+L44+P44</f>
        <v>52532</v>
      </c>
      <c r="U44" s="2292">
        <f>T44/S44</f>
        <v>1</v>
      </c>
      <c r="V44" s="2318" t="s">
        <v>1428</v>
      </c>
      <c r="W44" s="2294">
        <f>[4]int.bevételek2018!H43</f>
        <v>0</v>
      </c>
      <c r="X44" s="2294">
        <f>'[5]int.bevételek RM V'!T44</f>
        <v>0</v>
      </c>
      <c r="Y44" s="2294">
        <v>1</v>
      </c>
      <c r="Z44" s="2292"/>
      <c r="AA44" s="2294">
        <f>[4]int.bevételek2018!I43</f>
        <v>0</v>
      </c>
      <c r="AB44" s="2294">
        <f>'[5]int.bevételek RM V'!W44</f>
        <v>0</v>
      </c>
      <c r="AC44" s="2294"/>
      <c r="AD44" s="2292"/>
      <c r="AE44" s="2294">
        <f>[4]int.bevételek2018!J43</f>
        <v>0</v>
      </c>
      <c r="AF44" s="2294">
        <f>'[5]int.bevételek RM V'!Z44</f>
        <v>908</v>
      </c>
      <c r="AG44" s="2294">
        <v>908</v>
      </c>
      <c r="AH44" s="2292">
        <f>AG44/AF44</f>
        <v>1</v>
      </c>
      <c r="AI44" s="2291">
        <f>W44+AA44+AE44</f>
        <v>0</v>
      </c>
      <c r="AJ44" s="2291">
        <f>X44+AB44+AF44</f>
        <v>908</v>
      </c>
      <c r="AK44" s="2291">
        <f>Y44+AC44+AG44</f>
        <v>909</v>
      </c>
      <c r="AL44" s="2292">
        <f>AK44/AJ44</f>
        <v>1.001101321585903</v>
      </c>
      <c r="AM44" s="2294"/>
      <c r="AN44" s="2291">
        <f>'[5]int.bevételek RM V'!AJ44</f>
        <v>1821</v>
      </c>
      <c r="AO44" s="2294">
        <v>1821</v>
      </c>
      <c r="AP44" s="2292">
        <f>AO44/AN44</f>
        <v>1</v>
      </c>
      <c r="AQ44" s="2318" t="s">
        <v>1428</v>
      </c>
      <c r="AR44" s="2294">
        <f>[4]int.bevételek2018!L43</f>
        <v>683468</v>
      </c>
      <c r="AS44" s="2291">
        <f>'[5]int.bevételek RM V'!AM44</f>
        <v>722891</v>
      </c>
      <c r="AT44" s="2294">
        <v>704366</v>
      </c>
      <c r="AU44" s="2292">
        <f>AT44/AS44</f>
        <v>0.97437372992608839</v>
      </c>
      <c r="AV44" s="2294">
        <f>[4]int.bevételek2018!M43</f>
        <v>14109</v>
      </c>
      <c r="AW44" s="2291">
        <f>'[5]int.bevételek RM V'!AP44</f>
        <v>30656</v>
      </c>
      <c r="AX44" s="2294">
        <v>27076</v>
      </c>
      <c r="AY44" s="2292">
        <f>AX44/AW44</f>
        <v>0.88322025052192066</v>
      </c>
      <c r="AZ44" s="2291">
        <f>AR44+AV44</f>
        <v>697577</v>
      </c>
      <c r="BA44" s="2291">
        <f>AS44+AW44</f>
        <v>753547</v>
      </c>
      <c r="BB44" s="2291">
        <f>AT44+AX44</f>
        <v>731442</v>
      </c>
      <c r="BC44" s="2292">
        <f>BB44/BA44</f>
        <v>0.97066539976935751</v>
      </c>
      <c r="BD44" s="2291">
        <f>R44+AI44+AM44+AZ44</f>
        <v>745483</v>
      </c>
      <c r="BE44" s="2291">
        <f>S44+AJ44+AN44+BA44</f>
        <v>808808</v>
      </c>
      <c r="BF44" s="2291">
        <f>T44+AK44+AO44+BB44</f>
        <v>786704</v>
      </c>
      <c r="BG44" s="2292">
        <f>BF44/BE44</f>
        <v>0.97267089346297264</v>
      </c>
      <c r="BH44" s="2192">
        <f>'[6]éves besz.kiadásai2018'!AQ44-'4 int bevétel'!AK44-AX44</f>
        <v>0</v>
      </c>
      <c r="BI44" s="2192">
        <f>'[6]éves besz.kiadásai2018'!AP44-'4 int bevétel'!AJ44-AW44</f>
        <v>0</v>
      </c>
    </row>
    <row r="45" spans="1:61" ht="57" customHeight="1" x14ac:dyDescent="0.6">
      <c r="A45" s="2214" t="s">
        <v>1340</v>
      </c>
      <c r="B45" s="2312"/>
      <c r="C45" s="2312"/>
      <c r="D45" s="2312"/>
      <c r="E45" s="2312"/>
      <c r="F45" s="2312"/>
      <c r="G45" s="2312"/>
      <c r="H45" s="2312"/>
      <c r="I45" s="2312"/>
      <c r="J45" s="2312"/>
      <c r="K45" s="2312"/>
      <c r="L45" s="2312"/>
      <c r="M45" s="2312"/>
      <c r="N45" s="2312"/>
      <c r="O45" s="2312"/>
      <c r="P45" s="2312"/>
      <c r="Q45" s="2312"/>
      <c r="R45" s="2312"/>
      <c r="S45" s="2312"/>
      <c r="T45" s="2312"/>
      <c r="U45" s="2312"/>
      <c r="V45" s="2313" t="s">
        <v>1340</v>
      </c>
      <c r="W45" s="2312"/>
      <c r="X45" s="2312"/>
      <c r="Y45" s="2312"/>
      <c r="Z45" s="2312"/>
      <c r="AA45" s="2312"/>
      <c r="AB45" s="2312"/>
      <c r="AC45" s="2312"/>
      <c r="AD45" s="2312"/>
      <c r="AE45" s="2312"/>
      <c r="AF45" s="2312"/>
      <c r="AG45" s="2312"/>
      <c r="AH45" s="2312"/>
      <c r="AI45" s="2312"/>
      <c r="AJ45" s="2312"/>
      <c r="AK45" s="2312"/>
      <c r="AL45" s="2312"/>
      <c r="AM45" s="2312"/>
      <c r="AN45" s="2312"/>
      <c r="AO45" s="2312"/>
      <c r="AP45" s="2312"/>
      <c r="AQ45" s="2313" t="s">
        <v>1340</v>
      </c>
      <c r="AR45" s="2312"/>
      <c r="AS45" s="2312"/>
      <c r="AT45" s="2312"/>
      <c r="AU45" s="2312"/>
      <c r="AV45" s="2312"/>
      <c r="AW45" s="2312"/>
      <c r="AX45" s="2312"/>
      <c r="AY45" s="2312"/>
      <c r="AZ45" s="2312"/>
      <c r="BA45" s="2312"/>
      <c r="BB45" s="2312"/>
      <c r="BC45" s="2312"/>
      <c r="BD45" s="2312"/>
      <c r="BE45" s="2312"/>
      <c r="BF45" s="2312"/>
      <c r="BG45" s="2312"/>
    </row>
    <row r="46" spans="1:61" ht="57" customHeight="1" x14ac:dyDescent="0.6">
      <c r="A46" s="2219" t="s">
        <v>1341</v>
      </c>
      <c r="B46" s="2291">
        <f>[4]int.bevételek2018!B45</f>
        <v>139748</v>
      </c>
      <c r="C46" s="2291">
        <f>'[5]int.bevételek RM V'!D46</f>
        <v>140426</v>
      </c>
      <c r="D46" s="2291">
        <v>140425</v>
      </c>
      <c r="E46" s="2292">
        <f>D46/C46</f>
        <v>0.99999287881161614</v>
      </c>
      <c r="F46" s="2291">
        <f>[4]int.bevételek2018!C45</f>
        <v>0</v>
      </c>
      <c r="G46" s="2291">
        <f>'[5]int.bevételek RM V'!G46</f>
        <v>191</v>
      </c>
      <c r="H46" s="2291">
        <v>191</v>
      </c>
      <c r="I46" s="2292">
        <f>H46/G46</f>
        <v>1</v>
      </c>
      <c r="J46" s="2291">
        <f>[4]int.bevételek2018!D45</f>
        <v>0</v>
      </c>
      <c r="K46" s="2291">
        <f>'[5]int.bevételek RM V'!J46</f>
        <v>0</v>
      </c>
      <c r="L46" s="2291"/>
      <c r="M46" s="2292"/>
      <c r="N46" s="2291">
        <f>[4]int.bevételek2018!E45</f>
        <v>0</v>
      </c>
      <c r="O46" s="2291">
        <f>'[5]int.bevételek RM V'!M46</f>
        <v>0</v>
      </c>
      <c r="P46" s="2291"/>
      <c r="Q46" s="2292"/>
      <c r="R46" s="2291">
        <f t="shared" ref="R46:T48" si="23">B46+F46+J46+N46</f>
        <v>139748</v>
      </c>
      <c r="S46" s="2291">
        <f t="shared" si="23"/>
        <v>140617</v>
      </c>
      <c r="T46" s="2291">
        <f t="shared" si="23"/>
        <v>140616</v>
      </c>
      <c r="U46" s="2292">
        <f>T46/S46</f>
        <v>0.99999288848432266</v>
      </c>
      <c r="V46" s="2319" t="s">
        <v>1341</v>
      </c>
      <c r="W46" s="2291">
        <f>[4]int.bevételek2018!H45</f>
        <v>0</v>
      </c>
      <c r="X46" s="2291">
        <f>'[5]int.bevételek RM V'!T46</f>
        <v>0</v>
      </c>
      <c r="Y46" s="2291"/>
      <c r="Z46" s="2292"/>
      <c r="AA46" s="2291">
        <f>[4]int.bevételek2018!I45</f>
        <v>0</v>
      </c>
      <c r="AB46" s="2291">
        <f>'[5]int.bevételek RM V'!W46</f>
        <v>0</v>
      </c>
      <c r="AC46" s="2291"/>
      <c r="AD46" s="2292"/>
      <c r="AE46" s="2291">
        <f>[4]int.bevételek2018!J45</f>
        <v>0</v>
      </c>
      <c r="AF46" s="2291">
        <f>'[5]int.bevételek RM V'!Z46</f>
        <v>0</v>
      </c>
      <c r="AG46" s="2291"/>
      <c r="AH46" s="2292"/>
      <c r="AI46" s="2291">
        <f t="shared" ref="AI46:AK48" si="24">W46+AA46+AE46</f>
        <v>0</v>
      </c>
      <c r="AJ46" s="2291">
        <f t="shared" si="24"/>
        <v>0</v>
      </c>
      <c r="AK46" s="2291">
        <f t="shared" si="24"/>
        <v>0</v>
      </c>
      <c r="AL46" s="2292"/>
      <c r="AM46" s="2291"/>
      <c r="AN46" s="2291">
        <f>'[5]int.bevételek RM V'!AJ46</f>
        <v>29934</v>
      </c>
      <c r="AO46" s="2291">
        <v>29934</v>
      </c>
      <c r="AP46" s="2292">
        <f t="shared" ref="AP46:AP51" si="25">AO46/AN46</f>
        <v>1</v>
      </c>
      <c r="AQ46" s="2319" t="s">
        <v>1341</v>
      </c>
      <c r="AR46" s="2291">
        <f>[4]int.bevételek2018!L45</f>
        <v>0</v>
      </c>
      <c r="AS46" s="2291">
        <f>'[5]int.bevételek RM V'!AM46</f>
        <v>842</v>
      </c>
      <c r="AT46" s="2291"/>
      <c r="AU46" s="2292">
        <f t="shared" ref="AU46:AU51" si="26">AT46/AS46</f>
        <v>0</v>
      </c>
      <c r="AV46" s="2291">
        <f>[4]int.bevételek2018!M45</f>
        <v>0</v>
      </c>
      <c r="AW46" s="2291">
        <f>'[5]int.bevételek RM V'!AP46</f>
        <v>0</v>
      </c>
      <c r="AX46" s="2291"/>
      <c r="AY46" s="2292"/>
      <c r="AZ46" s="2291">
        <f t="shared" ref="AZ46:BB48" si="27">AR46+AV46</f>
        <v>0</v>
      </c>
      <c r="BA46" s="2291">
        <f t="shared" si="27"/>
        <v>842</v>
      </c>
      <c r="BB46" s="2291">
        <f t="shared" si="27"/>
        <v>0</v>
      </c>
      <c r="BC46" s="2292">
        <f t="shared" ref="BC46:BC51" si="28">BB46/BA46</f>
        <v>0</v>
      </c>
      <c r="BD46" s="2291">
        <f t="shared" ref="BD46:BF48" si="29">R46+AI46+AM46+AZ46</f>
        <v>139748</v>
      </c>
      <c r="BE46" s="2291">
        <f t="shared" si="29"/>
        <v>171393</v>
      </c>
      <c r="BF46" s="2291">
        <f t="shared" si="29"/>
        <v>170550</v>
      </c>
      <c r="BG46" s="2292">
        <f t="shared" ref="BG46:BG51" si="30">BF46/BE46</f>
        <v>0.995081479406977</v>
      </c>
      <c r="BH46" s="2192">
        <f>'[6]éves besz.kiadásai2018'!AQ46-'4 int bevétel'!AK46-AX46</f>
        <v>3475</v>
      </c>
      <c r="BI46" s="2189">
        <f>'[6]éves besz.kiadásai2018'!AP46-'4 int bevétel'!AJ46-AW46</f>
        <v>12100</v>
      </c>
    </row>
    <row r="47" spans="1:61" s="2216" customFormat="1" ht="57" customHeight="1" x14ac:dyDescent="0.6">
      <c r="A47" s="2220" t="s">
        <v>75</v>
      </c>
      <c r="B47" s="2305">
        <f>[4]int.bevételek2018!B46</f>
        <v>16050</v>
      </c>
      <c r="C47" s="2305">
        <f>'[5]int.bevételek RM V'!D47</f>
        <v>16319</v>
      </c>
      <c r="D47" s="2305">
        <v>13849</v>
      </c>
      <c r="E47" s="2308">
        <f>D47/C47</f>
        <v>0.84864268643912</v>
      </c>
      <c r="F47" s="2305">
        <f>[4]int.bevételek2018!C46</f>
        <v>0</v>
      </c>
      <c r="G47" s="2305">
        <f>'[5]int.bevételek RM V'!G47</f>
        <v>22030</v>
      </c>
      <c r="H47" s="2305">
        <v>22030</v>
      </c>
      <c r="I47" s="2308">
        <f>H47/G47</f>
        <v>1</v>
      </c>
      <c r="J47" s="2305">
        <f>[4]int.bevételek2018!D46</f>
        <v>0</v>
      </c>
      <c r="K47" s="2305">
        <f>'[5]int.bevételek RM V'!J47</f>
        <v>0</v>
      </c>
      <c r="L47" s="2305"/>
      <c r="M47" s="2308"/>
      <c r="N47" s="2305">
        <f>[4]int.bevételek2018!E46</f>
        <v>700</v>
      </c>
      <c r="O47" s="2305">
        <f>'[5]int.bevételek RM V'!M47</f>
        <v>3194</v>
      </c>
      <c r="P47" s="2305">
        <v>3194</v>
      </c>
      <c r="Q47" s="2308">
        <f>P47/O47</f>
        <v>1</v>
      </c>
      <c r="R47" s="2305">
        <f t="shared" si="23"/>
        <v>16750</v>
      </c>
      <c r="S47" s="2305">
        <f t="shared" si="23"/>
        <v>41543</v>
      </c>
      <c r="T47" s="2305">
        <f t="shared" si="23"/>
        <v>39073</v>
      </c>
      <c r="U47" s="2308">
        <f>T47/S47</f>
        <v>0.94054353320655704</v>
      </c>
      <c r="V47" s="2320" t="s">
        <v>75</v>
      </c>
      <c r="W47" s="2305">
        <f>[4]int.bevételek2018!H46</f>
        <v>0</v>
      </c>
      <c r="X47" s="2305">
        <f>'[5]int.bevételek RM V'!T47</f>
        <v>609</v>
      </c>
      <c r="Y47" s="2305">
        <v>609</v>
      </c>
      <c r="Z47" s="2308">
        <f>Y47/X47</f>
        <v>1</v>
      </c>
      <c r="AA47" s="2305">
        <f>[4]int.bevételek2018!I46</f>
        <v>0</v>
      </c>
      <c r="AB47" s="2305">
        <f>'[5]int.bevételek RM V'!W47</f>
        <v>0</v>
      </c>
      <c r="AC47" s="2305"/>
      <c r="AD47" s="2308"/>
      <c r="AE47" s="2305">
        <f>[4]int.bevételek2018!J46</f>
        <v>0</v>
      </c>
      <c r="AF47" s="2305">
        <f>'[5]int.bevételek RM V'!Z47</f>
        <v>0</v>
      </c>
      <c r="AG47" s="2305"/>
      <c r="AH47" s="2308"/>
      <c r="AI47" s="2305">
        <f t="shared" si="24"/>
        <v>0</v>
      </c>
      <c r="AJ47" s="2305">
        <f t="shared" si="24"/>
        <v>609</v>
      </c>
      <c r="AK47" s="2305">
        <f t="shared" si="24"/>
        <v>609</v>
      </c>
      <c r="AL47" s="2308">
        <f>AK47/AJ47</f>
        <v>1</v>
      </c>
      <c r="AM47" s="2305"/>
      <c r="AN47" s="2305">
        <f>'[5]int.bevételek RM V'!AJ47</f>
        <v>7340</v>
      </c>
      <c r="AO47" s="2305">
        <v>7340</v>
      </c>
      <c r="AP47" s="2308">
        <f t="shared" si="25"/>
        <v>1</v>
      </c>
      <c r="AQ47" s="2320" t="s">
        <v>75</v>
      </c>
      <c r="AR47" s="2305">
        <f>[4]int.bevételek2018!L46</f>
        <v>1689512</v>
      </c>
      <c r="AS47" s="2305">
        <f>'[5]int.bevételek RM V'!AM47</f>
        <v>1924636</v>
      </c>
      <c r="AT47" s="2305">
        <v>1677863</v>
      </c>
      <c r="AU47" s="2308">
        <f t="shared" si="26"/>
        <v>0.87178198890595415</v>
      </c>
      <c r="AV47" s="2305">
        <f>[4]int.bevételek2018!M46</f>
        <v>10000</v>
      </c>
      <c r="AW47" s="2305">
        <f>'[5]int.bevételek RM V'!AP47</f>
        <v>57587</v>
      </c>
      <c r="AX47" s="2305">
        <v>52527</v>
      </c>
      <c r="AY47" s="2321">
        <f>AX47/AW47</f>
        <v>0.91213294667199196</v>
      </c>
      <c r="AZ47" s="2305">
        <f t="shared" si="27"/>
        <v>1699512</v>
      </c>
      <c r="BA47" s="2305">
        <f t="shared" si="27"/>
        <v>1982223</v>
      </c>
      <c r="BB47" s="2305">
        <f t="shared" si="27"/>
        <v>1730390</v>
      </c>
      <c r="BC47" s="2308">
        <f t="shared" si="28"/>
        <v>0.87295425388566272</v>
      </c>
      <c r="BD47" s="2305">
        <f t="shared" si="29"/>
        <v>1716262</v>
      </c>
      <c r="BE47" s="2305">
        <f t="shared" si="29"/>
        <v>2031715</v>
      </c>
      <c r="BF47" s="2305">
        <f t="shared" si="29"/>
        <v>1777412</v>
      </c>
      <c r="BG47" s="2308">
        <f t="shared" si="30"/>
        <v>0.87483333046219569</v>
      </c>
      <c r="BH47" s="2192">
        <f>'[6]éves besz.kiadásai2018'!AQ47-'4 int bevétel'!AK47-AX47</f>
        <v>0</v>
      </c>
      <c r="BI47" s="2189">
        <f>'[6]éves besz.kiadásai2018'!AP47-'4 int bevétel'!AJ47-AW47</f>
        <v>0</v>
      </c>
    </row>
    <row r="48" spans="1:61" ht="57" customHeight="1" thickBot="1" x14ac:dyDescent="0.65">
      <c r="A48" s="2221" t="s">
        <v>1342</v>
      </c>
      <c r="B48" s="2322">
        <f>[4]int.bevételek2018!B47</f>
        <v>0</v>
      </c>
      <c r="C48" s="2322">
        <f>'[5]int.bevételek RM V'!D48</f>
        <v>0</v>
      </c>
      <c r="D48" s="2322">
        <v>724</v>
      </c>
      <c r="E48" s="2308"/>
      <c r="F48" s="2322">
        <f>[4]int.bevételek2018!C47</f>
        <v>0</v>
      </c>
      <c r="G48" s="2322">
        <f>'[5]int.bevételek RM V'!G48</f>
        <v>0</v>
      </c>
      <c r="H48" s="2322"/>
      <c r="I48" s="2297"/>
      <c r="J48" s="2322">
        <f>[4]int.bevételek2018!D47</f>
        <v>0</v>
      </c>
      <c r="K48" s="2322">
        <f>'[5]int.bevételek RM V'!J48</f>
        <v>0</v>
      </c>
      <c r="L48" s="2322"/>
      <c r="M48" s="2301"/>
      <c r="N48" s="2323">
        <f>[4]int.bevételek2018!E47</f>
        <v>0</v>
      </c>
      <c r="O48" s="2322">
        <f>'[5]int.bevételek RM V'!M48</f>
        <v>0</v>
      </c>
      <c r="P48" s="2322"/>
      <c r="Q48" s="2301"/>
      <c r="R48" s="2322">
        <f t="shared" si="23"/>
        <v>0</v>
      </c>
      <c r="S48" s="2322">
        <f t="shared" si="23"/>
        <v>0</v>
      </c>
      <c r="T48" s="2322">
        <f t="shared" si="23"/>
        <v>724</v>
      </c>
      <c r="U48" s="2297"/>
      <c r="V48" s="2324" t="s">
        <v>1342</v>
      </c>
      <c r="W48" s="2322">
        <f>[4]int.bevételek2018!H47</f>
        <v>0</v>
      </c>
      <c r="X48" s="2322">
        <f>'[5]int.bevételek RM V'!T48</f>
        <v>0</v>
      </c>
      <c r="Y48" s="2322"/>
      <c r="Z48" s="2301"/>
      <c r="AA48" s="2322">
        <f>[4]int.bevételek2018!I47</f>
        <v>0</v>
      </c>
      <c r="AB48" s="2322">
        <f>'[5]int.bevételek RM V'!W48</f>
        <v>0</v>
      </c>
      <c r="AC48" s="2322"/>
      <c r="AD48" s="2301"/>
      <c r="AE48" s="2322">
        <f>[4]int.bevételek2018!J47</f>
        <v>0</v>
      </c>
      <c r="AF48" s="2322">
        <f>'[5]int.bevételek RM V'!Z48</f>
        <v>0</v>
      </c>
      <c r="AG48" s="2322"/>
      <c r="AH48" s="2301"/>
      <c r="AI48" s="2322">
        <f t="shared" si="24"/>
        <v>0</v>
      </c>
      <c r="AJ48" s="2322">
        <f t="shared" si="24"/>
        <v>0</v>
      </c>
      <c r="AK48" s="2322">
        <f t="shared" si="24"/>
        <v>0</v>
      </c>
      <c r="AL48" s="2301"/>
      <c r="AM48" s="2322"/>
      <c r="AN48" s="2322">
        <f>'[5]int.bevételek RM V'!AJ48</f>
        <v>1430</v>
      </c>
      <c r="AO48" s="2322">
        <v>1430</v>
      </c>
      <c r="AP48" s="2301">
        <f t="shared" si="25"/>
        <v>1</v>
      </c>
      <c r="AQ48" s="2324" t="s">
        <v>1342</v>
      </c>
      <c r="AR48" s="2322">
        <f>[4]int.bevételek2018!L47</f>
        <v>185000</v>
      </c>
      <c r="AS48" s="2322">
        <f>'[5]int.bevételek RM V'!AM48</f>
        <v>199353</v>
      </c>
      <c r="AT48" s="2322">
        <v>183140</v>
      </c>
      <c r="AU48" s="2301">
        <f t="shared" si="26"/>
        <v>0.91867190360817241</v>
      </c>
      <c r="AV48" s="2322">
        <f>[4]int.bevételek2018!M47</f>
        <v>0</v>
      </c>
      <c r="AW48" s="2322">
        <f>'[5]int.bevételek RM V'!AP48</f>
        <v>4577</v>
      </c>
      <c r="AX48" s="2322">
        <v>4415</v>
      </c>
      <c r="AY48" s="2301">
        <f>AX48/AW48</f>
        <v>0.96460563688005241</v>
      </c>
      <c r="AZ48" s="2322">
        <f t="shared" si="27"/>
        <v>185000</v>
      </c>
      <c r="BA48" s="2322">
        <f t="shared" si="27"/>
        <v>203930</v>
      </c>
      <c r="BB48" s="2322">
        <f t="shared" si="27"/>
        <v>187555</v>
      </c>
      <c r="BC48" s="2301">
        <f t="shared" si="28"/>
        <v>0.91970283920953266</v>
      </c>
      <c r="BD48" s="2322">
        <f t="shared" si="29"/>
        <v>185000</v>
      </c>
      <c r="BE48" s="2322">
        <f t="shared" si="29"/>
        <v>205360</v>
      </c>
      <c r="BF48" s="2322">
        <f t="shared" si="29"/>
        <v>189709</v>
      </c>
      <c r="BG48" s="2301">
        <f t="shared" si="30"/>
        <v>0.92378749513050251</v>
      </c>
      <c r="BH48" s="2192">
        <f>'[6]éves besz.kiadásai2018'!AQ48-'4 int bevétel'!AK48-AX48</f>
        <v>0</v>
      </c>
      <c r="BI48" s="2192">
        <f>'[6]éves besz.kiadásai2018'!AP48-'4 int bevétel'!AJ48-AW48</f>
        <v>0</v>
      </c>
    </row>
    <row r="49" spans="1:59" ht="57" customHeight="1" thickBot="1" x14ac:dyDescent="0.65">
      <c r="A49" s="2222" t="s">
        <v>1429</v>
      </c>
      <c r="B49" s="2322">
        <f>SUM(B46:B48)</f>
        <v>155798</v>
      </c>
      <c r="C49" s="2322">
        <f>SUM(C46:C48)</f>
        <v>156745</v>
      </c>
      <c r="D49" s="2322">
        <f>SUM(D46:D48)</f>
        <v>154998</v>
      </c>
      <c r="E49" s="2299">
        <f>D49/C49</f>
        <v>0.98885450891575488</v>
      </c>
      <c r="F49" s="2322">
        <f>SUM(F46:F48)</f>
        <v>0</v>
      </c>
      <c r="G49" s="2322">
        <f>SUM(G46:G48)</f>
        <v>22221</v>
      </c>
      <c r="H49" s="2322">
        <f>SUM(H46:H48)</f>
        <v>22221</v>
      </c>
      <c r="I49" s="2301">
        <f>H49/G49</f>
        <v>1</v>
      </c>
      <c r="J49" s="2322">
        <f>SUM(J46:J48)</f>
        <v>0</v>
      </c>
      <c r="K49" s="2322">
        <f>SUM(K46:K48)</f>
        <v>0</v>
      </c>
      <c r="L49" s="2322">
        <f>SUM(L46:L48)</f>
        <v>0</v>
      </c>
      <c r="M49" s="2301"/>
      <c r="N49" s="2322">
        <f>SUM(N46:N48)</f>
        <v>700</v>
      </c>
      <c r="O49" s="2322">
        <f>SUM(O46:O48)</f>
        <v>3194</v>
      </c>
      <c r="P49" s="2322">
        <f>SUM(P46:P48)</f>
        <v>3194</v>
      </c>
      <c r="Q49" s="2301">
        <f>P49/O49</f>
        <v>1</v>
      </c>
      <c r="R49" s="2322">
        <f>SUM(R46:R48)</f>
        <v>156498</v>
      </c>
      <c r="S49" s="2322">
        <f>SUM(S46:S48)</f>
        <v>182160</v>
      </c>
      <c r="T49" s="2322">
        <f>SUM(T46:T48)</f>
        <v>180413</v>
      </c>
      <c r="U49" s="2301">
        <f>T49/S49</f>
        <v>0.99040953008344312</v>
      </c>
      <c r="V49" s="2325" t="s">
        <v>1429</v>
      </c>
      <c r="W49" s="2322">
        <f>SUM(W46:W48)</f>
        <v>0</v>
      </c>
      <c r="X49" s="2322">
        <f>SUM(X46:X48)</f>
        <v>609</v>
      </c>
      <c r="Y49" s="2322">
        <f>SUM(Y46:Y48)</f>
        <v>609</v>
      </c>
      <c r="Z49" s="2301">
        <f>Y49/X49</f>
        <v>1</v>
      </c>
      <c r="AA49" s="2322">
        <f>SUM(AA46:AA48)</f>
        <v>0</v>
      </c>
      <c r="AB49" s="2322">
        <f>SUM(AB46:AB48)</f>
        <v>0</v>
      </c>
      <c r="AC49" s="2322">
        <f>SUM(AC46:AC48)</f>
        <v>0</v>
      </c>
      <c r="AD49" s="2301"/>
      <c r="AE49" s="2322">
        <f>SUM(AE46:AE48)</f>
        <v>0</v>
      </c>
      <c r="AF49" s="2322">
        <f>SUM(AF46:AF48)</f>
        <v>0</v>
      </c>
      <c r="AG49" s="2322">
        <f>SUM(AG46:AG48)</f>
        <v>0</v>
      </c>
      <c r="AH49" s="2301"/>
      <c r="AI49" s="2322">
        <f>SUM(AI46:AI48)</f>
        <v>0</v>
      </c>
      <c r="AJ49" s="2322">
        <f>SUM(AJ46:AJ48)</f>
        <v>609</v>
      </c>
      <c r="AK49" s="2322">
        <f>SUM(AK46:AK48)</f>
        <v>609</v>
      </c>
      <c r="AL49" s="2301">
        <f>AK49/AJ49</f>
        <v>1</v>
      </c>
      <c r="AM49" s="2322">
        <f>SUM(AM46:AM48)</f>
        <v>0</v>
      </c>
      <c r="AN49" s="2322">
        <f>SUM(AN46:AN48)</f>
        <v>38704</v>
      </c>
      <c r="AO49" s="2322">
        <f>SUM(AO46:AO48)</f>
        <v>38704</v>
      </c>
      <c r="AP49" s="2301">
        <f t="shared" si="25"/>
        <v>1</v>
      </c>
      <c r="AQ49" s="2325" t="s">
        <v>1429</v>
      </c>
      <c r="AR49" s="2322">
        <f>SUM(AR46:AR48)</f>
        <v>1874512</v>
      </c>
      <c r="AS49" s="2322">
        <f>SUM(AS46:AS48)</f>
        <v>2124831</v>
      </c>
      <c r="AT49" s="2322">
        <f>SUM(AT46:AT48)</f>
        <v>1861003</v>
      </c>
      <c r="AU49" s="2301">
        <f t="shared" si="26"/>
        <v>0.87583577235083643</v>
      </c>
      <c r="AV49" s="2322">
        <f>SUM(AV46:AV48)</f>
        <v>10000</v>
      </c>
      <c r="AW49" s="2322">
        <f>SUM(AW46:AW48)</f>
        <v>62164</v>
      </c>
      <c r="AX49" s="2322">
        <f>SUM(AX46:AX48)</f>
        <v>56942</v>
      </c>
      <c r="AY49" s="2301">
        <f>AX49/AW49</f>
        <v>0.91599639662827359</v>
      </c>
      <c r="AZ49" s="2322">
        <f>SUM(AZ46:AZ48)</f>
        <v>1884512</v>
      </c>
      <c r="BA49" s="2322">
        <f>SUM(BA46:BA48)</f>
        <v>2186995</v>
      </c>
      <c r="BB49" s="2322">
        <f>SUM(BB46:BB48)</f>
        <v>1917945</v>
      </c>
      <c r="BC49" s="2301">
        <f t="shared" si="28"/>
        <v>0.87697731361983</v>
      </c>
      <c r="BD49" s="2322">
        <f>SUM(BD46:BD48)</f>
        <v>2041010</v>
      </c>
      <c r="BE49" s="2322">
        <f>SUM(BE46:BE48)</f>
        <v>2408468</v>
      </c>
      <c r="BF49" s="2322">
        <f>SUM(BF46:BF48)</f>
        <v>2137671</v>
      </c>
      <c r="BG49" s="2301">
        <f t="shared" si="30"/>
        <v>0.88756462614408826</v>
      </c>
    </row>
    <row r="50" spans="1:59" ht="57" customHeight="1" thickBot="1" x14ac:dyDescent="0.65">
      <c r="A50" s="2222" t="s">
        <v>1343</v>
      </c>
      <c r="B50" s="2326">
        <f>B38+B40+B42+B44+B49</f>
        <v>882418</v>
      </c>
      <c r="C50" s="2326">
        <f>C38+C40+C42+C44+C49</f>
        <v>1122062</v>
      </c>
      <c r="D50" s="2326">
        <f>D38+D40+D42+D44+D49</f>
        <v>1120090</v>
      </c>
      <c r="E50" s="2299">
        <f>D50/C50</f>
        <v>0.99824252135799985</v>
      </c>
      <c r="F50" s="2326">
        <f>F38+F40+F42+F44+F49</f>
        <v>255397</v>
      </c>
      <c r="G50" s="2326">
        <f>G38+G40+G42+G44+G49</f>
        <v>396005</v>
      </c>
      <c r="H50" s="2326">
        <f>H38+H40+H42+H44+H49</f>
        <v>396006</v>
      </c>
      <c r="I50" s="2299">
        <f>H50/G50</f>
        <v>1.0000025252206413</v>
      </c>
      <c r="J50" s="2326">
        <f>J38+J40+J42+J44+J49</f>
        <v>0</v>
      </c>
      <c r="K50" s="2326">
        <f>K38+K40+K42+K44+K49</f>
        <v>357</v>
      </c>
      <c r="L50" s="2326">
        <f>L38+L40+L42+L44+L49</f>
        <v>360</v>
      </c>
      <c r="M50" s="2299">
        <f>L50/K50</f>
        <v>1.0084033613445378</v>
      </c>
      <c r="N50" s="2326">
        <f>N38+N40+N42+N44+N49</f>
        <v>700</v>
      </c>
      <c r="O50" s="2326">
        <f>O38+O40+O42+O44+O49</f>
        <v>3194</v>
      </c>
      <c r="P50" s="2326">
        <f>P38+P40+P42+P44+P49</f>
        <v>3194</v>
      </c>
      <c r="Q50" s="2299">
        <f>P50/O50</f>
        <v>1</v>
      </c>
      <c r="R50" s="2326">
        <f>R38+R40+R42+R44+R49</f>
        <v>1138515</v>
      </c>
      <c r="S50" s="2326">
        <f>S38+S40+S42+S44+S49</f>
        <v>1521618</v>
      </c>
      <c r="T50" s="2326">
        <f>T38+T40+T42+T44+T49</f>
        <v>1519650</v>
      </c>
      <c r="U50" s="2299">
        <f>T50/S50</f>
        <v>0.99870663990567932</v>
      </c>
      <c r="V50" s="2325" t="s">
        <v>1343</v>
      </c>
      <c r="W50" s="2326">
        <f>W38+W40+W42+W44+W49</f>
        <v>0</v>
      </c>
      <c r="X50" s="2326">
        <f>X38+X40+X42+X44+X49</f>
        <v>1558</v>
      </c>
      <c r="Y50" s="2326">
        <f>Y38+Y40+Y42+Y44+Y49</f>
        <v>3019</v>
      </c>
      <c r="Z50" s="2299">
        <f>Y50/X50</f>
        <v>1.9377406931964056</v>
      </c>
      <c r="AA50" s="2326">
        <f>AA38+AA40+AA42+AA44+AA49</f>
        <v>1990</v>
      </c>
      <c r="AB50" s="2326">
        <f>AB38+AB40+AB42+AB44+AB49</f>
        <v>28303</v>
      </c>
      <c r="AC50" s="2326">
        <f>AC38+AC40+AC42+AC44+AC49</f>
        <v>28300</v>
      </c>
      <c r="AD50" s="2299">
        <f>AC50/AB50</f>
        <v>0.99989400416916929</v>
      </c>
      <c r="AE50" s="2326">
        <f>AE38+AE40+AE42+AE44+AE49</f>
        <v>0</v>
      </c>
      <c r="AF50" s="2326">
        <f>AF38+AF40+AF42+AF44+AF49</f>
        <v>2755</v>
      </c>
      <c r="AG50" s="2326">
        <f>AG38+AG40+AG42+AG44+AG49</f>
        <v>2755</v>
      </c>
      <c r="AH50" s="2299">
        <f>AG50/AF50</f>
        <v>1</v>
      </c>
      <c r="AI50" s="2326">
        <f>AI38+AI40+AI42+AI44+AI49</f>
        <v>1990</v>
      </c>
      <c r="AJ50" s="2326">
        <f>AJ38+AJ40+AJ42+AJ44+AJ49</f>
        <v>32616</v>
      </c>
      <c r="AK50" s="2326">
        <f>AK38+AK40+AK42+AK44+AK49</f>
        <v>34074</v>
      </c>
      <c r="AL50" s="2299">
        <f>AK50/AJ50</f>
        <v>1.0447019867549669</v>
      </c>
      <c r="AM50" s="2326">
        <f>AM38+AM40+AM42+AM44+AM49</f>
        <v>0</v>
      </c>
      <c r="AN50" s="2326">
        <f>AN38+AN40+AN42+AN44+AN49</f>
        <v>173174</v>
      </c>
      <c r="AO50" s="2326">
        <f>AO38+AO40+AO42+AO44+AO49</f>
        <v>173175</v>
      </c>
      <c r="AP50" s="2299">
        <f t="shared" si="25"/>
        <v>1.000005774538903</v>
      </c>
      <c r="AQ50" s="2325" t="s">
        <v>1343</v>
      </c>
      <c r="AR50" s="2326">
        <f>AR38+AR40+AR42+AR44+AR49</f>
        <v>4567635</v>
      </c>
      <c r="AS50" s="2326">
        <f>AS38+AS40+AS42+AS44+AS49</f>
        <v>5378858</v>
      </c>
      <c r="AT50" s="2326">
        <f>AT38+AT40+AT42+AT44+AT49</f>
        <v>4937151</v>
      </c>
      <c r="AU50" s="2299">
        <f t="shared" si="26"/>
        <v>0.91788089590764432</v>
      </c>
      <c r="AV50" s="2326">
        <f>AV38+AV40+AV42+AV44+AV49</f>
        <v>29382</v>
      </c>
      <c r="AW50" s="2326">
        <f>AW38+AW40+AW42+AW44+AW49</f>
        <v>270580</v>
      </c>
      <c r="AX50" s="2326">
        <f>AX38+AX40+AX42+AX44+AX49</f>
        <v>203244</v>
      </c>
      <c r="AY50" s="2299">
        <f>AX50/AW50</f>
        <v>0.75114199127799541</v>
      </c>
      <c r="AZ50" s="2326">
        <f>AZ38+AZ40+AZ42+AZ44+AZ49</f>
        <v>4597017</v>
      </c>
      <c r="BA50" s="2326">
        <f>BA38+BA40+BA42+BA44+BA49</f>
        <v>5649438</v>
      </c>
      <c r="BB50" s="2326">
        <f>BB38+BB40+BB42+BB44+BB49</f>
        <v>5140395</v>
      </c>
      <c r="BC50" s="2299">
        <f t="shared" si="28"/>
        <v>0.90989493114182329</v>
      </c>
      <c r="BD50" s="2326">
        <f>BD38+BD40+BD42+BD44+BD49</f>
        <v>5737522</v>
      </c>
      <c r="BE50" s="2326">
        <f>BE38+BE40+BE42+BE44+BE49</f>
        <v>7376846</v>
      </c>
      <c r="BF50" s="2326">
        <f>BF38+BF40+BF42+BF44+BF49</f>
        <v>6867294</v>
      </c>
      <c r="BG50" s="2299">
        <f t="shared" si="30"/>
        <v>0.93092549309013639</v>
      </c>
    </row>
    <row r="51" spans="1:59" ht="57" customHeight="1" thickBot="1" x14ac:dyDescent="0.65">
      <c r="A51" s="2213" t="s">
        <v>1344</v>
      </c>
      <c r="B51" s="2298">
        <f>B30+B50</f>
        <v>1327385</v>
      </c>
      <c r="C51" s="2298">
        <f>C30+C50</f>
        <v>1522194</v>
      </c>
      <c r="D51" s="2298">
        <f>D30+D50</f>
        <v>1520205</v>
      </c>
      <c r="E51" s="2292">
        <f>D51/C51</f>
        <v>0.9986933334384448</v>
      </c>
      <c r="F51" s="2298">
        <f>F30+F50</f>
        <v>255397</v>
      </c>
      <c r="G51" s="2298">
        <f>G30+G50</f>
        <v>403623</v>
      </c>
      <c r="H51" s="2298">
        <f>H30+H50</f>
        <v>403621</v>
      </c>
      <c r="I51" s="2299">
        <f>H51/G51</f>
        <v>0.99999504488099045</v>
      </c>
      <c r="J51" s="2298">
        <f>J30+J50</f>
        <v>0</v>
      </c>
      <c r="K51" s="2298">
        <f>K30+K50</f>
        <v>3853</v>
      </c>
      <c r="L51" s="2298">
        <f>L30+L50</f>
        <v>3853</v>
      </c>
      <c r="M51" s="2299">
        <f>L51/K51</f>
        <v>1</v>
      </c>
      <c r="N51" s="2298">
        <f>N30+N50</f>
        <v>700</v>
      </c>
      <c r="O51" s="2298">
        <f>O30+O50</f>
        <v>3194</v>
      </c>
      <c r="P51" s="2298">
        <f>P30+P50</f>
        <v>3194</v>
      </c>
      <c r="Q51" s="2299">
        <f>P51/O51</f>
        <v>1</v>
      </c>
      <c r="R51" s="2298">
        <f>R30+R50</f>
        <v>1583482</v>
      </c>
      <c r="S51" s="2298">
        <f>S30+S50</f>
        <v>1932864</v>
      </c>
      <c r="T51" s="2298">
        <f>T30+T50</f>
        <v>1930873</v>
      </c>
      <c r="U51" s="2299">
        <f>T51/S51</f>
        <v>0.99896992235356441</v>
      </c>
      <c r="V51" s="2327" t="s">
        <v>1344</v>
      </c>
      <c r="W51" s="2298">
        <f>W30+W50</f>
        <v>0</v>
      </c>
      <c r="X51" s="2298">
        <f>X30+X50</f>
        <v>1592</v>
      </c>
      <c r="Y51" s="2298">
        <f>Y30+Y50</f>
        <v>3053</v>
      </c>
      <c r="Z51" s="2299">
        <f>Y51/X51</f>
        <v>1.9177135678391959</v>
      </c>
      <c r="AA51" s="2298">
        <f>AA30+AA50</f>
        <v>1990</v>
      </c>
      <c r="AB51" s="2298">
        <f>AB30+AB50</f>
        <v>28303</v>
      </c>
      <c r="AC51" s="2298">
        <f>AC30+AC50</f>
        <v>28300</v>
      </c>
      <c r="AD51" s="2299">
        <f>AC51/AB51</f>
        <v>0.99989400416916929</v>
      </c>
      <c r="AE51" s="2298">
        <f>AE30+AE50</f>
        <v>0</v>
      </c>
      <c r="AF51" s="2298">
        <f>AF30+AF50</f>
        <v>2755</v>
      </c>
      <c r="AG51" s="2298">
        <f>AG30+AG50</f>
        <v>2755</v>
      </c>
      <c r="AH51" s="2299">
        <f>AG51/AF51</f>
        <v>1</v>
      </c>
      <c r="AI51" s="2298">
        <f>AI30+AI50</f>
        <v>1990</v>
      </c>
      <c r="AJ51" s="2298">
        <f>AJ30+AJ50</f>
        <v>32650</v>
      </c>
      <c r="AK51" s="2298">
        <f>AK30+AK50</f>
        <v>34108</v>
      </c>
      <c r="AL51" s="2299">
        <f>AK51/AJ51</f>
        <v>1.044655436447167</v>
      </c>
      <c r="AM51" s="2298">
        <f>AM30+AM50</f>
        <v>0</v>
      </c>
      <c r="AN51" s="2298">
        <f>AN30+AN50</f>
        <v>208145</v>
      </c>
      <c r="AO51" s="2298">
        <f>AO30+AO50</f>
        <v>208146</v>
      </c>
      <c r="AP51" s="2299">
        <f t="shared" si="25"/>
        <v>1.0000048043431262</v>
      </c>
      <c r="AQ51" s="2327" t="s">
        <v>1344</v>
      </c>
      <c r="AR51" s="2298">
        <f>AR30+AR50</f>
        <v>7309866</v>
      </c>
      <c r="AS51" s="2298">
        <f>AS30+AS50</f>
        <v>8218144</v>
      </c>
      <c r="AT51" s="2298">
        <f>AT30+AT50</f>
        <v>7582427</v>
      </c>
      <c r="AU51" s="2299">
        <f t="shared" si="26"/>
        <v>0.9226446993384394</v>
      </c>
      <c r="AV51" s="2298">
        <f>AV30+AV50</f>
        <v>29382</v>
      </c>
      <c r="AW51" s="2298">
        <f>AW30+AW50</f>
        <v>477073</v>
      </c>
      <c r="AX51" s="2298">
        <f>AX30+AX50</f>
        <v>369249</v>
      </c>
      <c r="AY51" s="2299">
        <f>AX51/AW51</f>
        <v>0.77398846717378678</v>
      </c>
      <c r="AZ51" s="2298">
        <f>AZ30+AZ50</f>
        <v>7339248</v>
      </c>
      <c r="BA51" s="2298">
        <f>BA30+BA50</f>
        <v>8695217</v>
      </c>
      <c r="BB51" s="2298">
        <f>BB30+BB50</f>
        <v>7951676</v>
      </c>
      <c r="BC51" s="2299">
        <f t="shared" si="28"/>
        <v>0.91448850557726158</v>
      </c>
      <c r="BD51" s="2298">
        <f>BD30+BD50</f>
        <v>8924720</v>
      </c>
      <c r="BE51" s="2298">
        <f>BE30+BE50</f>
        <v>10868876</v>
      </c>
      <c r="BF51" s="2298">
        <f>BF30+BF50</f>
        <v>10124803</v>
      </c>
      <c r="BG51" s="2299">
        <f t="shared" si="30"/>
        <v>0.93154094314812319</v>
      </c>
    </row>
    <row r="52" spans="1:59" s="2228" customFormat="1" ht="49.5" customHeight="1" x14ac:dyDescent="0.6">
      <c r="A52" s="2223"/>
      <c r="B52" s="2224"/>
      <c r="C52" s="2224"/>
      <c r="D52" s="2224"/>
      <c r="E52" s="2224"/>
      <c r="F52" s="2224"/>
      <c r="G52" s="2224"/>
      <c r="H52" s="2224"/>
      <c r="I52" s="2224"/>
      <c r="J52" s="2224"/>
      <c r="K52" s="2224"/>
      <c r="L52" s="2224"/>
      <c r="M52" s="2224"/>
      <c r="N52" s="2224"/>
      <c r="O52" s="2224"/>
      <c r="P52" s="2224"/>
      <c r="Q52" s="2224"/>
      <c r="R52" s="2224"/>
      <c r="S52" s="2224"/>
      <c r="T52" s="2224"/>
      <c r="U52" s="2224"/>
      <c r="V52" s="2225"/>
      <c r="W52" s="2224"/>
      <c r="X52" s="2224"/>
      <c r="Y52" s="2224"/>
      <c r="Z52" s="2224"/>
      <c r="AA52" s="2224"/>
      <c r="AB52" s="2224"/>
      <c r="AC52" s="2224"/>
      <c r="AD52" s="2224"/>
      <c r="AE52" s="2224"/>
      <c r="AF52" s="2224"/>
      <c r="AG52" s="2224"/>
      <c r="AH52" s="2224"/>
      <c r="AI52" s="2224"/>
      <c r="AJ52" s="2224"/>
      <c r="AK52" s="2224"/>
      <c r="AL52" s="2224"/>
      <c r="AM52" s="2225"/>
      <c r="AN52" s="2225"/>
      <c r="AO52" s="2225"/>
      <c r="AP52" s="2225"/>
      <c r="AQ52" s="2225"/>
      <c r="AR52" s="2225"/>
      <c r="AS52" s="2225"/>
      <c r="AT52" s="2225"/>
      <c r="AU52" s="2225"/>
      <c r="AV52" s="2225"/>
      <c r="AW52" s="2225"/>
      <c r="AX52" s="2225"/>
      <c r="AY52" s="2225"/>
      <c r="AZ52" s="2225"/>
      <c r="BA52" s="2225"/>
      <c r="BB52" s="2226"/>
      <c r="BC52" s="2226"/>
      <c r="BD52" s="2226"/>
      <c r="BE52" s="2226"/>
      <c r="BF52" s="2227"/>
      <c r="BG52" s="2227"/>
    </row>
    <row r="53" spans="1:59" s="2228" customFormat="1" ht="47.25" customHeight="1" x14ac:dyDescent="0.6">
      <c r="A53" s="2229"/>
      <c r="B53" s="2224">
        <f>[4]int.bevételek2018!B53</f>
        <v>0</v>
      </c>
      <c r="C53" s="2224">
        <f>'[5]int.bevételek RM V'!D54</f>
        <v>1522194</v>
      </c>
      <c r="D53" s="2224"/>
      <c r="E53" s="2224"/>
      <c r="F53" s="2224">
        <f>[4]int.bevételek2018!F53</f>
        <v>0</v>
      </c>
      <c r="G53" s="2224">
        <f>'[5]int.bevételek RM V'!G54</f>
        <v>403623</v>
      </c>
      <c r="H53" s="2224"/>
      <c r="I53" s="2224"/>
      <c r="J53" s="2224">
        <f>[4]int.bevételek2018!J53</f>
        <v>0</v>
      </c>
      <c r="K53" s="2224">
        <f>'[5]int.bevételek RM V'!$J$54</f>
        <v>3853</v>
      </c>
      <c r="L53" s="2224"/>
      <c r="M53" s="2224"/>
      <c r="N53" s="2224">
        <f>[4]int.bevételek2018!N53</f>
        <v>0</v>
      </c>
      <c r="O53" s="2224">
        <f>'[5]int.bevételek RM V'!$M$54</f>
        <v>3194</v>
      </c>
      <c r="P53" s="2224"/>
      <c r="Q53" s="2224"/>
      <c r="R53" s="2224">
        <f>[4]int.bevételek2018!R53</f>
        <v>0</v>
      </c>
      <c r="S53" s="2224">
        <f>'[5]int.bevételek RM V'!$P$54</f>
        <v>1932864</v>
      </c>
      <c r="T53" s="2224">
        <f>D53+H53+L53+P53</f>
        <v>0</v>
      </c>
      <c r="U53" s="2224"/>
      <c r="V53" s="2230"/>
      <c r="W53" s="2224">
        <f>[4]int.bevételek2018!W53</f>
        <v>0</v>
      </c>
      <c r="X53" s="2224">
        <f>'[5]int.bevételek RM V'!$T$54</f>
        <v>1592</v>
      </c>
      <c r="Y53" s="2224"/>
      <c r="Z53" s="2224"/>
      <c r="AA53" s="2224">
        <f>[4]int.bevételek2018!AA53</f>
        <v>0</v>
      </c>
      <c r="AB53" s="2224">
        <f>'[5]int.bevételek RM V'!$W$54</f>
        <v>28303</v>
      </c>
      <c r="AC53" s="2224"/>
      <c r="AD53" s="2224"/>
      <c r="AE53" s="2224">
        <f>[4]int.bevételek2018!AE53</f>
        <v>0</v>
      </c>
      <c r="AF53" s="2224">
        <f>'[5]int.bevételek RM V'!$Z$54</f>
        <v>2755</v>
      </c>
      <c r="AG53" s="2224"/>
      <c r="AH53" s="2224"/>
      <c r="AI53" s="2224">
        <f>[4]int.bevételek2018!AI53</f>
        <v>0</v>
      </c>
      <c r="AJ53" s="2224">
        <f>'[5]int.bevételek RM V'!$AC$54</f>
        <v>32650</v>
      </c>
      <c r="AK53" s="2224">
        <f>Y53+AC53+AG53</f>
        <v>0</v>
      </c>
      <c r="AL53" s="2224"/>
      <c r="AM53" s="2230">
        <f>[4]int.bevételek2018!AM53</f>
        <v>0</v>
      </c>
      <c r="AN53" s="2231">
        <f>'[5]int.bevételek RM V'!$AJ$54</f>
        <v>208145</v>
      </c>
      <c r="AO53" s="2231"/>
      <c r="AP53" s="2230"/>
      <c r="AQ53" s="2230"/>
      <c r="AR53" s="2231">
        <f>[4]int.bevételek2018!AR53</f>
        <v>0</v>
      </c>
      <c r="AS53" s="2231">
        <f>'[5]int.bevételek RM V'!$AM$54</f>
        <v>8218144</v>
      </c>
      <c r="AT53" s="2231"/>
      <c r="AU53" s="2230"/>
      <c r="AV53" s="2231">
        <f>[4]int.bevételek2018!AV53</f>
        <v>0</v>
      </c>
      <c r="AW53" s="2231">
        <f>'[5]int.bevételek RM V'!$AP$54</f>
        <v>477073</v>
      </c>
      <c r="AX53" s="2231"/>
      <c r="AY53" s="2230"/>
      <c r="AZ53" s="2231">
        <f>[4]int.bevételek2018!AZ53</f>
        <v>0</v>
      </c>
      <c r="BA53" s="2231">
        <f>'[5]int.bevételek RM V'!$AS$54</f>
        <v>8695217</v>
      </c>
      <c r="BB53" s="2226"/>
      <c r="BC53" s="2226"/>
      <c r="BD53" s="2224">
        <f>[4]int.bevételek2018!BD53</f>
        <v>0</v>
      </c>
      <c r="BE53" s="2224">
        <f>'[5]int.bevételek RM V'!$AV$54</f>
        <v>10868876</v>
      </c>
      <c r="BF53" s="2224"/>
      <c r="BG53" s="2224"/>
    </row>
    <row r="54" spans="1:59" s="2228" customFormat="1" ht="47.25" customHeight="1" x14ac:dyDescent="0.6">
      <c r="A54" s="2229"/>
      <c r="B54" s="2224">
        <f>B51-B53</f>
        <v>1327385</v>
      </c>
      <c r="C54" s="2224">
        <f>C51-C53</f>
        <v>0</v>
      </c>
      <c r="D54" s="2224">
        <f>D51-D53</f>
        <v>1520205</v>
      </c>
      <c r="E54" s="2224"/>
      <c r="F54" s="2224">
        <f>F51-F53</f>
        <v>255397</v>
      </c>
      <c r="G54" s="2224">
        <f>G51-G53</f>
        <v>0</v>
      </c>
      <c r="H54" s="2224">
        <f>H51-H53</f>
        <v>403621</v>
      </c>
      <c r="I54" s="2224"/>
      <c r="J54" s="2224">
        <f>J51-J53</f>
        <v>0</v>
      </c>
      <c r="K54" s="2224">
        <f>K51-K53</f>
        <v>0</v>
      </c>
      <c r="L54" s="2224">
        <f>L51-L53</f>
        <v>3853</v>
      </c>
      <c r="M54" s="2224"/>
      <c r="N54" s="2224">
        <f>N51-N53</f>
        <v>700</v>
      </c>
      <c r="O54" s="2224">
        <f>O51-O53</f>
        <v>0</v>
      </c>
      <c r="P54" s="2224">
        <f>P51-P53</f>
        <v>3194</v>
      </c>
      <c r="Q54" s="2224"/>
      <c r="R54" s="2224">
        <f>R51-R53</f>
        <v>1583482</v>
      </c>
      <c r="S54" s="2224">
        <f>S51-S53</f>
        <v>0</v>
      </c>
      <c r="T54" s="2224">
        <f>T51-T53</f>
        <v>1930873</v>
      </c>
      <c r="U54" s="2224"/>
      <c r="V54" s="2224"/>
      <c r="W54" s="2224">
        <f>W51-W53</f>
        <v>0</v>
      </c>
      <c r="X54" s="2224">
        <f>X51-X53</f>
        <v>0</v>
      </c>
      <c r="Y54" s="2224">
        <f>Y51-Y53</f>
        <v>3053</v>
      </c>
      <c r="Z54" s="2224"/>
      <c r="AA54" s="2224">
        <f>AA51-AA53</f>
        <v>1990</v>
      </c>
      <c r="AB54" s="2224">
        <f>AB51-AB53</f>
        <v>0</v>
      </c>
      <c r="AC54" s="2224">
        <f>AC51-AC53</f>
        <v>28300</v>
      </c>
      <c r="AD54" s="2224"/>
      <c r="AE54" s="2224">
        <f>AE51-AE53</f>
        <v>0</v>
      </c>
      <c r="AF54" s="2224">
        <f>AF51-AF53</f>
        <v>0</v>
      </c>
      <c r="AG54" s="2224">
        <f>AG51-AG53</f>
        <v>2755</v>
      </c>
      <c r="AH54" s="2224"/>
      <c r="AI54" s="2224">
        <f>AI51-AI53</f>
        <v>1990</v>
      </c>
      <c r="AJ54" s="2224">
        <f>AJ51-AJ53</f>
        <v>0</v>
      </c>
      <c r="AK54" s="2224">
        <f>AK51-AK53</f>
        <v>34108</v>
      </c>
      <c r="AL54" s="2224"/>
      <c r="AM54" s="2224">
        <f>AM51-AM53</f>
        <v>0</v>
      </c>
      <c r="AN54" s="2224">
        <f>AN51-AN53</f>
        <v>0</v>
      </c>
      <c r="AO54" s="2224">
        <f>AO51-AO53</f>
        <v>208146</v>
      </c>
      <c r="AP54" s="2224"/>
      <c r="AQ54" s="2224"/>
      <c r="AR54" s="2224">
        <f>AR51-AR53</f>
        <v>7309866</v>
      </c>
      <c r="AS54" s="2224">
        <f>AS51-AS53</f>
        <v>0</v>
      </c>
      <c r="AT54" s="2224">
        <f>AT51-AT53</f>
        <v>7582427</v>
      </c>
      <c r="AU54" s="2224"/>
      <c r="AV54" s="2224">
        <f>AV51-AV53</f>
        <v>29382</v>
      </c>
      <c r="AW54" s="2224">
        <f>AW51-AW53</f>
        <v>0</v>
      </c>
      <c r="AX54" s="2224">
        <f>AX51-AX53</f>
        <v>369249</v>
      </c>
      <c r="AY54" s="2224"/>
      <c r="AZ54" s="2224">
        <f>AZ51-AZ53</f>
        <v>7339248</v>
      </c>
      <c r="BA54" s="2224">
        <f>BA51-BA53</f>
        <v>0</v>
      </c>
      <c r="BB54" s="2224">
        <f>BB51-BB53</f>
        <v>7951676</v>
      </c>
      <c r="BC54" s="2224"/>
      <c r="BD54" s="2224">
        <f>BD51-BD53</f>
        <v>8924720</v>
      </c>
      <c r="BE54" s="2224">
        <f>BE51-BE53</f>
        <v>0</v>
      </c>
      <c r="BF54" s="2224">
        <f>BF51-BF53</f>
        <v>10124803</v>
      </c>
      <c r="BG54" s="2224"/>
    </row>
    <row r="55" spans="1:59" ht="26.45" customHeight="1" x14ac:dyDescent="0.6">
      <c r="A55" s="2232"/>
      <c r="B55" s="2233"/>
      <c r="C55" s="2233"/>
      <c r="D55" s="2233"/>
      <c r="E55" s="2233"/>
      <c r="F55" s="2233"/>
      <c r="G55" s="2233"/>
      <c r="H55" s="2233"/>
      <c r="I55" s="2233"/>
      <c r="J55" s="2233"/>
      <c r="K55" s="2233"/>
      <c r="L55" s="2233"/>
      <c r="M55" s="2233"/>
      <c r="N55" s="2233"/>
      <c r="O55" s="2233"/>
      <c r="P55" s="2233"/>
      <c r="Q55" s="2233"/>
      <c r="R55" s="2233"/>
      <c r="S55" s="2233"/>
      <c r="T55" s="2233"/>
      <c r="U55" s="2233"/>
      <c r="V55" s="2234"/>
      <c r="W55" s="2233"/>
      <c r="X55" s="2233"/>
      <c r="Y55" s="2233"/>
      <c r="Z55" s="2233"/>
      <c r="AA55" s="2233"/>
      <c r="AB55" s="2233"/>
      <c r="AC55" s="2233"/>
      <c r="AD55" s="2233"/>
      <c r="AE55" s="2233"/>
      <c r="AF55" s="2233"/>
      <c r="AG55" s="2233"/>
      <c r="AH55" s="2233"/>
      <c r="AI55" s="2233"/>
      <c r="AJ55" s="2233"/>
      <c r="AK55" s="2233"/>
      <c r="AL55" s="2233"/>
      <c r="AM55" s="2234"/>
      <c r="AN55" s="2234"/>
      <c r="AO55" s="2234"/>
      <c r="AP55" s="2234"/>
      <c r="AQ55" s="2234"/>
      <c r="AR55" s="2234"/>
      <c r="AS55" s="2234"/>
      <c r="AT55" s="2234"/>
      <c r="AU55" s="2234"/>
      <c r="AV55" s="2234"/>
      <c r="AW55" s="2234"/>
      <c r="AX55" s="2234"/>
      <c r="AY55" s="2234"/>
      <c r="AZ55" s="2234"/>
      <c r="BA55" s="2234"/>
      <c r="BB55" s="2235"/>
      <c r="BC55" s="2235"/>
      <c r="BD55" s="2235"/>
      <c r="BE55" s="2235"/>
      <c r="BF55" s="2233"/>
      <c r="BG55" s="2233"/>
    </row>
    <row r="56" spans="1:59" ht="26.45" customHeight="1" x14ac:dyDescent="0.6">
      <c r="A56" s="2232"/>
      <c r="B56" s="2233"/>
      <c r="C56" s="2233"/>
      <c r="D56" s="2233"/>
      <c r="E56" s="2233"/>
      <c r="F56" s="2233"/>
      <c r="G56" s="2233"/>
      <c r="H56" s="2233"/>
      <c r="I56" s="2233"/>
      <c r="J56" s="2233"/>
      <c r="K56" s="2233"/>
      <c r="L56" s="2233"/>
      <c r="M56" s="2233"/>
      <c r="N56" s="2233"/>
      <c r="O56" s="2233"/>
      <c r="P56" s="2233"/>
      <c r="Q56" s="2233"/>
      <c r="R56" s="2233"/>
      <c r="S56" s="2233"/>
      <c r="T56" s="2233"/>
      <c r="U56" s="2233"/>
      <c r="V56" s="2234"/>
      <c r="W56" s="2233"/>
      <c r="X56" s="2233"/>
      <c r="Y56" s="2233"/>
      <c r="Z56" s="2233"/>
      <c r="AA56" s="2233"/>
      <c r="AB56" s="2233"/>
      <c r="AC56" s="2233"/>
      <c r="AD56" s="2233"/>
      <c r="AE56" s="2233"/>
      <c r="AF56" s="2233"/>
      <c r="AG56" s="2233"/>
      <c r="AH56" s="2233"/>
      <c r="AI56" s="2233"/>
      <c r="AJ56" s="2233"/>
      <c r="AK56" s="2233"/>
      <c r="AL56" s="2233"/>
      <c r="AM56" s="2234"/>
      <c r="AN56" s="2234"/>
      <c r="AO56" s="2234"/>
      <c r="AP56" s="2234"/>
      <c r="AQ56" s="2234"/>
      <c r="AR56" s="2234"/>
      <c r="AS56" s="2234"/>
      <c r="AT56" s="2234"/>
      <c r="AU56" s="2234"/>
      <c r="AV56" s="2234"/>
      <c r="AW56" s="2234"/>
      <c r="AX56" s="2234"/>
      <c r="AY56" s="2234"/>
      <c r="AZ56" s="2234"/>
      <c r="BA56" s="2234"/>
      <c r="BB56" s="2235"/>
      <c r="BC56" s="2235"/>
      <c r="BD56" s="2235"/>
      <c r="BE56" s="2235"/>
      <c r="BF56" s="2233"/>
      <c r="BG56" s="2233"/>
    </row>
    <row r="57" spans="1:59" ht="26.45" customHeight="1" x14ac:dyDescent="0.6">
      <c r="A57" s="2232"/>
      <c r="V57" s="2234"/>
      <c r="AM57" s="2232"/>
      <c r="AN57" s="2232"/>
      <c r="AO57" s="2232"/>
      <c r="AP57" s="2232"/>
      <c r="AQ57" s="2234"/>
      <c r="AR57" s="2232"/>
      <c r="AS57" s="2232"/>
      <c r="AT57" s="2232"/>
      <c r="AU57" s="2232"/>
      <c r="AV57" s="2232"/>
      <c r="AW57" s="2232"/>
      <c r="AX57" s="2232"/>
      <c r="AY57" s="2232"/>
      <c r="AZ57" s="2232"/>
      <c r="BA57" s="2232"/>
    </row>
  </sheetData>
  <mergeCells count="23">
    <mergeCell ref="W6:Z7"/>
    <mergeCell ref="A3:U3"/>
    <mergeCell ref="V3:AP3"/>
    <mergeCell ref="AQ3:BG3"/>
    <mergeCell ref="BH3:BO3"/>
    <mergeCell ref="A4:U4"/>
    <mergeCell ref="V4:AP4"/>
    <mergeCell ref="AQ4:BG4"/>
    <mergeCell ref="BH4:BO4"/>
    <mergeCell ref="B6:E7"/>
    <mergeCell ref="F6:I7"/>
    <mergeCell ref="J6:M7"/>
    <mergeCell ref="N6:Q7"/>
    <mergeCell ref="R6:U7"/>
    <mergeCell ref="BD6:BG7"/>
    <mergeCell ref="AR7:AU7"/>
    <mergeCell ref="AZ6:BC7"/>
    <mergeCell ref="AV7:AY7"/>
    <mergeCell ref="AA6:AD7"/>
    <mergeCell ref="AE6:AH7"/>
    <mergeCell ref="AI6:AL7"/>
    <mergeCell ref="AM6:AP7"/>
    <mergeCell ref="AR6:AY6"/>
  </mergeCells>
  <printOptions horizontalCentered="1" verticalCentered="1"/>
  <pageMargins left="0" right="0" top="0" bottom="0" header="0" footer="0"/>
  <pageSetup paperSize="9" scale="17" orientation="landscape" r:id="rId1"/>
  <headerFooter alignWithMargins="0">
    <oddHeader>&amp;R&amp;26
&amp;"Times New Roman CE,Félkövér"&amp;32 &amp;28 &amp;36 &amp;40 4. melléklet a ....../2019. (........) önkormányzati rendelethez</oddHeader>
    <oddFooter xml:space="preserve">&amp;C &amp;R
&amp;36 &amp;10
</oddFooter>
  </headerFooter>
  <colBreaks count="2" manualBreakCount="2">
    <brk id="21" max="53" man="1"/>
    <brk id="42" max="5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6"/>
  <sheetViews>
    <sheetView zoomScale="75" zoomScaleNormal="75" zoomScaleSheetLayoutView="75" workbookViewId="0">
      <selection activeCell="A11" sqref="A11"/>
    </sheetView>
  </sheetViews>
  <sheetFormatPr defaultColWidth="9.33203125" defaultRowHeight="12.95" customHeight="1" x14ac:dyDescent="0.2"/>
  <cols>
    <col min="1" max="1" width="135.83203125" style="2109" customWidth="1"/>
    <col min="2" max="3" width="35.1640625" style="2108" customWidth="1"/>
    <col min="4" max="5" width="31.33203125" style="2106" customWidth="1"/>
    <col min="6" max="6" width="11.5" style="2106" bestFit="1" customWidth="1"/>
    <col min="7" max="9" width="9.33203125" style="2106"/>
    <col min="10" max="10" width="14.6640625" style="2106" bestFit="1" customWidth="1"/>
    <col min="11" max="11" width="12.5" style="2106" customWidth="1"/>
    <col min="12" max="16384" width="9.33203125" style="2106"/>
  </cols>
  <sheetData>
    <row r="1" spans="1:5" ht="21.75" x14ac:dyDescent="0.3">
      <c r="A1" s="2640" t="s">
        <v>722</v>
      </c>
      <c r="B1" s="2640"/>
      <c r="C1" s="2640"/>
      <c r="D1" s="2640"/>
    </row>
    <row r="2" spans="1:5" ht="21.75" x14ac:dyDescent="0.3">
      <c r="A2" s="2640" t="s">
        <v>1345</v>
      </c>
      <c r="B2" s="2640"/>
      <c r="C2" s="2640"/>
      <c r="D2" s="2640"/>
    </row>
    <row r="3" spans="1:5" ht="8.25" customHeight="1" x14ac:dyDescent="0.2">
      <c r="A3" s="2107"/>
    </row>
    <row r="4" spans="1:5" ht="25.5" customHeight="1" thickBot="1" x14ac:dyDescent="0.3">
      <c r="D4" s="2110"/>
      <c r="E4" s="2328" t="s">
        <v>34</v>
      </c>
    </row>
    <row r="5" spans="1:5" ht="21.75" x14ac:dyDescent="0.3">
      <c r="A5" s="2127" t="s">
        <v>1346</v>
      </c>
      <c r="B5" s="2128"/>
      <c r="C5" s="2128"/>
      <c r="D5" s="2128"/>
      <c r="E5" s="2128"/>
    </row>
    <row r="6" spans="1:5" ht="21.75" x14ac:dyDescent="0.3">
      <c r="A6" s="2129"/>
      <c r="B6" s="2130" t="s">
        <v>1297</v>
      </c>
      <c r="C6" s="2131" t="s">
        <v>1297</v>
      </c>
      <c r="D6" s="2131" t="s">
        <v>1297</v>
      </c>
      <c r="E6" s="2131" t="s">
        <v>1347</v>
      </c>
    </row>
    <row r="7" spans="1:5" ht="21.75" x14ac:dyDescent="0.3">
      <c r="A7" s="2129"/>
      <c r="B7" s="2130" t="s">
        <v>1348</v>
      </c>
      <c r="C7" s="2130" t="s">
        <v>1349</v>
      </c>
      <c r="D7" s="2130" t="s">
        <v>165</v>
      </c>
      <c r="E7" s="2130"/>
    </row>
    <row r="8" spans="1:5" ht="22.5" thickBot="1" x14ac:dyDescent="0.35">
      <c r="A8" s="2132"/>
      <c r="B8" s="2133" t="s">
        <v>1350</v>
      </c>
      <c r="C8" s="2133" t="s">
        <v>1350</v>
      </c>
      <c r="D8" s="2133"/>
      <c r="E8" s="2133"/>
    </row>
    <row r="9" spans="1:5" ht="30.75" customHeight="1" x14ac:dyDescent="0.3">
      <c r="A9" s="2134" t="s">
        <v>669</v>
      </c>
      <c r="B9" s="2120"/>
      <c r="C9" s="2120"/>
      <c r="D9" s="2120"/>
      <c r="E9" s="2120"/>
    </row>
    <row r="10" spans="1:5" ht="31.5" customHeight="1" thickBot="1" x14ac:dyDescent="0.3">
      <c r="A10" s="2168" t="s">
        <v>1351</v>
      </c>
      <c r="B10" s="2169">
        <v>60</v>
      </c>
      <c r="C10" s="2169">
        <v>90</v>
      </c>
      <c r="D10" s="2169">
        <v>84</v>
      </c>
      <c r="E10" s="2169">
        <f>D10-C10</f>
        <v>-6</v>
      </c>
    </row>
    <row r="11" spans="1:5" s="2111" customFormat="1" ht="30.75" customHeight="1" thickBot="1" x14ac:dyDescent="0.35">
      <c r="A11" s="2135" t="s">
        <v>1352</v>
      </c>
      <c r="B11" s="2136">
        <f>SUM(B10:B10)</f>
        <v>60</v>
      </c>
      <c r="C11" s="2136">
        <f>SUM(C10:C10)</f>
        <v>90</v>
      </c>
      <c r="D11" s="2136">
        <f>SUM(D10:D10)</f>
        <v>84</v>
      </c>
      <c r="E11" s="2136">
        <f>SUM(E10:E10)</f>
        <v>-6</v>
      </c>
    </row>
    <row r="12" spans="1:5" ht="44.25" customHeight="1" x14ac:dyDescent="0.3">
      <c r="A12" s="2137" t="s">
        <v>1353</v>
      </c>
      <c r="B12" s="2138"/>
      <c r="C12" s="2138"/>
      <c r="D12" s="2138"/>
      <c r="E12" s="2138"/>
    </row>
    <row r="13" spans="1:5" ht="41.25" customHeight="1" x14ac:dyDescent="0.3">
      <c r="A13" s="2170" t="s">
        <v>1354</v>
      </c>
      <c r="B13" s="2171"/>
      <c r="C13" s="2171"/>
      <c r="D13" s="2171"/>
      <c r="E13" s="2171"/>
    </row>
    <row r="14" spans="1:5" ht="24.75" customHeight="1" x14ac:dyDescent="0.25">
      <c r="A14" s="2172" t="s">
        <v>1355</v>
      </c>
      <c r="B14" s="2173">
        <v>974537</v>
      </c>
      <c r="C14" s="2173">
        <v>982638</v>
      </c>
      <c r="D14" s="2173">
        <v>984995</v>
      </c>
      <c r="E14" s="2173">
        <f>D14-C14</f>
        <v>2357</v>
      </c>
    </row>
    <row r="15" spans="1:5" ht="27" customHeight="1" x14ac:dyDescent="0.25">
      <c r="A15" s="2172" t="s">
        <v>1356</v>
      </c>
      <c r="B15" s="2173"/>
      <c r="C15" s="2173"/>
      <c r="D15" s="2173"/>
      <c r="E15" s="2173"/>
    </row>
    <row r="16" spans="1:5" ht="46.5" customHeight="1" x14ac:dyDescent="0.25">
      <c r="A16" s="2174" t="s">
        <v>1357</v>
      </c>
      <c r="B16" s="2173"/>
      <c r="C16" s="2173"/>
      <c r="D16" s="2173"/>
      <c r="E16" s="2173"/>
    </row>
    <row r="17" spans="1:6" ht="45" customHeight="1" x14ac:dyDescent="0.25">
      <c r="A17" s="2172" t="s">
        <v>1358</v>
      </c>
      <c r="B17" s="2173">
        <v>338169</v>
      </c>
      <c r="C17" s="2173">
        <v>337434</v>
      </c>
      <c r="D17" s="2173">
        <v>337434</v>
      </c>
      <c r="E17" s="2173">
        <f t="shared" ref="E17:E20" si="0">D17-C17</f>
        <v>0</v>
      </c>
    </row>
    <row r="18" spans="1:6" ht="24.75" customHeight="1" x14ac:dyDescent="0.3">
      <c r="A18" s="2175" t="s">
        <v>1359</v>
      </c>
      <c r="B18" s="2173">
        <v>198068</v>
      </c>
      <c r="C18" s="2173">
        <v>198994</v>
      </c>
      <c r="D18" s="2173">
        <v>199375</v>
      </c>
      <c r="E18" s="2173">
        <f t="shared" si="0"/>
        <v>381</v>
      </c>
    </row>
    <row r="19" spans="1:6" ht="46.5" customHeight="1" x14ac:dyDescent="0.3">
      <c r="A19" s="2176" t="s">
        <v>1360</v>
      </c>
      <c r="B19" s="2173">
        <f>26065+11704</f>
        <v>37769</v>
      </c>
      <c r="C19" s="2173">
        <v>42909</v>
      </c>
      <c r="D19" s="2173">
        <v>42909</v>
      </c>
      <c r="E19" s="2173">
        <f t="shared" si="0"/>
        <v>0</v>
      </c>
    </row>
    <row r="20" spans="1:6" ht="35.25" customHeight="1" thickBot="1" x14ac:dyDescent="0.35">
      <c r="A20" s="2177" t="s">
        <v>1361</v>
      </c>
      <c r="B20" s="2171"/>
      <c r="C20" s="2171">
        <v>1188</v>
      </c>
      <c r="D20" s="2171">
        <v>1188</v>
      </c>
      <c r="E20" s="2171">
        <f t="shared" si="0"/>
        <v>0</v>
      </c>
    </row>
    <row r="21" spans="1:6" s="2111" customFormat="1" ht="28.5" customHeight="1" thickBot="1" x14ac:dyDescent="0.35">
      <c r="A21" s="2139" t="s">
        <v>1362</v>
      </c>
      <c r="B21" s="2140">
        <f>SUM(B14:B20)</f>
        <v>1548543</v>
      </c>
      <c r="C21" s="2140">
        <f t="shared" ref="C21:E21" si="1">SUM(C14:C20)</f>
        <v>1563163</v>
      </c>
      <c r="D21" s="2140">
        <f t="shared" si="1"/>
        <v>1565901</v>
      </c>
      <c r="E21" s="2140">
        <f t="shared" si="1"/>
        <v>2738</v>
      </c>
      <c r="F21" s="2112"/>
    </row>
    <row r="22" spans="1:6" s="2111" customFormat="1" ht="43.5" x14ac:dyDescent="0.3">
      <c r="A22" s="2141" t="s">
        <v>1363</v>
      </c>
      <c r="B22" s="2142"/>
      <c r="C22" s="2142"/>
      <c r="D22" s="2142"/>
      <c r="E22" s="2142"/>
    </row>
    <row r="23" spans="1:6" s="2111" customFormat="1" ht="24.75" customHeight="1" x14ac:dyDescent="0.3">
      <c r="A23" s="2143" t="s">
        <v>1364</v>
      </c>
      <c r="B23" s="2144"/>
      <c r="C23" s="2144">
        <v>130326</v>
      </c>
      <c r="D23" s="2144">
        <f>SUM(B23:C23)</f>
        <v>130326</v>
      </c>
      <c r="E23" s="2144">
        <f>D23-C23</f>
        <v>0</v>
      </c>
    </row>
    <row r="24" spans="1:6" s="2111" customFormat="1" ht="24.75" customHeight="1" x14ac:dyDescent="0.3">
      <c r="A24" s="2145" t="s">
        <v>1365</v>
      </c>
      <c r="B24" s="2146"/>
      <c r="C24" s="2146"/>
      <c r="D24" s="2146"/>
      <c r="E24" s="2146"/>
    </row>
    <row r="25" spans="1:6" s="2108" customFormat="1" ht="24.75" customHeight="1" x14ac:dyDescent="0.25">
      <c r="A25" s="2178" t="s">
        <v>1366</v>
      </c>
      <c r="B25" s="2173">
        <v>56780</v>
      </c>
      <c r="C25" s="2173">
        <v>56780</v>
      </c>
      <c r="D25" s="2173">
        <v>56780</v>
      </c>
      <c r="E25" s="2173">
        <f t="shared" ref="E25:E38" si="2">D25-C25</f>
        <v>0</v>
      </c>
    </row>
    <row r="26" spans="1:6" s="2108" customFormat="1" ht="24.75" customHeight="1" x14ac:dyDescent="0.25">
      <c r="A26" s="2172" t="s">
        <v>1367</v>
      </c>
      <c r="B26" s="2173">
        <v>60060</v>
      </c>
      <c r="C26" s="2173">
        <v>60060</v>
      </c>
      <c r="D26" s="2173">
        <v>60060</v>
      </c>
      <c r="E26" s="2173">
        <f t="shared" si="2"/>
        <v>0</v>
      </c>
    </row>
    <row r="27" spans="1:6" s="2108" customFormat="1" ht="24.75" customHeight="1" x14ac:dyDescent="0.25">
      <c r="A27" s="2172" t="s">
        <v>1368</v>
      </c>
      <c r="B27" s="2173">
        <v>36925</v>
      </c>
      <c r="C27" s="2173">
        <v>38254</v>
      </c>
      <c r="D27" s="2173">
        <v>38198</v>
      </c>
      <c r="E27" s="2173">
        <f t="shared" si="2"/>
        <v>-56</v>
      </c>
    </row>
    <row r="28" spans="1:6" s="2108" customFormat="1" ht="24.75" customHeight="1" x14ac:dyDescent="0.25">
      <c r="A28" s="2179" t="s">
        <v>1369</v>
      </c>
      <c r="B28" s="2173"/>
      <c r="C28" s="2173"/>
      <c r="D28" s="2173">
        <f t="shared" ref="D28:D38" si="3">SUM(B28:C28)</f>
        <v>0</v>
      </c>
      <c r="E28" s="2173">
        <f t="shared" si="2"/>
        <v>0</v>
      </c>
    </row>
    <row r="29" spans="1:6" s="2108" customFormat="1" ht="24.75" customHeight="1" x14ac:dyDescent="0.25">
      <c r="A29" s="2179" t="s">
        <v>1370</v>
      </c>
      <c r="B29" s="2173">
        <v>775</v>
      </c>
      <c r="C29" s="2173">
        <v>475</v>
      </c>
      <c r="D29" s="2173">
        <v>450</v>
      </c>
      <c r="E29" s="2173">
        <f t="shared" si="2"/>
        <v>-25</v>
      </c>
    </row>
    <row r="30" spans="1:6" s="2108" customFormat="1" ht="24.75" customHeight="1" x14ac:dyDescent="0.25">
      <c r="A30" s="2179" t="s">
        <v>1371</v>
      </c>
      <c r="B30" s="2173">
        <v>32010</v>
      </c>
      <c r="C30" s="2173">
        <v>35310</v>
      </c>
      <c r="D30" s="2173">
        <v>34650</v>
      </c>
      <c r="E30" s="2173">
        <f t="shared" si="2"/>
        <v>-660</v>
      </c>
    </row>
    <row r="31" spans="1:6" s="2108" customFormat="1" ht="24.75" customHeight="1" x14ac:dyDescent="0.25">
      <c r="A31" s="2179" t="s">
        <v>1372</v>
      </c>
      <c r="B31" s="2173">
        <v>17658</v>
      </c>
      <c r="C31" s="2173">
        <v>16241</v>
      </c>
      <c r="D31" s="2173">
        <v>15805</v>
      </c>
      <c r="E31" s="2173">
        <f t="shared" si="2"/>
        <v>-436</v>
      </c>
    </row>
    <row r="32" spans="1:6" s="2108" customFormat="1" ht="24.75" customHeight="1" x14ac:dyDescent="0.25">
      <c r="A32" s="2179" t="s">
        <v>1373</v>
      </c>
      <c r="B32" s="2173">
        <v>6500</v>
      </c>
      <c r="C32" s="2173">
        <v>5500</v>
      </c>
      <c r="D32" s="2173">
        <v>5500</v>
      </c>
      <c r="E32" s="2173">
        <f t="shared" si="2"/>
        <v>0</v>
      </c>
    </row>
    <row r="33" spans="1:6" s="2108" customFormat="1" ht="42" customHeight="1" x14ac:dyDescent="0.25">
      <c r="A33" s="2179" t="s">
        <v>1374</v>
      </c>
      <c r="B33" s="2173"/>
      <c r="C33" s="2173"/>
      <c r="D33" s="2173"/>
      <c r="E33" s="2173"/>
    </row>
    <row r="34" spans="1:6" s="2108" customFormat="1" ht="24.75" customHeight="1" x14ac:dyDescent="0.25">
      <c r="A34" s="2179" t="s">
        <v>1375</v>
      </c>
      <c r="B34" s="2173"/>
      <c r="C34" s="2173"/>
      <c r="D34" s="2173"/>
      <c r="E34" s="2173"/>
    </row>
    <row r="35" spans="1:6" s="2108" customFormat="1" ht="24.75" customHeight="1" x14ac:dyDescent="0.25">
      <c r="A35" s="2179" t="s">
        <v>1376</v>
      </c>
      <c r="B35" s="2173"/>
      <c r="C35" s="2173"/>
      <c r="D35" s="2173"/>
      <c r="E35" s="2173"/>
    </row>
    <row r="36" spans="1:6" s="2108" customFormat="1" ht="42" customHeight="1" x14ac:dyDescent="0.25">
      <c r="A36" s="2179" t="s">
        <v>1377</v>
      </c>
      <c r="B36" s="2173"/>
      <c r="C36" s="2173"/>
      <c r="D36" s="2173"/>
      <c r="E36" s="2173"/>
      <c r="F36" s="2113"/>
    </row>
    <row r="37" spans="1:6" s="2108" customFormat="1" ht="24.75" customHeight="1" x14ac:dyDescent="0.25">
      <c r="A37" s="2179" t="s">
        <v>1378</v>
      </c>
      <c r="B37" s="2173"/>
      <c r="C37" s="2173"/>
      <c r="D37" s="2173"/>
      <c r="E37" s="2173"/>
    </row>
    <row r="38" spans="1:6" s="2108" customFormat="1" ht="24.75" customHeight="1" x14ac:dyDescent="0.25">
      <c r="A38" s="2180" t="s">
        <v>1379</v>
      </c>
      <c r="B38" s="2173"/>
      <c r="C38" s="2173">
        <v>17977</v>
      </c>
      <c r="D38" s="2173">
        <f t="shared" si="3"/>
        <v>17977</v>
      </c>
      <c r="E38" s="2173">
        <f t="shared" si="2"/>
        <v>0</v>
      </c>
    </row>
    <row r="39" spans="1:6" s="2108" customFormat="1" ht="30" customHeight="1" x14ac:dyDescent="0.3">
      <c r="A39" s="2147" t="s">
        <v>1393</v>
      </c>
      <c r="B39" s="2148">
        <f>SUM(B25:B38)</f>
        <v>210708</v>
      </c>
      <c r="C39" s="2148">
        <f>SUM(C25:C38)</f>
        <v>230597</v>
      </c>
      <c r="D39" s="2148">
        <f>SUM(D25:D38)</f>
        <v>229420</v>
      </c>
      <c r="E39" s="2148">
        <f>SUM(E25:E38)</f>
        <v>-1177</v>
      </c>
      <c r="F39" s="2113"/>
    </row>
    <row r="40" spans="1:6" s="2108" customFormat="1" ht="67.5" customHeight="1" x14ac:dyDescent="0.3">
      <c r="A40" s="2149" t="s">
        <v>1380</v>
      </c>
      <c r="B40" s="2150"/>
      <c r="C40" s="2150"/>
      <c r="D40" s="2150"/>
      <c r="E40" s="2150"/>
    </row>
    <row r="41" spans="1:6" s="2108" customFormat="1" ht="44.25" customHeight="1" x14ac:dyDescent="0.25">
      <c r="A41" s="2172" t="s">
        <v>1381</v>
      </c>
      <c r="B41" s="2173">
        <v>42720</v>
      </c>
      <c r="C41" s="2173">
        <v>42720</v>
      </c>
      <c r="D41" s="2173">
        <v>42720</v>
      </c>
      <c r="E41" s="2173">
        <f t="shared" ref="E41:E42" si="4">D41-C41</f>
        <v>0</v>
      </c>
    </row>
    <row r="42" spans="1:6" s="2108" customFormat="1" ht="44.25" customHeight="1" x14ac:dyDescent="0.25">
      <c r="A42" s="2179" t="s">
        <v>1382</v>
      </c>
      <c r="B42" s="2181">
        <v>10950</v>
      </c>
      <c r="C42" s="2181">
        <v>10783</v>
      </c>
      <c r="D42" s="2181">
        <v>10783</v>
      </c>
      <c r="E42" s="2181">
        <f t="shared" si="4"/>
        <v>0</v>
      </c>
    </row>
    <row r="43" spans="1:6" s="2108" customFormat="1" ht="30" customHeight="1" x14ac:dyDescent="0.3">
      <c r="A43" s="2151" t="s">
        <v>1392</v>
      </c>
      <c r="B43" s="2148">
        <f>B41+B42</f>
        <v>53670</v>
      </c>
      <c r="C43" s="2148">
        <f>C41+C42</f>
        <v>53503</v>
      </c>
      <c r="D43" s="2148">
        <f>D41+D42</f>
        <v>53503</v>
      </c>
      <c r="E43" s="2148">
        <f>E41+E42</f>
        <v>0</v>
      </c>
      <c r="F43" s="2113"/>
    </row>
    <row r="44" spans="1:6" s="2108" customFormat="1" ht="36" customHeight="1" x14ac:dyDescent="0.3">
      <c r="A44" s="2152" t="s">
        <v>1383</v>
      </c>
      <c r="B44" s="2150"/>
      <c r="C44" s="2150"/>
      <c r="D44" s="2150"/>
      <c r="E44" s="2150"/>
    </row>
    <row r="45" spans="1:6" s="2108" customFormat="1" ht="41.25" customHeight="1" x14ac:dyDescent="0.25">
      <c r="A45" s="2172" t="s">
        <v>1384</v>
      </c>
      <c r="B45" s="2173">
        <v>202806</v>
      </c>
      <c r="C45" s="2173">
        <v>197541</v>
      </c>
      <c r="D45" s="2173">
        <v>196916</v>
      </c>
      <c r="E45" s="2173">
        <f t="shared" ref="E45:E47" si="5">D45-C45</f>
        <v>-625</v>
      </c>
    </row>
    <row r="46" spans="1:6" s="2108" customFormat="1" ht="24.75" customHeight="1" x14ac:dyDescent="0.25">
      <c r="A46" s="2179" t="s">
        <v>1385</v>
      </c>
      <c r="B46" s="2181">
        <v>169703</v>
      </c>
      <c r="C46" s="2181">
        <v>257462</v>
      </c>
      <c r="D46" s="2181">
        <v>257462</v>
      </c>
      <c r="E46" s="2181">
        <f t="shared" si="5"/>
        <v>0</v>
      </c>
    </row>
    <row r="47" spans="1:6" s="2108" customFormat="1" ht="45.75" customHeight="1" x14ac:dyDescent="0.3">
      <c r="A47" s="2153" t="s">
        <v>1386</v>
      </c>
      <c r="B47" s="2173">
        <v>2080</v>
      </c>
      <c r="C47" s="2173">
        <v>2041</v>
      </c>
      <c r="D47" s="2173">
        <v>1991</v>
      </c>
      <c r="E47" s="2173">
        <f t="shared" si="5"/>
        <v>-50</v>
      </c>
    </row>
    <row r="48" spans="1:6" s="2108" customFormat="1" ht="30" customHeight="1" x14ac:dyDescent="0.3">
      <c r="A48" s="2151" t="s">
        <v>1395</v>
      </c>
      <c r="B48" s="2148">
        <f>B46+B47+B45</f>
        <v>374589</v>
      </c>
      <c r="C48" s="2148">
        <f>C46+C47+C45</f>
        <v>457044</v>
      </c>
      <c r="D48" s="2148">
        <f>D46+D47+D45</f>
        <v>456369</v>
      </c>
      <c r="E48" s="2148">
        <f>SUM(E45:E47)</f>
        <v>-675</v>
      </c>
      <c r="F48" s="2113"/>
    </row>
    <row r="49" spans="1:13" s="2108" customFormat="1" ht="69.75" customHeight="1" thickBot="1" x14ac:dyDescent="0.35">
      <c r="A49" s="2154" t="s">
        <v>1396</v>
      </c>
      <c r="B49" s="2155"/>
      <c r="C49" s="2155"/>
      <c r="D49" s="2155"/>
      <c r="E49" s="2155"/>
    </row>
    <row r="50" spans="1:13" s="2108" customFormat="1" ht="24.75" customHeight="1" x14ac:dyDescent="0.3">
      <c r="A50" s="2156" t="s">
        <v>1397</v>
      </c>
      <c r="B50" s="2157"/>
      <c r="C50" s="2157"/>
      <c r="D50" s="2157"/>
      <c r="E50" s="2157"/>
    </row>
    <row r="51" spans="1:13" s="2108" customFormat="1" ht="24.75" customHeight="1" x14ac:dyDescent="0.3">
      <c r="A51" s="2182" t="s">
        <v>1400</v>
      </c>
      <c r="B51" s="2183"/>
      <c r="C51" s="2183"/>
      <c r="D51" s="2183"/>
      <c r="E51" s="2183"/>
    </row>
    <row r="52" spans="1:13" s="2108" customFormat="1" ht="24.75" customHeight="1" x14ac:dyDescent="0.3">
      <c r="A52" s="2184" t="s">
        <v>1398</v>
      </c>
      <c r="B52" s="2185">
        <v>173225</v>
      </c>
      <c r="C52" s="2185">
        <v>197971</v>
      </c>
      <c r="D52" s="2185">
        <v>190459</v>
      </c>
      <c r="E52" s="2185">
        <f t="shared" ref="E52:E55" si="6">D52-C52</f>
        <v>-7512</v>
      </c>
    </row>
    <row r="53" spans="1:13" s="2108" customFormat="1" ht="24.75" customHeight="1" x14ac:dyDescent="0.3">
      <c r="A53" s="2182" t="s">
        <v>1401</v>
      </c>
      <c r="B53" s="2183"/>
      <c r="C53" s="2183"/>
      <c r="D53" s="2183"/>
      <c r="E53" s="2183"/>
    </row>
    <row r="54" spans="1:13" s="2108" customFormat="1" ht="24.75" customHeight="1" x14ac:dyDescent="0.3">
      <c r="A54" s="2182" t="s">
        <v>1402</v>
      </c>
      <c r="B54" s="2183">
        <v>148752</v>
      </c>
      <c r="C54" s="2183">
        <v>140971</v>
      </c>
      <c r="D54" s="2183">
        <v>140971</v>
      </c>
      <c r="E54" s="2183">
        <f t="shared" si="6"/>
        <v>0</v>
      </c>
    </row>
    <row r="55" spans="1:13" s="2108" customFormat="1" ht="24.75" customHeight="1" thickBot="1" x14ac:dyDescent="0.35">
      <c r="A55" s="2186" t="s">
        <v>1399</v>
      </c>
      <c r="B55" s="2187"/>
      <c r="C55" s="2187">
        <v>130055</v>
      </c>
      <c r="D55" s="2187">
        <f>SUM(B55:C55)</f>
        <v>130055</v>
      </c>
      <c r="E55" s="2187">
        <f t="shared" si="6"/>
        <v>0</v>
      </c>
    </row>
    <row r="56" spans="1:13" ht="30" customHeight="1" thickBot="1" x14ac:dyDescent="0.35">
      <c r="A56" s="2158" t="s">
        <v>1387</v>
      </c>
      <c r="B56" s="2159">
        <f>B39+B43+B48+B49+B52+B54+B23+B55</f>
        <v>960944</v>
      </c>
      <c r="C56" s="2159">
        <f t="shared" ref="C56:E56" si="7">C39+C43+C48+C49+C52+C54+C23+C55</f>
        <v>1340467</v>
      </c>
      <c r="D56" s="2159">
        <f t="shared" si="7"/>
        <v>1331103</v>
      </c>
      <c r="E56" s="2159">
        <f t="shared" si="7"/>
        <v>-9364</v>
      </c>
      <c r="F56" s="2114"/>
    </row>
    <row r="57" spans="1:13" ht="47.25" customHeight="1" x14ac:dyDescent="0.3">
      <c r="A57" s="2160" t="s">
        <v>1388</v>
      </c>
      <c r="B57" s="2161">
        <v>1003609</v>
      </c>
      <c r="C57" s="2161">
        <v>1085808</v>
      </c>
      <c r="D57" s="2161">
        <v>1085808</v>
      </c>
      <c r="E57" s="2161">
        <f>D57-C57</f>
        <v>0</v>
      </c>
    </row>
    <row r="58" spans="1:13" ht="48.75" customHeight="1" thickBot="1" x14ac:dyDescent="0.35">
      <c r="A58" s="2162" t="s">
        <v>1394</v>
      </c>
      <c r="B58" s="2163"/>
      <c r="C58" s="2163">
        <v>3470</v>
      </c>
      <c r="D58" s="2163">
        <v>3470</v>
      </c>
      <c r="E58" s="2163">
        <f>D58-C58</f>
        <v>0</v>
      </c>
    </row>
    <row r="59" spans="1:13" s="2111" customFormat="1" ht="34.5" customHeight="1" thickBot="1" x14ac:dyDescent="0.35">
      <c r="A59" s="2164" t="s">
        <v>1389</v>
      </c>
      <c r="B59" s="2165">
        <f>B11+B21+B56+B57</f>
        <v>3513156</v>
      </c>
      <c r="C59" s="2165">
        <f>C11+C21+C56+C57</f>
        <v>3989528</v>
      </c>
      <c r="D59" s="2165">
        <f>D11+D21+D56+D57</f>
        <v>3982896</v>
      </c>
      <c r="E59" s="2165">
        <f>E11+E21+E56+E57</f>
        <v>-6632</v>
      </c>
      <c r="F59" s="2112"/>
    </row>
    <row r="60" spans="1:13" ht="33" customHeight="1" thickBot="1" x14ac:dyDescent="0.35">
      <c r="A60" s="2166" t="s">
        <v>1390</v>
      </c>
      <c r="B60" s="2167"/>
      <c r="C60" s="2167">
        <v>22618</v>
      </c>
      <c r="D60" s="2167">
        <f>SUM(B60:C60)</f>
        <v>22618</v>
      </c>
      <c r="E60" s="2167"/>
    </row>
    <row r="61" spans="1:13" ht="33" customHeight="1" thickBot="1" x14ac:dyDescent="0.35">
      <c r="A61" s="2164" t="s">
        <v>1391</v>
      </c>
      <c r="B61" s="2167">
        <f>SUM(B59:B60)</f>
        <v>3513156</v>
      </c>
      <c r="C61" s="2167">
        <f>SUM(C59:C60)</f>
        <v>4012146</v>
      </c>
      <c r="D61" s="2167">
        <f>SUM(D59:D60)</f>
        <v>4005514</v>
      </c>
      <c r="E61" s="2167">
        <f>SUM(E59:E60)</f>
        <v>-6632</v>
      </c>
    </row>
    <row r="62" spans="1:13" ht="36.75" customHeight="1" x14ac:dyDescent="0.2">
      <c r="A62" s="2121"/>
      <c r="B62" s="2113"/>
      <c r="C62" s="2113"/>
      <c r="D62" s="2108"/>
      <c r="E62" s="2108"/>
      <c r="F62" s="2108"/>
      <c r="G62" s="2108"/>
      <c r="H62" s="2108"/>
      <c r="I62" s="2108"/>
      <c r="J62" s="2113"/>
      <c r="K62" s="2108"/>
      <c r="L62" s="2108"/>
      <c r="M62" s="2108"/>
    </row>
    <row r="63" spans="1:13" ht="28.5" customHeight="1" x14ac:dyDescent="0.2">
      <c r="A63" s="2122"/>
      <c r="B63" s="2113"/>
      <c r="C63" s="2113"/>
      <c r="D63" s="2108"/>
      <c r="E63" s="2108"/>
      <c r="F63" s="2108"/>
      <c r="G63" s="2108"/>
      <c r="H63" s="2108"/>
      <c r="I63" s="2108"/>
      <c r="J63" s="2113"/>
      <c r="K63" s="2108"/>
      <c r="L63" s="2108"/>
      <c r="M63" s="2108"/>
    </row>
    <row r="64" spans="1:13" ht="30" customHeight="1" x14ac:dyDescent="0.2">
      <c r="A64" s="2122"/>
      <c r="B64" s="2113"/>
      <c r="C64" s="2113"/>
      <c r="D64" s="2108"/>
      <c r="E64" s="2108"/>
      <c r="F64" s="2108"/>
      <c r="G64" s="2108"/>
      <c r="H64" s="2108"/>
      <c r="I64" s="2108"/>
      <c r="J64" s="2113"/>
      <c r="K64" s="2108"/>
      <c r="L64" s="2108"/>
      <c r="M64" s="2108"/>
    </row>
    <row r="65" spans="1:13" ht="30.75" customHeight="1" x14ac:dyDescent="0.2">
      <c r="A65" s="2122"/>
      <c r="B65" s="2113"/>
      <c r="C65" s="2113"/>
      <c r="D65" s="2113"/>
      <c r="E65" s="2113"/>
      <c r="F65" s="2108"/>
      <c r="G65" s="2108"/>
      <c r="H65" s="2108"/>
      <c r="I65" s="2108"/>
      <c r="J65" s="2113"/>
      <c r="K65" s="2108"/>
      <c r="L65" s="2108"/>
      <c r="M65" s="2108"/>
    </row>
    <row r="66" spans="1:13" ht="15" x14ac:dyDescent="0.2">
      <c r="A66" s="2122"/>
      <c r="B66" s="2113"/>
      <c r="C66" s="2113"/>
      <c r="D66" s="2113"/>
      <c r="E66" s="2113"/>
      <c r="F66" s="2108"/>
      <c r="G66" s="2108"/>
      <c r="H66" s="2108"/>
      <c r="I66" s="2108"/>
      <c r="J66" s="2113"/>
      <c r="K66" s="2108"/>
      <c r="L66" s="2108"/>
      <c r="M66" s="2108"/>
    </row>
    <row r="67" spans="1:13" ht="25.5" customHeight="1" x14ac:dyDescent="0.2">
      <c r="A67" s="2108"/>
      <c r="B67" s="2113"/>
      <c r="C67" s="2113"/>
      <c r="D67" s="2108"/>
      <c r="E67" s="2108"/>
      <c r="F67" s="2108"/>
      <c r="G67" s="2123"/>
      <c r="H67" s="2108"/>
      <c r="I67" s="2108"/>
      <c r="J67" s="2113"/>
      <c r="K67" s="2108"/>
      <c r="L67" s="2108"/>
      <c r="M67" s="2108"/>
    </row>
    <row r="68" spans="1:13" ht="25.5" customHeight="1" x14ac:dyDescent="0.2">
      <c r="A68" s="2108"/>
      <c r="B68" s="2113"/>
      <c r="C68" s="2113"/>
      <c r="D68" s="2108"/>
      <c r="E68" s="2108"/>
      <c r="F68" s="2108"/>
      <c r="G68" s="2108"/>
      <c r="H68" s="2108"/>
      <c r="I68" s="2108"/>
      <c r="J68" s="2113"/>
      <c r="K68" s="2108"/>
      <c r="L68" s="2108"/>
      <c r="M68" s="2108"/>
    </row>
    <row r="69" spans="1:13" ht="24" customHeight="1" x14ac:dyDescent="0.2">
      <c r="A69" s="2108"/>
      <c r="B69" s="2113"/>
      <c r="C69" s="2113"/>
      <c r="D69" s="2108"/>
      <c r="E69" s="2108"/>
      <c r="F69" s="2108"/>
      <c r="G69" s="2123"/>
      <c r="H69" s="2108"/>
      <c r="I69" s="2108"/>
      <c r="J69" s="2124"/>
      <c r="K69" s="2108"/>
      <c r="L69" s="2108"/>
      <c r="M69" s="2108"/>
    </row>
    <row r="70" spans="1:13" ht="12.95" customHeight="1" x14ac:dyDescent="0.2">
      <c r="A70" s="2108"/>
      <c r="B70" s="2113"/>
      <c r="C70" s="2113"/>
      <c r="D70" s="2108"/>
      <c r="E70" s="2108"/>
      <c r="F70" s="2108"/>
      <c r="G70" s="2108"/>
      <c r="H70" s="2108"/>
      <c r="I70" s="2108"/>
      <c r="J70" s="2108"/>
      <c r="K70" s="2108"/>
      <c r="L70" s="2108"/>
      <c r="M70" s="2108"/>
    </row>
    <row r="71" spans="1:13" ht="12.95" customHeight="1" x14ac:dyDescent="0.2">
      <c r="A71" s="2108"/>
      <c r="B71" s="2113"/>
      <c r="C71" s="2113"/>
      <c r="D71" s="2108"/>
      <c r="E71" s="2108"/>
      <c r="F71" s="2108"/>
      <c r="G71" s="2108"/>
      <c r="H71" s="2108"/>
      <c r="I71" s="2108"/>
      <c r="J71" s="2108"/>
      <c r="K71" s="2108"/>
      <c r="L71" s="2108"/>
      <c r="M71" s="2108"/>
    </row>
    <row r="72" spans="1:13" ht="12.95" customHeight="1" x14ac:dyDescent="0.2">
      <c r="A72" s="2108"/>
      <c r="B72" s="2113"/>
      <c r="C72" s="2113"/>
      <c r="D72" s="2108"/>
      <c r="E72" s="2108"/>
      <c r="F72" s="2108"/>
      <c r="G72" s="2108"/>
      <c r="H72" s="2108"/>
      <c r="I72" s="2108"/>
      <c r="J72" s="2108"/>
      <c r="K72" s="2108"/>
      <c r="L72" s="2108"/>
      <c r="M72" s="2108"/>
    </row>
    <row r="73" spans="1:13" ht="36" customHeight="1" x14ac:dyDescent="0.2">
      <c r="A73" s="2121"/>
      <c r="B73" s="2113"/>
      <c r="C73" s="2113"/>
      <c r="D73" s="2108"/>
      <c r="E73" s="2108"/>
      <c r="F73" s="2108"/>
      <c r="G73" s="2108"/>
      <c r="H73" s="2108"/>
      <c r="I73" s="2108"/>
      <c r="J73" s="2108"/>
      <c r="K73" s="2108"/>
      <c r="L73" s="2108"/>
      <c r="M73" s="2108"/>
    </row>
    <row r="74" spans="1:13" ht="17.25" customHeight="1" x14ac:dyDescent="0.2">
      <c r="A74" s="2125"/>
      <c r="B74" s="2113"/>
      <c r="C74" s="2113"/>
      <c r="D74" s="2108"/>
      <c r="E74" s="2108"/>
      <c r="F74" s="2108"/>
      <c r="G74" s="2108"/>
      <c r="H74" s="2108"/>
      <c r="I74" s="2108"/>
      <c r="J74" s="2108"/>
      <c r="K74" s="2108"/>
      <c r="L74" s="2108"/>
      <c r="M74" s="2108"/>
    </row>
    <row r="75" spans="1:13" ht="12.75" customHeight="1" x14ac:dyDescent="0.2">
      <c r="A75" s="2125"/>
      <c r="B75" s="2113"/>
      <c r="C75" s="2113"/>
      <c r="D75" s="2108"/>
      <c r="E75" s="2108"/>
      <c r="F75" s="2108"/>
      <c r="G75" s="2108"/>
      <c r="H75" s="2108"/>
      <c r="I75" s="2108"/>
      <c r="J75" s="2108"/>
      <c r="K75" s="2108"/>
      <c r="L75" s="2108"/>
      <c r="M75" s="2108"/>
    </row>
    <row r="76" spans="1:13" ht="12.95" customHeight="1" x14ac:dyDescent="0.2">
      <c r="A76" s="2125"/>
      <c r="B76" s="2113"/>
      <c r="C76" s="2113"/>
      <c r="D76" s="2108"/>
      <c r="E76" s="2108"/>
      <c r="F76" s="2108"/>
      <c r="G76" s="2108"/>
      <c r="H76" s="2108"/>
      <c r="I76" s="2108"/>
      <c r="J76" s="2108"/>
      <c r="K76" s="2108"/>
      <c r="L76" s="2108"/>
      <c r="M76" s="2108"/>
    </row>
    <row r="77" spans="1:13" ht="12.95" customHeight="1" x14ac:dyDescent="0.2">
      <c r="A77" s="2125"/>
      <c r="B77" s="2113"/>
      <c r="C77" s="2113"/>
      <c r="D77" s="2108"/>
      <c r="E77" s="2108"/>
      <c r="F77" s="2108"/>
      <c r="G77" s="2108"/>
      <c r="H77" s="2108"/>
      <c r="I77" s="2108"/>
      <c r="J77" s="2108"/>
      <c r="K77" s="2108"/>
      <c r="L77" s="2108"/>
      <c r="M77" s="2108"/>
    </row>
    <row r="78" spans="1:13" ht="12.95" customHeight="1" x14ac:dyDescent="0.2">
      <c r="A78" s="2125"/>
      <c r="B78" s="2113"/>
      <c r="C78" s="2113"/>
      <c r="D78" s="2108"/>
      <c r="E78" s="2108"/>
      <c r="F78" s="2108"/>
      <c r="G78" s="2108"/>
      <c r="H78" s="2108"/>
      <c r="I78" s="2108"/>
      <c r="J78" s="2108"/>
      <c r="K78" s="2108"/>
      <c r="L78" s="2108"/>
      <c r="M78" s="2108"/>
    </row>
    <row r="79" spans="1:13" ht="12.95" customHeight="1" x14ac:dyDescent="0.2">
      <c r="A79" s="2125"/>
      <c r="B79" s="2113"/>
      <c r="C79" s="2113"/>
      <c r="D79" s="2108"/>
      <c r="E79" s="2108"/>
      <c r="F79" s="2108"/>
      <c r="G79" s="2108"/>
      <c r="H79" s="2108"/>
      <c r="I79" s="2108"/>
      <c r="J79" s="2108"/>
      <c r="K79" s="2108"/>
      <c r="L79" s="2108"/>
      <c r="M79" s="2108"/>
    </row>
    <row r="80" spans="1:13" ht="12.95" customHeight="1" x14ac:dyDescent="0.2">
      <c r="A80" s="2125"/>
      <c r="D80" s="2108"/>
      <c r="E80" s="2108"/>
      <c r="F80" s="2108"/>
      <c r="G80" s="2108"/>
      <c r="H80" s="2108"/>
      <c r="I80" s="2108"/>
      <c r="J80" s="2108"/>
      <c r="K80" s="2108"/>
      <c r="L80" s="2108"/>
      <c r="M80" s="2108"/>
    </row>
    <row r="81" spans="1:8" ht="12.95" customHeight="1" x14ac:dyDescent="0.2">
      <c r="A81" s="2115"/>
      <c r="B81" s="2116"/>
      <c r="C81" s="2113"/>
    </row>
    <row r="85" spans="1:8" ht="12.95" customHeight="1" x14ac:dyDescent="0.2">
      <c r="C85" s="2113"/>
      <c r="D85" s="2113"/>
      <c r="E85" s="2113"/>
    </row>
    <row r="86" spans="1:8" ht="12.95" customHeight="1" x14ac:dyDescent="0.2">
      <c r="C86" s="2113"/>
      <c r="D86" s="2113"/>
      <c r="E86" s="2113"/>
    </row>
    <row r="87" spans="1:8" ht="12.95" customHeight="1" x14ac:dyDescent="0.2">
      <c r="C87" s="2113"/>
      <c r="D87" s="2113"/>
      <c r="E87" s="2113"/>
    </row>
    <row r="88" spans="1:8" ht="12.95" customHeight="1" x14ac:dyDescent="0.2">
      <c r="C88" s="2113"/>
      <c r="D88" s="2113"/>
      <c r="E88" s="2113"/>
      <c r="H88" s="2109"/>
    </row>
    <row r="89" spans="1:8" ht="12.95" customHeight="1" x14ac:dyDescent="0.25">
      <c r="A89" s="2117"/>
      <c r="C89" s="2118"/>
      <c r="D89" s="2119"/>
      <c r="E89" s="2119"/>
    </row>
    <row r="90" spans="1:8" ht="12.95" customHeight="1" x14ac:dyDescent="0.2">
      <c r="C90" s="2113"/>
      <c r="D90" s="2113"/>
      <c r="E90" s="2113"/>
    </row>
    <row r="91" spans="1:8" ht="12.95" customHeight="1" x14ac:dyDescent="0.2">
      <c r="A91" s="2106"/>
    </row>
    <row r="92" spans="1:8" ht="12.95" customHeight="1" x14ac:dyDescent="0.25">
      <c r="A92" s="2126"/>
      <c r="C92" s="2124"/>
      <c r="D92" s="2124"/>
      <c r="E92" s="2124"/>
    </row>
    <row r="93" spans="1:8" ht="12.95" customHeight="1" x14ac:dyDescent="0.2">
      <c r="A93" s="2106"/>
    </row>
    <row r="94" spans="1:8" ht="12.95" customHeight="1" x14ac:dyDescent="0.2">
      <c r="A94" s="2106"/>
    </row>
    <row r="95" spans="1:8" ht="12.95" customHeight="1" x14ac:dyDescent="0.2">
      <c r="A95" s="2106"/>
    </row>
    <row r="96" spans="1:8" ht="12.95" customHeight="1" x14ac:dyDescent="0.2">
      <c r="A96" s="2106"/>
    </row>
  </sheetData>
  <mergeCells count="2">
    <mergeCell ref="A1:D1"/>
    <mergeCell ref="A2:D2"/>
  </mergeCells>
  <printOptions horizontalCentered="1" verticalCentered="1"/>
  <pageMargins left="0" right="0" top="0" bottom="0" header="0.39370078740157483" footer="0"/>
  <pageSetup paperSize="9" scale="40" orientation="portrait" r:id="rId1"/>
  <headerFooter alignWithMargins="0">
    <oddHeader xml:space="preserve">&amp;R&amp;"Arial,Félkövér"&amp;16   5. melléklet a .../2019.(........) önkormányzati rendelethez&amp;12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59"/>
  <sheetViews>
    <sheetView zoomScale="50" zoomScaleNormal="50" zoomScaleSheetLayoutView="50" workbookViewId="0">
      <pane xSplit="1" ySplit="8" topLeftCell="AS41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RowHeight="26.45" customHeight="1" x14ac:dyDescent="0.3"/>
  <cols>
    <col min="1" max="1" width="209" style="2236" customWidth="1"/>
    <col min="2" max="13" width="55" style="2237" customWidth="1"/>
    <col min="14" max="14" width="209.33203125" style="2236" customWidth="1"/>
    <col min="15" max="26" width="53" style="2237" customWidth="1"/>
    <col min="27" max="27" width="209.1640625" style="2238" customWidth="1"/>
    <col min="28" max="31" width="53" style="2236" customWidth="1"/>
    <col min="32" max="35" width="53" style="2239" customWidth="1"/>
    <col min="36" max="39" width="53" style="2236" customWidth="1"/>
    <col min="40" max="40" width="209.1640625" style="2238" customWidth="1"/>
    <col min="41" max="41" width="63.6640625" style="2236" customWidth="1"/>
    <col min="42" max="44" width="63" style="2236" customWidth="1"/>
    <col min="45" max="46" width="67" style="2239" customWidth="1"/>
    <col min="47" max="47" width="65.6640625" style="2239" customWidth="1"/>
    <col min="48" max="48" width="63" style="2239" customWidth="1"/>
    <col min="49" max="50" width="45.1640625" style="2239" customWidth="1"/>
    <col min="51" max="51" width="34.1640625" style="2239" customWidth="1"/>
    <col min="52" max="256" width="9.33203125" style="2240"/>
    <col min="257" max="257" width="176.6640625" style="2240" customWidth="1"/>
    <col min="258" max="269" width="55" style="2240" customWidth="1"/>
    <col min="270" max="270" width="176.6640625" style="2240" customWidth="1"/>
    <col min="271" max="282" width="53" style="2240" customWidth="1"/>
    <col min="283" max="283" width="176.5" style="2240" customWidth="1"/>
    <col min="284" max="295" width="53" style="2240" customWidth="1"/>
    <col min="296" max="296" width="176.5" style="2240" customWidth="1"/>
    <col min="297" max="304" width="63" style="2240" customWidth="1"/>
    <col min="305" max="306" width="45.1640625" style="2240" customWidth="1"/>
    <col min="307" max="307" width="34.1640625" style="2240" customWidth="1"/>
    <col min="308" max="512" width="9.33203125" style="2240"/>
    <col min="513" max="513" width="176.6640625" style="2240" customWidth="1"/>
    <col min="514" max="525" width="55" style="2240" customWidth="1"/>
    <col min="526" max="526" width="176.6640625" style="2240" customWidth="1"/>
    <col min="527" max="538" width="53" style="2240" customWidth="1"/>
    <col min="539" max="539" width="176.5" style="2240" customWidth="1"/>
    <col min="540" max="551" width="53" style="2240" customWidth="1"/>
    <col min="552" max="552" width="176.5" style="2240" customWidth="1"/>
    <col min="553" max="560" width="63" style="2240" customWidth="1"/>
    <col min="561" max="562" width="45.1640625" style="2240" customWidth="1"/>
    <col min="563" max="563" width="34.1640625" style="2240" customWidth="1"/>
    <col min="564" max="768" width="9.33203125" style="2240"/>
    <col min="769" max="769" width="176.6640625" style="2240" customWidth="1"/>
    <col min="770" max="781" width="55" style="2240" customWidth="1"/>
    <col min="782" max="782" width="176.6640625" style="2240" customWidth="1"/>
    <col min="783" max="794" width="53" style="2240" customWidth="1"/>
    <col min="795" max="795" width="176.5" style="2240" customWidth="1"/>
    <col min="796" max="807" width="53" style="2240" customWidth="1"/>
    <col min="808" max="808" width="176.5" style="2240" customWidth="1"/>
    <col min="809" max="816" width="63" style="2240" customWidth="1"/>
    <col min="817" max="818" width="45.1640625" style="2240" customWidth="1"/>
    <col min="819" max="819" width="34.1640625" style="2240" customWidth="1"/>
    <col min="820" max="1024" width="9.33203125" style="2240"/>
    <col min="1025" max="1025" width="176.6640625" style="2240" customWidth="1"/>
    <col min="1026" max="1037" width="55" style="2240" customWidth="1"/>
    <col min="1038" max="1038" width="176.6640625" style="2240" customWidth="1"/>
    <col min="1039" max="1050" width="53" style="2240" customWidth="1"/>
    <col min="1051" max="1051" width="176.5" style="2240" customWidth="1"/>
    <col min="1052" max="1063" width="53" style="2240" customWidth="1"/>
    <col min="1064" max="1064" width="176.5" style="2240" customWidth="1"/>
    <col min="1065" max="1072" width="63" style="2240" customWidth="1"/>
    <col min="1073" max="1074" width="45.1640625" style="2240" customWidth="1"/>
    <col min="1075" max="1075" width="34.1640625" style="2240" customWidth="1"/>
    <col min="1076" max="1280" width="9.33203125" style="2240"/>
    <col min="1281" max="1281" width="176.6640625" style="2240" customWidth="1"/>
    <col min="1282" max="1293" width="55" style="2240" customWidth="1"/>
    <col min="1294" max="1294" width="176.6640625" style="2240" customWidth="1"/>
    <col min="1295" max="1306" width="53" style="2240" customWidth="1"/>
    <col min="1307" max="1307" width="176.5" style="2240" customWidth="1"/>
    <col min="1308" max="1319" width="53" style="2240" customWidth="1"/>
    <col min="1320" max="1320" width="176.5" style="2240" customWidth="1"/>
    <col min="1321" max="1328" width="63" style="2240" customWidth="1"/>
    <col min="1329" max="1330" width="45.1640625" style="2240" customWidth="1"/>
    <col min="1331" max="1331" width="34.1640625" style="2240" customWidth="1"/>
    <col min="1332" max="1536" width="9.33203125" style="2240"/>
    <col min="1537" max="1537" width="176.6640625" style="2240" customWidth="1"/>
    <col min="1538" max="1549" width="55" style="2240" customWidth="1"/>
    <col min="1550" max="1550" width="176.6640625" style="2240" customWidth="1"/>
    <col min="1551" max="1562" width="53" style="2240" customWidth="1"/>
    <col min="1563" max="1563" width="176.5" style="2240" customWidth="1"/>
    <col min="1564" max="1575" width="53" style="2240" customWidth="1"/>
    <col min="1576" max="1576" width="176.5" style="2240" customWidth="1"/>
    <col min="1577" max="1584" width="63" style="2240" customWidth="1"/>
    <col min="1585" max="1586" width="45.1640625" style="2240" customWidth="1"/>
    <col min="1587" max="1587" width="34.1640625" style="2240" customWidth="1"/>
    <col min="1588" max="1792" width="9.33203125" style="2240"/>
    <col min="1793" max="1793" width="176.6640625" style="2240" customWidth="1"/>
    <col min="1794" max="1805" width="55" style="2240" customWidth="1"/>
    <col min="1806" max="1806" width="176.6640625" style="2240" customWidth="1"/>
    <col min="1807" max="1818" width="53" style="2240" customWidth="1"/>
    <col min="1819" max="1819" width="176.5" style="2240" customWidth="1"/>
    <col min="1820" max="1831" width="53" style="2240" customWidth="1"/>
    <col min="1832" max="1832" width="176.5" style="2240" customWidth="1"/>
    <col min="1833" max="1840" width="63" style="2240" customWidth="1"/>
    <col min="1841" max="1842" width="45.1640625" style="2240" customWidth="1"/>
    <col min="1843" max="1843" width="34.1640625" style="2240" customWidth="1"/>
    <col min="1844" max="2048" width="9.33203125" style="2240"/>
    <col min="2049" max="2049" width="176.6640625" style="2240" customWidth="1"/>
    <col min="2050" max="2061" width="55" style="2240" customWidth="1"/>
    <col min="2062" max="2062" width="176.6640625" style="2240" customWidth="1"/>
    <col min="2063" max="2074" width="53" style="2240" customWidth="1"/>
    <col min="2075" max="2075" width="176.5" style="2240" customWidth="1"/>
    <col min="2076" max="2087" width="53" style="2240" customWidth="1"/>
    <col min="2088" max="2088" width="176.5" style="2240" customWidth="1"/>
    <col min="2089" max="2096" width="63" style="2240" customWidth="1"/>
    <col min="2097" max="2098" width="45.1640625" style="2240" customWidth="1"/>
    <col min="2099" max="2099" width="34.1640625" style="2240" customWidth="1"/>
    <col min="2100" max="2304" width="9.33203125" style="2240"/>
    <col min="2305" max="2305" width="176.6640625" style="2240" customWidth="1"/>
    <col min="2306" max="2317" width="55" style="2240" customWidth="1"/>
    <col min="2318" max="2318" width="176.6640625" style="2240" customWidth="1"/>
    <col min="2319" max="2330" width="53" style="2240" customWidth="1"/>
    <col min="2331" max="2331" width="176.5" style="2240" customWidth="1"/>
    <col min="2332" max="2343" width="53" style="2240" customWidth="1"/>
    <col min="2344" max="2344" width="176.5" style="2240" customWidth="1"/>
    <col min="2345" max="2352" width="63" style="2240" customWidth="1"/>
    <col min="2353" max="2354" width="45.1640625" style="2240" customWidth="1"/>
    <col min="2355" max="2355" width="34.1640625" style="2240" customWidth="1"/>
    <col min="2356" max="2560" width="9.33203125" style="2240"/>
    <col min="2561" max="2561" width="176.6640625" style="2240" customWidth="1"/>
    <col min="2562" max="2573" width="55" style="2240" customWidth="1"/>
    <col min="2574" max="2574" width="176.6640625" style="2240" customWidth="1"/>
    <col min="2575" max="2586" width="53" style="2240" customWidth="1"/>
    <col min="2587" max="2587" width="176.5" style="2240" customWidth="1"/>
    <col min="2588" max="2599" width="53" style="2240" customWidth="1"/>
    <col min="2600" max="2600" width="176.5" style="2240" customWidth="1"/>
    <col min="2601" max="2608" width="63" style="2240" customWidth="1"/>
    <col min="2609" max="2610" width="45.1640625" style="2240" customWidth="1"/>
    <col min="2611" max="2611" width="34.1640625" style="2240" customWidth="1"/>
    <col min="2612" max="2816" width="9.33203125" style="2240"/>
    <col min="2817" max="2817" width="176.6640625" style="2240" customWidth="1"/>
    <col min="2818" max="2829" width="55" style="2240" customWidth="1"/>
    <col min="2830" max="2830" width="176.6640625" style="2240" customWidth="1"/>
    <col min="2831" max="2842" width="53" style="2240" customWidth="1"/>
    <col min="2843" max="2843" width="176.5" style="2240" customWidth="1"/>
    <col min="2844" max="2855" width="53" style="2240" customWidth="1"/>
    <col min="2856" max="2856" width="176.5" style="2240" customWidth="1"/>
    <col min="2857" max="2864" width="63" style="2240" customWidth="1"/>
    <col min="2865" max="2866" width="45.1640625" style="2240" customWidth="1"/>
    <col min="2867" max="2867" width="34.1640625" style="2240" customWidth="1"/>
    <col min="2868" max="3072" width="9.33203125" style="2240"/>
    <col min="3073" max="3073" width="176.6640625" style="2240" customWidth="1"/>
    <col min="3074" max="3085" width="55" style="2240" customWidth="1"/>
    <col min="3086" max="3086" width="176.6640625" style="2240" customWidth="1"/>
    <col min="3087" max="3098" width="53" style="2240" customWidth="1"/>
    <col min="3099" max="3099" width="176.5" style="2240" customWidth="1"/>
    <col min="3100" max="3111" width="53" style="2240" customWidth="1"/>
    <col min="3112" max="3112" width="176.5" style="2240" customWidth="1"/>
    <col min="3113" max="3120" width="63" style="2240" customWidth="1"/>
    <col min="3121" max="3122" width="45.1640625" style="2240" customWidth="1"/>
    <col min="3123" max="3123" width="34.1640625" style="2240" customWidth="1"/>
    <col min="3124" max="3328" width="9.33203125" style="2240"/>
    <col min="3329" max="3329" width="176.6640625" style="2240" customWidth="1"/>
    <col min="3330" max="3341" width="55" style="2240" customWidth="1"/>
    <col min="3342" max="3342" width="176.6640625" style="2240" customWidth="1"/>
    <col min="3343" max="3354" width="53" style="2240" customWidth="1"/>
    <col min="3355" max="3355" width="176.5" style="2240" customWidth="1"/>
    <col min="3356" max="3367" width="53" style="2240" customWidth="1"/>
    <col min="3368" max="3368" width="176.5" style="2240" customWidth="1"/>
    <col min="3369" max="3376" width="63" style="2240" customWidth="1"/>
    <col min="3377" max="3378" width="45.1640625" style="2240" customWidth="1"/>
    <col min="3379" max="3379" width="34.1640625" style="2240" customWidth="1"/>
    <col min="3380" max="3584" width="9.33203125" style="2240"/>
    <col min="3585" max="3585" width="176.6640625" style="2240" customWidth="1"/>
    <col min="3586" max="3597" width="55" style="2240" customWidth="1"/>
    <col min="3598" max="3598" width="176.6640625" style="2240" customWidth="1"/>
    <col min="3599" max="3610" width="53" style="2240" customWidth="1"/>
    <col min="3611" max="3611" width="176.5" style="2240" customWidth="1"/>
    <col min="3612" max="3623" width="53" style="2240" customWidth="1"/>
    <col min="3624" max="3624" width="176.5" style="2240" customWidth="1"/>
    <col min="3625" max="3632" width="63" style="2240" customWidth="1"/>
    <col min="3633" max="3634" width="45.1640625" style="2240" customWidth="1"/>
    <col min="3635" max="3635" width="34.1640625" style="2240" customWidth="1"/>
    <col min="3636" max="3840" width="9.33203125" style="2240"/>
    <col min="3841" max="3841" width="176.6640625" style="2240" customWidth="1"/>
    <col min="3842" max="3853" width="55" style="2240" customWidth="1"/>
    <col min="3854" max="3854" width="176.6640625" style="2240" customWidth="1"/>
    <col min="3855" max="3866" width="53" style="2240" customWidth="1"/>
    <col min="3867" max="3867" width="176.5" style="2240" customWidth="1"/>
    <col min="3868" max="3879" width="53" style="2240" customWidth="1"/>
    <col min="3880" max="3880" width="176.5" style="2240" customWidth="1"/>
    <col min="3881" max="3888" width="63" style="2240" customWidth="1"/>
    <col min="3889" max="3890" width="45.1640625" style="2240" customWidth="1"/>
    <col min="3891" max="3891" width="34.1640625" style="2240" customWidth="1"/>
    <col min="3892" max="4096" width="9.33203125" style="2240"/>
    <col min="4097" max="4097" width="176.6640625" style="2240" customWidth="1"/>
    <col min="4098" max="4109" width="55" style="2240" customWidth="1"/>
    <col min="4110" max="4110" width="176.6640625" style="2240" customWidth="1"/>
    <col min="4111" max="4122" width="53" style="2240" customWidth="1"/>
    <col min="4123" max="4123" width="176.5" style="2240" customWidth="1"/>
    <col min="4124" max="4135" width="53" style="2240" customWidth="1"/>
    <col min="4136" max="4136" width="176.5" style="2240" customWidth="1"/>
    <col min="4137" max="4144" width="63" style="2240" customWidth="1"/>
    <col min="4145" max="4146" width="45.1640625" style="2240" customWidth="1"/>
    <col min="4147" max="4147" width="34.1640625" style="2240" customWidth="1"/>
    <col min="4148" max="4352" width="9.33203125" style="2240"/>
    <col min="4353" max="4353" width="176.6640625" style="2240" customWidth="1"/>
    <col min="4354" max="4365" width="55" style="2240" customWidth="1"/>
    <col min="4366" max="4366" width="176.6640625" style="2240" customWidth="1"/>
    <col min="4367" max="4378" width="53" style="2240" customWidth="1"/>
    <col min="4379" max="4379" width="176.5" style="2240" customWidth="1"/>
    <col min="4380" max="4391" width="53" style="2240" customWidth="1"/>
    <col min="4392" max="4392" width="176.5" style="2240" customWidth="1"/>
    <col min="4393" max="4400" width="63" style="2240" customWidth="1"/>
    <col min="4401" max="4402" width="45.1640625" style="2240" customWidth="1"/>
    <col min="4403" max="4403" width="34.1640625" style="2240" customWidth="1"/>
    <col min="4404" max="4608" width="9.33203125" style="2240"/>
    <col min="4609" max="4609" width="176.6640625" style="2240" customWidth="1"/>
    <col min="4610" max="4621" width="55" style="2240" customWidth="1"/>
    <col min="4622" max="4622" width="176.6640625" style="2240" customWidth="1"/>
    <col min="4623" max="4634" width="53" style="2240" customWidth="1"/>
    <col min="4635" max="4635" width="176.5" style="2240" customWidth="1"/>
    <col min="4636" max="4647" width="53" style="2240" customWidth="1"/>
    <col min="4648" max="4648" width="176.5" style="2240" customWidth="1"/>
    <col min="4649" max="4656" width="63" style="2240" customWidth="1"/>
    <col min="4657" max="4658" width="45.1640625" style="2240" customWidth="1"/>
    <col min="4659" max="4659" width="34.1640625" style="2240" customWidth="1"/>
    <col min="4660" max="4864" width="9.33203125" style="2240"/>
    <col min="4865" max="4865" width="176.6640625" style="2240" customWidth="1"/>
    <col min="4866" max="4877" width="55" style="2240" customWidth="1"/>
    <col min="4878" max="4878" width="176.6640625" style="2240" customWidth="1"/>
    <col min="4879" max="4890" width="53" style="2240" customWidth="1"/>
    <col min="4891" max="4891" width="176.5" style="2240" customWidth="1"/>
    <col min="4892" max="4903" width="53" style="2240" customWidth="1"/>
    <col min="4904" max="4904" width="176.5" style="2240" customWidth="1"/>
    <col min="4905" max="4912" width="63" style="2240" customWidth="1"/>
    <col min="4913" max="4914" width="45.1640625" style="2240" customWidth="1"/>
    <col min="4915" max="4915" width="34.1640625" style="2240" customWidth="1"/>
    <col min="4916" max="5120" width="9.33203125" style="2240"/>
    <col min="5121" max="5121" width="176.6640625" style="2240" customWidth="1"/>
    <col min="5122" max="5133" width="55" style="2240" customWidth="1"/>
    <col min="5134" max="5134" width="176.6640625" style="2240" customWidth="1"/>
    <col min="5135" max="5146" width="53" style="2240" customWidth="1"/>
    <col min="5147" max="5147" width="176.5" style="2240" customWidth="1"/>
    <col min="5148" max="5159" width="53" style="2240" customWidth="1"/>
    <col min="5160" max="5160" width="176.5" style="2240" customWidth="1"/>
    <col min="5161" max="5168" width="63" style="2240" customWidth="1"/>
    <col min="5169" max="5170" width="45.1640625" style="2240" customWidth="1"/>
    <col min="5171" max="5171" width="34.1640625" style="2240" customWidth="1"/>
    <col min="5172" max="5376" width="9.33203125" style="2240"/>
    <col min="5377" max="5377" width="176.6640625" style="2240" customWidth="1"/>
    <col min="5378" max="5389" width="55" style="2240" customWidth="1"/>
    <col min="5390" max="5390" width="176.6640625" style="2240" customWidth="1"/>
    <col min="5391" max="5402" width="53" style="2240" customWidth="1"/>
    <col min="5403" max="5403" width="176.5" style="2240" customWidth="1"/>
    <col min="5404" max="5415" width="53" style="2240" customWidth="1"/>
    <col min="5416" max="5416" width="176.5" style="2240" customWidth="1"/>
    <col min="5417" max="5424" width="63" style="2240" customWidth="1"/>
    <col min="5425" max="5426" width="45.1640625" style="2240" customWidth="1"/>
    <col min="5427" max="5427" width="34.1640625" style="2240" customWidth="1"/>
    <col min="5428" max="5632" width="9.33203125" style="2240"/>
    <col min="5633" max="5633" width="176.6640625" style="2240" customWidth="1"/>
    <col min="5634" max="5645" width="55" style="2240" customWidth="1"/>
    <col min="5646" max="5646" width="176.6640625" style="2240" customWidth="1"/>
    <col min="5647" max="5658" width="53" style="2240" customWidth="1"/>
    <col min="5659" max="5659" width="176.5" style="2240" customWidth="1"/>
    <col min="5660" max="5671" width="53" style="2240" customWidth="1"/>
    <col min="5672" max="5672" width="176.5" style="2240" customWidth="1"/>
    <col min="5673" max="5680" width="63" style="2240" customWidth="1"/>
    <col min="5681" max="5682" width="45.1640625" style="2240" customWidth="1"/>
    <col min="5683" max="5683" width="34.1640625" style="2240" customWidth="1"/>
    <col min="5684" max="5888" width="9.33203125" style="2240"/>
    <col min="5889" max="5889" width="176.6640625" style="2240" customWidth="1"/>
    <col min="5890" max="5901" width="55" style="2240" customWidth="1"/>
    <col min="5902" max="5902" width="176.6640625" style="2240" customWidth="1"/>
    <col min="5903" max="5914" width="53" style="2240" customWidth="1"/>
    <col min="5915" max="5915" width="176.5" style="2240" customWidth="1"/>
    <col min="5916" max="5927" width="53" style="2240" customWidth="1"/>
    <col min="5928" max="5928" width="176.5" style="2240" customWidth="1"/>
    <col min="5929" max="5936" width="63" style="2240" customWidth="1"/>
    <col min="5937" max="5938" width="45.1640625" style="2240" customWidth="1"/>
    <col min="5939" max="5939" width="34.1640625" style="2240" customWidth="1"/>
    <col min="5940" max="6144" width="9.33203125" style="2240"/>
    <col min="6145" max="6145" width="176.6640625" style="2240" customWidth="1"/>
    <col min="6146" max="6157" width="55" style="2240" customWidth="1"/>
    <col min="6158" max="6158" width="176.6640625" style="2240" customWidth="1"/>
    <col min="6159" max="6170" width="53" style="2240" customWidth="1"/>
    <col min="6171" max="6171" width="176.5" style="2240" customWidth="1"/>
    <col min="6172" max="6183" width="53" style="2240" customWidth="1"/>
    <col min="6184" max="6184" width="176.5" style="2240" customWidth="1"/>
    <col min="6185" max="6192" width="63" style="2240" customWidth="1"/>
    <col min="6193" max="6194" width="45.1640625" style="2240" customWidth="1"/>
    <col min="6195" max="6195" width="34.1640625" style="2240" customWidth="1"/>
    <col min="6196" max="6400" width="9.33203125" style="2240"/>
    <col min="6401" max="6401" width="176.6640625" style="2240" customWidth="1"/>
    <col min="6402" max="6413" width="55" style="2240" customWidth="1"/>
    <col min="6414" max="6414" width="176.6640625" style="2240" customWidth="1"/>
    <col min="6415" max="6426" width="53" style="2240" customWidth="1"/>
    <col min="6427" max="6427" width="176.5" style="2240" customWidth="1"/>
    <col min="6428" max="6439" width="53" style="2240" customWidth="1"/>
    <col min="6440" max="6440" width="176.5" style="2240" customWidth="1"/>
    <col min="6441" max="6448" width="63" style="2240" customWidth="1"/>
    <col min="6449" max="6450" width="45.1640625" style="2240" customWidth="1"/>
    <col min="6451" max="6451" width="34.1640625" style="2240" customWidth="1"/>
    <col min="6452" max="6656" width="9.33203125" style="2240"/>
    <col min="6657" max="6657" width="176.6640625" style="2240" customWidth="1"/>
    <col min="6658" max="6669" width="55" style="2240" customWidth="1"/>
    <col min="6670" max="6670" width="176.6640625" style="2240" customWidth="1"/>
    <col min="6671" max="6682" width="53" style="2240" customWidth="1"/>
    <col min="6683" max="6683" width="176.5" style="2240" customWidth="1"/>
    <col min="6684" max="6695" width="53" style="2240" customWidth="1"/>
    <col min="6696" max="6696" width="176.5" style="2240" customWidth="1"/>
    <col min="6697" max="6704" width="63" style="2240" customWidth="1"/>
    <col min="6705" max="6706" width="45.1640625" style="2240" customWidth="1"/>
    <col min="6707" max="6707" width="34.1640625" style="2240" customWidth="1"/>
    <col min="6708" max="6912" width="9.33203125" style="2240"/>
    <col min="6913" max="6913" width="176.6640625" style="2240" customWidth="1"/>
    <col min="6914" max="6925" width="55" style="2240" customWidth="1"/>
    <col min="6926" max="6926" width="176.6640625" style="2240" customWidth="1"/>
    <col min="6927" max="6938" width="53" style="2240" customWidth="1"/>
    <col min="6939" max="6939" width="176.5" style="2240" customWidth="1"/>
    <col min="6940" max="6951" width="53" style="2240" customWidth="1"/>
    <col min="6952" max="6952" width="176.5" style="2240" customWidth="1"/>
    <col min="6953" max="6960" width="63" style="2240" customWidth="1"/>
    <col min="6961" max="6962" width="45.1640625" style="2240" customWidth="1"/>
    <col min="6963" max="6963" width="34.1640625" style="2240" customWidth="1"/>
    <col min="6964" max="7168" width="9.33203125" style="2240"/>
    <col min="7169" max="7169" width="176.6640625" style="2240" customWidth="1"/>
    <col min="7170" max="7181" width="55" style="2240" customWidth="1"/>
    <col min="7182" max="7182" width="176.6640625" style="2240" customWidth="1"/>
    <col min="7183" max="7194" width="53" style="2240" customWidth="1"/>
    <col min="7195" max="7195" width="176.5" style="2240" customWidth="1"/>
    <col min="7196" max="7207" width="53" style="2240" customWidth="1"/>
    <col min="7208" max="7208" width="176.5" style="2240" customWidth="1"/>
    <col min="7209" max="7216" width="63" style="2240" customWidth="1"/>
    <col min="7217" max="7218" width="45.1640625" style="2240" customWidth="1"/>
    <col min="7219" max="7219" width="34.1640625" style="2240" customWidth="1"/>
    <col min="7220" max="7424" width="9.33203125" style="2240"/>
    <col min="7425" max="7425" width="176.6640625" style="2240" customWidth="1"/>
    <col min="7426" max="7437" width="55" style="2240" customWidth="1"/>
    <col min="7438" max="7438" width="176.6640625" style="2240" customWidth="1"/>
    <col min="7439" max="7450" width="53" style="2240" customWidth="1"/>
    <col min="7451" max="7451" width="176.5" style="2240" customWidth="1"/>
    <col min="7452" max="7463" width="53" style="2240" customWidth="1"/>
    <col min="7464" max="7464" width="176.5" style="2240" customWidth="1"/>
    <col min="7465" max="7472" width="63" style="2240" customWidth="1"/>
    <col min="7473" max="7474" width="45.1640625" style="2240" customWidth="1"/>
    <col min="7475" max="7475" width="34.1640625" style="2240" customWidth="1"/>
    <col min="7476" max="7680" width="9.33203125" style="2240"/>
    <col min="7681" max="7681" width="176.6640625" style="2240" customWidth="1"/>
    <col min="7682" max="7693" width="55" style="2240" customWidth="1"/>
    <col min="7694" max="7694" width="176.6640625" style="2240" customWidth="1"/>
    <col min="7695" max="7706" width="53" style="2240" customWidth="1"/>
    <col min="7707" max="7707" width="176.5" style="2240" customWidth="1"/>
    <col min="7708" max="7719" width="53" style="2240" customWidth="1"/>
    <col min="7720" max="7720" width="176.5" style="2240" customWidth="1"/>
    <col min="7721" max="7728" width="63" style="2240" customWidth="1"/>
    <col min="7729" max="7730" width="45.1640625" style="2240" customWidth="1"/>
    <col min="7731" max="7731" width="34.1640625" style="2240" customWidth="1"/>
    <col min="7732" max="7936" width="9.33203125" style="2240"/>
    <col min="7937" max="7937" width="176.6640625" style="2240" customWidth="1"/>
    <col min="7938" max="7949" width="55" style="2240" customWidth="1"/>
    <col min="7950" max="7950" width="176.6640625" style="2240" customWidth="1"/>
    <col min="7951" max="7962" width="53" style="2240" customWidth="1"/>
    <col min="7963" max="7963" width="176.5" style="2240" customWidth="1"/>
    <col min="7964" max="7975" width="53" style="2240" customWidth="1"/>
    <col min="7976" max="7976" width="176.5" style="2240" customWidth="1"/>
    <col min="7977" max="7984" width="63" style="2240" customWidth="1"/>
    <col min="7985" max="7986" width="45.1640625" style="2240" customWidth="1"/>
    <col min="7987" max="7987" width="34.1640625" style="2240" customWidth="1"/>
    <col min="7988" max="8192" width="9.33203125" style="2240"/>
    <col min="8193" max="8193" width="176.6640625" style="2240" customWidth="1"/>
    <col min="8194" max="8205" width="55" style="2240" customWidth="1"/>
    <col min="8206" max="8206" width="176.6640625" style="2240" customWidth="1"/>
    <col min="8207" max="8218" width="53" style="2240" customWidth="1"/>
    <col min="8219" max="8219" width="176.5" style="2240" customWidth="1"/>
    <col min="8220" max="8231" width="53" style="2240" customWidth="1"/>
    <col min="8232" max="8232" width="176.5" style="2240" customWidth="1"/>
    <col min="8233" max="8240" width="63" style="2240" customWidth="1"/>
    <col min="8241" max="8242" width="45.1640625" style="2240" customWidth="1"/>
    <col min="8243" max="8243" width="34.1640625" style="2240" customWidth="1"/>
    <col min="8244" max="8448" width="9.33203125" style="2240"/>
    <col min="8449" max="8449" width="176.6640625" style="2240" customWidth="1"/>
    <col min="8450" max="8461" width="55" style="2240" customWidth="1"/>
    <col min="8462" max="8462" width="176.6640625" style="2240" customWidth="1"/>
    <col min="8463" max="8474" width="53" style="2240" customWidth="1"/>
    <col min="8475" max="8475" width="176.5" style="2240" customWidth="1"/>
    <col min="8476" max="8487" width="53" style="2240" customWidth="1"/>
    <col min="8488" max="8488" width="176.5" style="2240" customWidth="1"/>
    <col min="8489" max="8496" width="63" style="2240" customWidth="1"/>
    <col min="8497" max="8498" width="45.1640625" style="2240" customWidth="1"/>
    <col min="8499" max="8499" width="34.1640625" style="2240" customWidth="1"/>
    <col min="8500" max="8704" width="9.33203125" style="2240"/>
    <col min="8705" max="8705" width="176.6640625" style="2240" customWidth="1"/>
    <col min="8706" max="8717" width="55" style="2240" customWidth="1"/>
    <col min="8718" max="8718" width="176.6640625" style="2240" customWidth="1"/>
    <col min="8719" max="8730" width="53" style="2240" customWidth="1"/>
    <col min="8731" max="8731" width="176.5" style="2240" customWidth="1"/>
    <col min="8732" max="8743" width="53" style="2240" customWidth="1"/>
    <col min="8744" max="8744" width="176.5" style="2240" customWidth="1"/>
    <col min="8745" max="8752" width="63" style="2240" customWidth="1"/>
    <col min="8753" max="8754" width="45.1640625" style="2240" customWidth="1"/>
    <col min="8755" max="8755" width="34.1640625" style="2240" customWidth="1"/>
    <col min="8756" max="8960" width="9.33203125" style="2240"/>
    <col min="8961" max="8961" width="176.6640625" style="2240" customWidth="1"/>
    <col min="8962" max="8973" width="55" style="2240" customWidth="1"/>
    <col min="8974" max="8974" width="176.6640625" style="2240" customWidth="1"/>
    <col min="8975" max="8986" width="53" style="2240" customWidth="1"/>
    <col min="8987" max="8987" width="176.5" style="2240" customWidth="1"/>
    <col min="8988" max="8999" width="53" style="2240" customWidth="1"/>
    <col min="9000" max="9000" width="176.5" style="2240" customWidth="1"/>
    <col min="9001" max="9008" width="63" style="2240" customWidth="1"/>
    <col min="9009" max="9010" width="45.1640625" style="2240" customWidth="1"/>
    <col min="9011" max="9011" width="34.1640625" style="2240" customWidth="1"/>
    <col min="9012" max="9216" width="9.33203125" style="2240"/>
    <col min="9217" max="9217" width="176.6640625" style="2240" customWidth="1"/>
    <col min="9218" max="9229" width="55" style="2240" customWidth="1"/>
    <col min="9230" max="9230" width="176.6640625" style="2240" customWidth="1"/>
    <col min="9231" max="9242" width="53" style="2240" customWidth="1"/>
    <col min="9243" max="9243" width="176.5" style="2240" customWidth="1"/>
    <col min="9244" max="9255" width="53" style="2240" customWidth="1"/>
    <col min="9256" max="9256" width="176.5" style="2240" customWidth="1"/>
    <col min="9257" max="9264" width="63" style="2240" customWidth="1"/>
    <col min="9265" max="9266" width="45.1640625" style="2240" customWidth="1"/>
    <col min="9267" max="9267" width="34.1640625" style="2240" customWidth="1"/>
    <col min="9268" max="9472" width="9.33203125" style="2240"/>
    <col min="9473" max="9473" width="176.6640625" style="2240" customWidth="1"/>
    <col min="9474" max="9485" width="55" style="2240" customWidth="1"/>
    <col min="9486" max="9486" width="176.6640625" style="2240" customWidth="1"/>
    <col min="9487" max="9498" width="53" style="2240" customWidth="1"/>
    <col min="9499" max="9499" width="176.5" style="2240" customWidth="1"/>
    <col min="9500" max="9511" width="53" style="2240" customWidth="1"/>
    <col min="9512" max="9512" width="176.5" style="2240" customWidth="1"/>
    <col min="9513" max="9520" width="63" style="2240" customWidth="1"/>
    <col min="9521" max="9522" width="45.1640625" style="2240" customWidth="1"/>
    <col min="9523" max="9523" width="34.1640625" style="2240" customWidth="1"/>
    <col min="9524" max="9728" width="9.33203125" style="2240"/>
    <col min="9729" max="9729" width="176.6640625" style="2240" customWidth="1"/>
    <col min="9730" max="9741" width="55" style="2240" customWidth="1"/>
    <col min="9742" max="9742" width="176.6640625" style="2240" customWidth="1"/>
    <col min="9743" max="9754" width="53" style="2240" customWidth="1"/>
    <col min="9755" max="9755" width="176.5" style="2240" customWidth="1"/>
    <col min="9756" max="9767" width="53" style="2240" customWidth="1"/>
    <col min="9768" max="9768" width="176.5" style="2240" customWidth="1"/>
    <col min="9769" max="9776" width="63" style="2240" customWidth="1"/>
    <col min="9777" max="9778" width="45.1640625" style="2240" customWidth="1"/>
    <col min="9779" max="9779" width="34.1640625" style="2240" customWidth="1"/>
    <col min="9780" max="9984" width="9.33203125" style="2240"/>
    <col min="9985" max="9985" width="176.6640625" style="2240" customWidth="1"/>
    <col min="9986" max="9997" width="55" style="2240" customWidth="1"/>
    <col min="9998" max="9998" width="176.6640625" style="2240" customWidth="1"/>
    <col min="9999" max="10010" width="53" style="2240" customWidth="1"/>
    <col min="10011" max="10011" width="176.5" style="2240" customWidth="1"/>
    <col min="10012" max="10023" width="53" style="2240" customWidth="1"/>
    <col min="10024" max="10024" width="176.5" style="2240" customWidth="1"/>
    <col min="10025" max="10032" width="63" style="2240" customWidth="1"/>
    <col min="10033" max="10034" width="45.1640625" style="2240" customWidth="1"/>
    <col min="10035" max="10035" width="34.1640625" style="2240" customWidth="1"/>
    <col min="10036" max="10240" width="9.33203125" style="2240"/>
    <col min="10241" max="10241" width="176.6640625" style="2240" customWidth="1"/>
    <col min="10242" max="10253" width="55" style="2240" customWidth="1"/>
    <col min="10254" max="10254" width="176.6640625" style="2240" customWidth="1"/>
    <col min="10255" max="10266" width="53" style="2240" customWidth="1"/>
    <col min="10267" max="10267" width="176.5" style="2240" customWidth="1"/>
    <col min="10268" max="10279" width="53" style="2240" customWidth="1"/>
    <col min="10280" max="10280" width="176.5" style="2240" customWidth="1"/>
    <col min="10281" max="10288" width="63" style="2240" customWidth="1"/>
    <col min="10289" max="10290" width="45.1640625" style="2240" customWidth="1"/>
    <col min="10291" max="10291" width="34.1640625" style="2240" customWidth="1"/>
    <col min="10292" max="10496" width="9.33203125" style="2240"/>
    <col min="10497" max="10497" width="176.6640625" style="2240" customWidth="1"/>
    <col min="10498" max="10509" width="55" style="2240" customWidth="1"/>
    <col min="10510" max="10510" width="176.6640625" style="2240" customWidth="1"/>
    <col min="10511" max="10522" width="53" style="2240" customWidth="1"/>
    <col min="10523" max="10523" width="176.5" style="2240" customWidth="1"/>
    <col min="10524" max="10535" width="53" style="2240" customWidth="1"/>
    <col min="10536" max="10536" width="176.5" style="2240" customWidth="1"/>
    <col min="10537" max="10544" width="63" style="2240" customWidth="1"/>
    <col min="10545" max="10546" width="45.1640625" style="2240" customWidth="1"/>
    <col min="10547" max="10547" width="34.1640625" style="2240" customWidth="1"/>
    <col min="10548" max="10752" width="9.33203125" style="2240"/>
    <col min="10753" max="10753" width="176.6640625" style="2240" customWidth="1"/>
    <col min="10754" max="10765" width="55" style="2240" customWidth="1"/>
    <col min="10766" max="10766" width="176.6640625" style="2240" customWidth="1"/>
    <col min="10767" max="10778" width="53" style="2240" customWidth="1"/>
    <col min="10779" max="10779" width="176.5" style="2240" customWidth="1"/>
    <col min="10780" max="10791" width="53" style="2240" customWidth="1"/>
    <col min="10792" max="10792" width="176.5" style="2240" customWidth="1"/>
    <col min="10793" max="10800" width="63" style="2240" customWidth="1"/>
    <col min="10801" max="10802" width="45.1640625" style="2240" customWidth="1"/>
    <col min="10803" max="10803" width="34.1640625" style="2240" customWidth="1"/>
    <col min="10804" max="11008" width="9.33203125" style="2240"/>
    <col min="11009" max="11009" width="176.6640625" style="2240" customWidth="1"/>
    <col min="11010" max="11021" width="55" style="2240" customWidth="1"/>
    <col min="11022" max="11022" width="176.6640625" style="2240" customWidth="1"/>
    <col min="11023" max="11034" width="53" style="2240" customWidth="1"/>
    <col min="11035" max="11035" width="176.5" style="2240" customWidth="1"/>
    <col min="11036" max="11047" width="53" style="2240" customWidth="1"/>
    <col min="11048" max="11048" width="176.5" style="2240" customWidth="1"/>
    <col min="11049" max="11056" width="63" style="2240" customWidth="1"/>
    <col min="11057" max="11058" width="45.1640625" style="2240" customWidth="1"/>
    <col min="11059" max="11059" width="34.1640625" style="2240" customWidth="1"/>
    <col min="11060" max="11264" width="9.33203125" style="2240"/>
    <col min="11265" max="11265" width="176.6640625" style="2240" customWidth="1"/>
    <col min="11266" max="11277" width="55" style="2240" customWidth="1"/>
    <col min="11278" max="11278" width="176.6640625" style="2240" customWidth="1"/>
    <col min="11279" max="11290" width="53" style="2240" customWidth="1"/>
    <col min="11291" max="11291" width="176.5" style="2240" customWidth="1"/>
    <col min="11292" max="11303" width="53" style="2240" customWidth="1"/>
    <col min="11304" max="11304" width="176.5" style="2240" customWidth="1"/>
    <col min="11305" max="11312" width="63" style="2240" customWidth="1"/>
    <col min="11313" max="11314" width="45.1640625" style="2240" customWidth="1"/>
    <col min="11315" max="11315" width="34.1640625" style="2240" customWidth="1"/>
    <col min="11316" max="11520" width="9.33203125" style="2240"/>
    <col min="11521" max="11521" width="176.6640625" style="2240" customWidth="1"/>
    <col min="11522" max="11533" width="55" style="2240" customWidth="1"/>
    <col min="11534" max="11534" width="176.6640625" style="2240" customWidth="1"/>
    <col min="11535" max="11546" width="53" style="2240" customWidth="1"/>
    <col min="11547" max="11547" width="176.5" style="2240" customWidth="1"/>
    <col min="11548" max="11559" width="53" style="2240" customWidth="1"/>
    <col min="11560" max="11560" width="176.5" style="2240" customWidth="1"/>
    <col min="11561" max="11568" width="63" style="2240" customWidth="1"/>
    <col min="11569" max="11570" width="45.1640625" style="2240" customWidth="1"/>
    <col min="11571" max="11571" width="34.1640625" style="2240" customWidth="1"/>
    <col min="11572" max="11776" width="9.33203125" style="2240"/>
    <col min="11777" max="11777" width="176.6640625" style="2240" customWidth="1"/>
    <col min="11778" max="11789" width="55" style="2240" customWidth="1"/>
    <col min="11790" max="11790" width="176.6640625" style="2240" customWidth="1"/>
    <col min="11791" max="11802" width="53" style="2240" customWidth="1"/>
    <col min="11803" max="11803" width="176.5" style="2240" customWidth="1"/>
    <col min="11804" max="11815" width="53" style="2240" customWidth="1"/>
    <col min="11816" max="11816" width="176.5" style="2240" customWidth="1"/>
    <col min="11817" max="11824" width="63" style="2240" customWidth="1"/>
    <col min="11825" max="11826" width="45.1640625" style="2240" customWidth="1"/>
    <col min="11827" max="11827" width="34.1640625" style="2240" customWidth="1"/>
    <col min="11828" max="12032" width="9.33203125" style="2240"/>
    <col min="12033" max="12033" width="176.6640625" style="2240" customWidth="1"/>
    <col min="12034" max="12045" width="55" style="2240" customWidth="1"/>
    <col min="12046" max="12046" width="176.6640625" style="2240" customWidth="1"/>
    <col min="12047" max="12058" width="53" style="2240" customWidth="1"/>
    <col min="12059" max="12059" width="176.5" style="2240" customWidth="1"/>
    <col min="12060" max="12071" width="53" style="2240" customWidth="1"/>
    <col min="12072" max="12072" width="176.5" style="2240" customWidth="1"/>
    <col min="12073" max="12080" width="63" style="2240" customWidth="1"/>
    <col min="12081" max="12082" width="45.1640625" style="2240" customWidth="1"/>
    <col min="12083" max="12083" width="34.1640625" style="2240" customWidth="1"/>
    <col min="12084" max="12288" width="9.33203125" style="2240"/>
    <col min="12289" max="12289" width="176.6640625" style="2240" customWidth="1"/>
    <col min="12290" max="12301" width="55" style="2240" customWidth="1"/>
    <col min="12302" max="12302" width="176.6640625" style="2240" customWidth="1"/>
    <col min="12303" max="12314" width="53" style="2240" customWidth="1"/>
    <col min="12315" max="12315" width="176.5" style="2240" customWidth="1"/>
    <col min="12316" max="12327" width="53" style="2240" customWidth="1"/>
    <col min="12328" max="12328" width="176.5" style="2240" customWidth="1"/>
    <col min="12329" max="12336" width="63" style="2240" customWidth="1"/>
    <col min="12337" max="12338" width="45.1640625" style="2240" customWidth="1"/>
    <col min="12339" max="12339" width="34.1640625" style="2240" customWidth="1"/>
    <col min="12340" max="12544" width="9.33203125" style="2240"/>
    <col min="12545" max="12545" width="176.6640625" style="2240" customWidth="1"/>
    <col min="12546" max="12557" width="55" style="2240" customWidth="1"/>
    <col min="12558" max="12558" width="176.6640625" style="2240" customWidth="1"/>
    <col min="12559" max="12570" width="53" style="2240" customWidth="1"/>
    <col min="12571" max="12571" width="176.5" style="2240" customWidth="1"/>
    <col min="12572" max="12583" width="53" style="2240" customWidth="1"/>
    <col min="12584" max="12584" width="176.5" style="2240" customWidth="1"/>
    <col min="12585" max="12592" width="63" style="2240" customWidth="1"/>
    <col min="12593" max="12594" width="45.1640625" style="2240" customWidth="1"/>
    <col min="12595" max="12595" width="34.1640625" style="2240" customWidth="1"/>
    <col min="12596" max="12800" width="9.33203125" style="2240"/>
    <col min="12801" max="12801" width="176.6640625" style="2240" customWidth="1"/>
    <col min="12802" max="12813" width="55" style="2240" customWidth="1"/>
    <col min="12814" max="12814" width="176.6640625" style="2240" customWidth="1"/>
    <col min="12815" max="12826" width="53" style="2240" customWidth="1"/>
    <col min="12827" max="12827" width="176.5" style="2240" customWidth="1"/>
    <col min="12828" max="12839" width="53" style="2240" customWidth="1"/>
    <col min="12840" max="12840" width="176.5" style="2240" customWidth="1"/>
    <col min="12841" max="12848" width="63" style="2240" customWidth="1"/>
    <col min="12849" max="12850" width="45.1640625" style="2240" customWidth="1"/>
    <col min="12851" max="12851" width="34.1640625" style="2240" customWidth="1"/>
    <col min="12852" max="13056" width="9.33203125" style="2240"/>
    <col min="13057" max="13057" width="176.6640625" style="2240" customWidth="1"/>
    <col min="13058" max="13069" width="55" style="2240" customWidth="1"/>
    <col min="13070" max="13070" width="176.6640625" style="2240" customWidth="1"/>
    <col min="13071" max="13082" width="53" style="2240" customWidth="1"/>
    <col min="13083" max="13083" width="176.5" style="2240" customWidth="1"/>
    <col min="13084" max="13095" width="53" style="2240" customWidth="1"/>
    <col min="13096" max="13096" width="176.5" style="2240" customWidth="1"/>
    <col min="13097" max="13104" width="63" style="2240" customWidth="1"/>
    <col min="13105" max="13106" width="45.1640625" style="2240" customWidth="1"/>
    <col min="13107" max="13107" width="34.1640625" style="2240" customWidth="1"/>
    <col min="13108" max="13312" width="9.33203125" style="2240"/>
    <col min="13313" max="13313" width="176.6640625" style="2240" customWidth="1"/>
    <col min="13314" max="13325" width="55" style="2240" customWidth="1"/>
    <col min="13326" max="13326" width="176.6640625" style="2240" customWidth="1"/>
    <col min="13327" max="13338" width="53" style="2240" customWidth="1"/>
    <col min="13339" max="13339" width="176.5" style="2240" customWidth="1"/>
    <col min="13340" max="13351" width="53" style="2240" customWidth="1"/>
    <col min="13352" max="13352" width="176.5" style="2240" customWidth="1"/>
    <col min="13353" max="13360" width="63" style="2240" customWidth="1"/>
    <col min="13361" max="13362" width="45.1640625" style="2240" customWidth="1"/>
    <col min="13363" max="13363" width="34.1640625" style="2240" customWidth="1"/>
    <col min="13364" max="13568" width="9.33203125" style="2240"/>
    <col min="13569" max="13569" width="176.6640625" style="2240" customWidth="1"/>
    <col min="13570" max="13581" width="55" style="2240" customWidth="1"/>
    <col min="13582" max="13582" width="176.6640625" style="2240" customWidth="1"/>
    <col min="13583" max="13594" width="53" style="2240" customWidth="1"/>
    <col min="13595" max="13595" width="176.5" style="2240" customWidth="1"/>
    <col min="13596" max="13607" width="53" style="2240" customWidth="1"/>
    <col min="13608" max="13608" width="176.5" style="2240" customWidth="1"/>
    <col min="13609" max="13616" width="63" style="2240" customWidth="1"/>
    <col min="13617" max="13618" width="45.1640625" style="2240" customWidth="1"/>
    <col min="13619" max="13619" width="34.1640625" style="2240" customWidth="1"/>
    <col min="13620" max="13824" width="9.33203125" style="2240"/>
    <col min="13825" max="13825" width="176.6640625" style="2240" customWidth="1"/>
    <col min="13826" max="13837" width="55" style="2240" customWidth="1"/>
    <col min="13838" max="13838" width="176.6640625" style="2240" customWidth="1"/>
    <col min="13839" max="13850" width="53" style="2240" customWidth="1"/>
    <col min="13851" max="13851" width="176.5" style="2240" customWidth="1"/>
    <col min="13852" max="13863" width="53" style="2240" customWidth="1"/>
    <col min="13864" max="13864" width="176.5" style="2240" customWidth="1"/>
    <col min="13865" max="13872" width="63" style="2240" customWidth="1"/>
    <col min="13873" max="13874" width="45.1640625" style="2240" customWidth="1"/>
    <col min="13875" max="13875" width="34.1640625" style="2240" customWidth="1"/>
    <col min="13876" max="14080" width="9.33203125" style="2240"/>
    <col min="14081" max="14081" width="176.6640625" style="2240" customWidth="1"/>
    <col min="14082" max="14093" width="55" style="2240" customWidth="1"/>
    <col min="14094" max="14094" width="176.6640625" style="2240" customWidth="1"/>
    <col min="14095" max="14106" width="53" style="2240" customWidth="1"/>
    <col min="14107" max="14107" width="176.5" style="2240" customWidth="1"/>
    <col min="14108" max="14119" width="53" style="2240" customWidth="1"/>
    <col min="14120" max="14120" width="176.5" style="2240" customWidth="1"/>
    <col min="14121" max="14128" width="63" style="2240" customWidth="1"/>
    <col min="14129" max="14130" width="45.1640625" style="2240" customWidth="1"/>
    <col min="14131" max="14131" width="34.1640625" style="2240" customWidth="1"/>
    <col min="14132" max="14336" width="9.33203125" style="2240"/>
    <col min="14337" max="14337" width="176.6640625" style="2240" customWidth="1"/>
    <col min="14338" max="14349" width="55" style="2240" customWidth="1"/>
    <col min="14350" max="14350" width="176.6640625" style="2240" customWidth="1"/>
    <col min="14351" max="14362" width="53" style="2240" customWidth="1"/>
    <col min="14363" max="14363" width="176.5" style="2240" customWidth="1"/>
    <col min="14364" max="14375" width="53" style="2240" customWidth="1"/>
    <col min="14376" max="14376" width="176.5" style="2240" customWidth="1"/>
    <col min="14377" max="14384" width="63" style="2240" customWidth="1"/>
    <col min="14385" max="14386" width="45.1640625" style="2240" customWidth="1"/>
    <col min="14387" max="14387" width="34.1640625" style="2240" customWidth="1"/>
    <col min="14388" max="14592" width="9.33203125" style="2240"/>
    <col min="14593" max="14593" width="176.6640625" style="2240" customWidth="1"/>
    <col min="14594" max="14605" width="55" style="2240" customWidth="1"/>
    <col min="14606" max="14606" width="176.6640625" style="2240" customWidth="1"/>
    <col min="14607" max="14618" width="53" style="2240" customWidth="1"/>
    <col min="14619" max="14619" width="176.5" style="2240" customWidth="1"/>
    <col min="14620" max="14631" width="53" style="2240" customWidth="1"/>
    <col min="14632" max="14632" width="176.5" style="2240" customWidth="1"/>
    <col min="14633" max="14640" width="63" style="2240" customWidth="1"/>
    <col min="14641" max="14642" width="45.1640625" style="2240" customWidth="1"/>
    <col min="14643" max="14643" width="34.1640625" style="2240" customWidth="1"/>
    <col min="14644" max="14848" width="9.33203125" style="2240"/>
    <col min="14849" max="14849" width="176.6640625" style="2240" customWidth="1"/>
    <col min="14850" max="14861" width="55" style="2240" customWidth="1"/>
    <col min="14862" max="14862" width="176.6640625" style="2240" customWidth="1"/>
    <col min="14863" max="14874" width="53" style="2240" customWidth="1"/>
    <col min="14875" max="14875" width="176.5" style="2240" customWidth="1"/>
    <col min="14876" max="14887" width="53" style="2240" customWidth="1"/>
    <col min="14888" max="14888" width="176.5" style="2240" customWidth="1"/>
    <col min="14889" max="14896" width="63" style="2240" customWidth="1"/>
    <col min="14897" max="14898" width="45.1640625" style="2240" customWidth="1"/>
    <col min="14899" max="14899" width="34.1640625" style="2240" customWidth="1"/>
    <col min="14900" max="15104" width="9.33203125" style="2240"/>
    <col min="15105" max="15105" width="176.6640625" style="2240" customWidth="1"/>
    <col min="15106" max="15117" width="55" style="2240" customWidth="1"/>
    <col min="15118" max="15118" width="176.6640625" style="2240" customWidth="1"/>
    <col min="15119" max="15130" width="53" style="2240" customWidth="1"/>
    <col min="15131" max="15131" width="176.5" style="2240" customWidth="1"/>
    <col min="15132" max="15143" width="53" style="2240" customWidth="1"/>
    <col min="15144" max="15144" width="176.5" style="2240" customWidth="1"/>
    <col min="15145" max="15152" width="63" style="2240" customWidth="1"/>
    <col min="15153" max="15154" width="45.1640625" style="2240" customWidth="1"/>
    <col min="15155" max="15155" width="34.1640625" style="2240" customWidth="1"/>
    <col min="15156" max="15360" width="9.33203125" style="2240"/>
    <col min="15361" max="15361" width="176.6640625" style="2240" customWidth="1"/>
    <col min="15362" max="15373" width="55" style="2240" customWidth="1"/>
    <col min="15374" max="15374" width="176.6640625" style="2240" customWidth="1"/>
    <col min="15375" max="15386" width="53" style="2240" customWidth="1"/>
    <col min="15387" max="15387" width="176.5" style="2240" customWidth="1"/>
    <col min="15388" max="15399" width="53" style="2240" customWidth="1"/>
    <col min="15400" max="15400" width="176.5" style="2240" customWidth="1"/>
    <col min="15401" max="15408" width="63" style="2240" customWidth="1"/>
    <col min="15409" max="15410" width="45.1640625" style="2240" customWidth="1"/>
    <col min="15411" max="15411" width="34.1640625" style="2240" customWidth="1"/>
    <col min="15412" max="15616" width="9.33203125" style="2240"/>
    <col min="15617" max="15617" width="176.6640625" style="2240" customWidth="1"/>
    <col min="15618" max="15629" width="55" style="2240" customWidth="1"/>
    <col min="15630" max="15630" width="176.6640625" style="2240" customWidth="1"/>
    <col min="15631" max="15642" width="53" style="2240" customWidth="1"/>
    <col min="15643" max="15643" width="176.5" style="2240" customWidth="1"/>
    <col min="15644" max="15655" width="53" style="2240" customWidth="1"/>
    <col min="15656" max="15656" width="176.5" style="2240" customWidth="1"/>
    <col min="15657" max="15664" width="63" style="2240" customWidth="1"/>
    <col min="15665" max="15666" width="45.1640625" style="2240" customWidth="1"/>
    <col min="15667" max="15667" width="34.1640625" style="2240" customWidth="1"/>
    <col min="15668" max="15872" width="9.33203125" style="2240"/>
    <col min="15873" max="15873" width="176.6640625" style="2240" customWidth="1"/>
    <col min="15874" max="15885" width="55" style="2240" customWidth="1"/>
    <col min="15886" max="15886" width="176.6640625" style="2240" customWidth="1"/>
    <col min="15887" max="15898" width="53" style="2240" customWidth="1"/>
    <col min="15899" max="15899" width="176.5" style="2240" customWidth="1"/>
    <col min="15900" max="15911" width="53" style="2240" customWidth="1"/>
    <col min="15912" max="15912" width="176.5" style="2240" customWidth="1"/>
    <col min="15913" max="15920" width="63" style="2240" customWidth="1"/>
    <col min="15921" max="15922" width="45.1640625" style="2240" customWidth="1"/>
    <col min="15923" max="15923" width="34.1640625" style="2240" customWidth="1"/>
    <col min="15924" max="16128" width="9.33203125" style="2240"/>
    <col min="16129" max="16129" width="176.6640625" style="2240" customWidth="1"/>
    <col min="16130" max="16141" width="55" style="2240" customWidth="1"/>
    <col min="16142" max="16142" width="176.6640625" style="2240" customWidth="1"/>
    <col min="16143" max="16154" width="53" style="2240" customWidth="1"/>
    <col min="16155" max="16155" width="176.5" style="2240" customWidth="1"/>
    <col min="16156" max="16167" width="53" style="2240" customWidth="1"/>
    <col min="16168" max="16168" width="176.5" style="2240" customWidth="1"/>
    <col min="16169" max="16176" width="63" style="2240" customWidth="1"/>
    <col min="16177" max="16178" width="45.1640625" style="2240" customWidth="1"/>
    <col min="16179" max="16179" width="34.1640625" style="2240" customWidth="1"/>
    <col min="16180" max="16384" width="9.33203125" style="2240"/>
  </cols>
  <sheetData>
    <row r="1" spans="1:51" ht="38.25" customHeight="1" x14ac:dyDescent="0.3"/>
    <row r="2" spans="1:51" s="2242" customFormat="1" ht="54" customHeight="1" x14ac:dyDescent="0.6">
      <c r="A2" s="2659" t="s">
        <v>722</v>
      </c>
      <c r="B2" s="2659"/>
      <c r="C2" s="2659"/>
      <c r="D2" s="2659"/>
      <c r="E2" s="2659"/>
      <c r="F2" s="2659"/>
      <c r="G2" s="2659"/>
      <c r="H2" s="2659"/>
      <c r="I2" s="2659"/>
      <c r="J2" s="2659"/>
      <c r="K2" s="2659"/>
      <c r="L2" s="2659"/>
      <c r="M2" s="2659"/>
      <c r="N2" s="2659" t="s">
        <v>722</v>
      </c>
      <c r="O2" s="2659"/>
      <c r="P2" s="2659"/>
      <c r="Q2" s="2659"/>
      <c r="R2" s="2659"/>
      <c r="S2" s="2659"/>
      <c r="T2" s="2659"/>
      <c r="U2" s="2659"/>
      <c r="V2" s="2659"/>
      <c r="W2" s="2659"/>
      <c r="X2" s="2659"/>
      <c r="Y2" s="2659"/>
      <c r="Z2" s="2659"/>
      <c r="AA2" s="2659" t="s">
        <v>722</v>
      </c>
      <c r="AB2" s="2659"/>
      <c r="AC2" s="2659"/>
      <c r="AD2" s="2659"/>
      <c r="AE2" s="2659"/>
      <c r="AF2" s="2659"/>
      <c r="AG2" s="2659"/>
      <c r="AH2" s="2659"/>
      <c r="AI2" s="2659"/>
      <c r="AJ2" s="2659"/>
      <c r="AK2" s="2659"/>
      <c r="AL2" s="2659"/>
      <c r="AM2" s="2659"/>
      <c r="AN2" s="2659" t="s">
        <v>722</v>
      </c>
      <c r="AO2" s="2659"/>
      <c r="AP2" s="2659"/>
      <c r="AQ2" s="2659"/>
      <c r="AR2" s="2659"/>
      <c r="AS2" s="2659"/>
      <c r="AT2" s="2659"/>
      <c r="AU2" s="2659"/>
      <c r="AV2" s="2659"/>
      <c r="AW2" s="2241"/>
      <c r="AX2" s="2241"/>
      <c r="AY2" s="2241"/>
    </row>
    <row r="3" spans="1:51" s="2242" customFormat="1" ht="54" customHeight="1" x14ac:dyDescent="0.6">
      <c r="A3" s="2659" t="s">
        <v>1430</v>
      </c>
      <c r="B3" s="2659"/>
      <c r="C3" s="2659"/>
      <c r="D3" s="2659"/>
      <c r="E3" s="2659"/>
      <c r="F3" s="2659"/>
      <c r="G3" s="2659"/>
      <c r="H3" s="2659"/>
      <c r="I3" s="2659"/>
      <c r="J3" s="2659"/>
      <c r="K3" s="2659"/>
      <c r="L3" s="2659"/>
      <c r="M3" s="2659"/>
      <c r="N3" s="2659" t="s">
        <v>1430</v>
      </c>
      <c r="O3" s="2659"/>
      <c r="P3" s="2659"/>
      <c r="Q3" s="2659"/>
      <c r="R3" s="2659"/>
      <c r="S3" s="2659"/>
      <c r="T3" s="2659"/>
      <c r="U3" s="2659"/>
      <c r="V3" s="2659"/>
      <c r="W3" s="2659"/>
      <c r="X3" s="2659"/>
      <c r="Y3" s="2659"/>
      <c r="Z3" s="2659"/>
      <c r="AA3" s="2659" t="s">
        <v>1430</v>
      </c>
      <c r="AB3" s="2659"/>
      <c r="AC3" s="2659"/>
      <c r="AD3" s="2659"/>
      <c r="AE3" s="2659"/>
      <c r="AF3" s="2659"/>
      <c r="AG3" s="2659"/>
      <c r="AH3" s="2659"/>
      <c r="AI3" s="2659"/>
      <c r="AJ3" s="2659"/>
      <c r="AK3" s="2659"/>
      <c r="AL3" s="2659"/>
      <c r="AM3" s="2659"/>
      <c r="AN3" s="2659" t="s">
        <v>1430</v>
      </c>
      <c r="AO3" s="2659"/>
      <c r="AP3" s="2659"/>
      <c r="AQ3" s="2659"/>
      <c r="AR3" s="2659"/>
      <c r="AS3" s="2659"/>
      <c r="AT3" s="2659"/>
      <c r="AU3" s="2659"/>
      <c r="AV3" s="2659"/>
      <c r="AW3" s="2241"/>
      <c r="AX3" s="2241"/>
      <c r="AY3" s="2241"/>
    </row>
    <row r="4" spans="1:51" ht="62.25" customHeight="1" thickBot="1" x14ac:dyDescent="0.35"/>
    <row r="5" spans="1:51" s="2245" customFormat="1" ht="55.5" customHeight="1" x14ac:dyDescent="0.5">
      <c r="A5" s="2243"/>
      <c r="B5" s="2641" t="s">
        <v>738</v>
      </c>
      <c r="C5" s="2642"/>
      <c r="D5" s="2642"/>
      <c r="E5" s="2643"/>
      <c r="F5" s="2650" t="s">
        <v>741</v>
      </c>
      <c r="G5" s="2651"/>
      <c r="H5" s="2651"/>
      <c r="I5" s="2652"/>
      <c r="J5" s="2641" t="s">
        <v>1431</v>
      </c>
      <c r="K5" s="2642"/>
      <c r="L5" s="2642"/>
      <c r="M5" s="2643"/>
      <c r="N5" s="2362"/>
      <c r="O5" s="2641" t="s">
        <v>748</v>
      </c>
      <c r="P5" s="2642"/>
      <c r="Q5" s="2642"/>
      <c r="R5" s="2643"/>
      <c r="S5" s="2641" t="s">
        <v>750</v>
      </c>
      <c r="T5" s="2642"/>
      <c r="U5" s="2642"/>
      <c r="V5" s="2643"/>
      <c r="W5" s="2641" t="s">
        <v>752</v>
      </c>
      <c r="X5" s="2642"/>
      <c r="Y5" s="2642"/>
      <c r="Z5" s="2643"/>
      <c r="AA5" s="2363"/>
      <c r="AB5" s="2641" t="s">
        <v>309</v>
      </c>
      <c r="AC5" s="2642"/>
      <c r="AD5" s="2642"/>
      <c r="AE5" s="2643"/>
      <c r="AF5" s="2641" t="s">
        <v>758</v>
      </c>
      <c r="AG5" s="2642"/>
      <c r="AH5" s="2642"/>
      <c r="AI5" s="2643"/>
      <c r="AJ5" s="2641" t="s">
        <v>762</v>
      </c>
      <c r="AK5" s="2642"/>
      <c r="AL5" s="2642"/>
      <c r="AM5" s="2643"/>
      <c r="AN5" s="2363"/>
      <c r="AO5" s="2641" t="s">
        <v>764</v>
      </c>
      <c r="AP5" s="2642"/>
      <c r="AQ5" s="2642"/>
      <c r="AR5" s="2643"/>
      <c r="AS5" s="2641" t="s">
        <v>1432</v>
      </c>
      <c r="AT5" s="2642"/>
      <c r="AU5" s="2642"/>
      <c r="AV5" s="2643"/>
      <c r="AW5" s="2244"/>
      <c r="AX5" s="2244"/>
      <c r="AY5" s="2244"/>
    </row>
    <row r="6" spans="1:51" s="2245" customFormat="1" ht="54" customHeight="1" x14ac:dyDescent="0.5">
      <c r="A6" s="2246"/>
      <c r="B6" s="2644"/>
      <c r="C6" s="2645"/>
      <c r="D6" s="2645"/>
      <c r="E6" s="2646"/>
      <c r="F6" s="2653"/>
      <c r="G6" s="2654"/>
      <c r="H6" s="2654"/>
      <c r="I6" s="2655"/>
      <c r="J6" s="2644"/>
      <c r="K6" s="2645"/>
      <c r="L6" s="2645"/>
      <c r="M6" s="2646"/>
      <c r="N6" s="2364"/>
      <c r="O6" s="2644"/>
      <c r="P6" s="2645"/>
      <c r="Q6" s="2645"/>
      <c r="R6" s="2646"/>
      <c r="S6" s="2644"/>
      <c r="T6" s="2645"/>
      <c r="U6" s="2645"/>
      <c r="V6" s="2646"/>
      <c r="W6" s="2644"/>
      <c r="X6" s="2645"/>
      <c r="Y6" s="2645"/>
      <c r="Z6" s="2646"/>
      <c r="AA6" s="2365"/>
      <c r="AB6" s="2644"/>
      <c r="AC6" s="2645"/>
      <c r="AD6" s="2645"/>
      <c r="AE6" s="2646"/>
      <c r="AF6" s="2644"/>
      <c r="AG6" s="2645"/>
      <c r="AH6" s="2645"/>
      <c r="AI6" s="2646"/>
      <c r="AJ6" s="2644"/>
      <c r="AK6" s="2645"/>
      <c r="AL6" s="2645"/>
      <c r="AM6" s="2646"/>
      <c r="AN6" s="2365"/>
      <c r="AO6" s="2644"/>
      <c r="AP6" s="2645"/>
      <c r="AQ6" s="2645"/>
      <c r="AR6" s="2646"/>
      <c r="AS6" s="2644"/>
      <c r="AT6" s="2645"/>
      <c r="AU6" s="2645"/>
      <c r="AV6" s="2646"/>
      <c r="AW6" s="2247"/>
      <c r="AX6" s="2247"/>
      <c r="AY6" s="2247"/>
    </row>
    <row r="7" spans="1:51" s="2249" customFormat="1" ht="106.5" customHeight="1" thickBot="1" x14ac:dyDescent="0.3">
      <c r="A7" s="2248" t="s">
        <v>1410</v>
      </c>
      <c r="B7" s="2647"/>
      <c r="C7" s="2648"/>
      <c r="D7" s="2648"/>
      <c r="E7" s="2649"/>
      <c r="F7" s="2656"/>
      <c r="G7" s="2657"/>
      <c r="H7" s="2657"/>
      <c r="I7" s="2658"/>
      <c r="J7" s="2647"/>
      <c r="K7" s="2648"/>
      <c r="L7" s="2648"/>
      <c r="M7" s="2649"/>
      <c r="N7" s="2366" t="s">
        <v>1410</v>
      </c>
      <c r="O7" s="2647"/>
      <c r="P7" s="2648"/>
      <c r="Q7" s="2648"/>
      <c r="R7" s="2649"/>
      <c r="S7" s="2647"/>
      <c r="T7" s="2648"/>
      <c r="U7" s="2648"/>
      <c r="V7" s="2649"/>
      <c r="W7" s="2647"/>
      <c r="X7" s="2648"/>
      <c r="Y7" s="2648"/>
      <c r="Z7" s="2649"/>
      <c r="AA7" s="2366" t="s">
        <v>1410</v>
      </c>
      <c r="AB7" s="2647"/>
      <c r="AC7" s="2648"/>
      <c r="AD7" s="2648"/>
      <c r="AE7" s="2649"/>
      <c r="AF7" s="2647"/>
      <c r="AG7" s="2648"/>
      <c r="AH7" s="2648"/>
      <c r="AI7" s="2649"/>
      <c r="AJ7" s="2647"/>
      <c r="AK7" s="2648"/>
      <c r="AL7" s="2648"/>
      <c r="AM7" s="2649"/>
      <c r="AN7" s="2366" t="s">
        <v>1410</v>
      </c>
      <c r="AO7" s="2647"/>
      <c r="AP7" s="2648"/>
      <c r="AQ7" s="2648"/>
      <c r="AR7" s="2649"/>
      <c r="AS7" s="2647"/>
      <c r="AT7" s="2648"/>
      <c r="AU7" s="2648"/>
      <c r="AV7" s="2649"/>
      <c r="AW7" s="2247"/>
      <c r="AX7" s="2247"/>
      <c r="AY7" s="2247"/>
    </row>
    <row r="8" spans="1:51" s="2252" customFormat="1" ht="94.5" customHeight="1" thickBot="1" x14ac:dyDescent="0.55000000000000004">
      <c r="A8" s="2250">
        <v>2018</v>
      </c>
      <c r="B8" s="2367" t="s">
        <v>1413</v>
      </c>
      <c r="C8" s="2367" t="s">
        <v>1433</v>
      </c>
      <c r="D8" s="2367" t="s">
        <v>166</v>
      </c>
      <c r="E8" s="2367" t="s">
        <v>1434</v>
      </c>
      <c r="F8" s="2367" t="s">
        <v>1413</v>
      </c>
      <c r="G8" s="2367" t="s">
        <v>1433</v>
      </c>
      <c r="H8" s="2367" t="s">
        <v>166</v>
      </c>
      <c r="I8" s="2367" t="s">
        <v>1434</v>
      </c>
      <c r="J8" s="2367" t="s">
        <v>1413</v>
      </c>
      <c r="K8" s="2367" t="s">
        <v>1433</v>
      </c>
      <c r="L8" s="2367" t="s">
        <v>166</v>
      </c>
      <c r="M8" s="2367" t="s">
        <v>1434</v>
      </c>
      <c r="N8" s="2368">
        <v>2018</v>
      </c>
      <c r="O8" s="2367" t="s">
        <v>1413</v>
      </c>
      <c r="P8" s="2367" t="s">
        <v>1433</v>
      </c>
      <c r="Q8" s="2367" t="s">
        <v>166</v>
      </c>
      <c r="R8" s="2367" t="s">
        <v>1434</v>
      </c>
      <c r="S8" s="2367" t="s">
        <v>1413</v>
      </c>
      <c r="T8" s="2367" t="s">
        <v>1433</v>
      </c>
      <c r="U8" s="2367" t="s">
        <v>166</v>
      </c>
      <c r="V8" s="2367" t="s">
        <v>1434</v>
      </c>
      <c r="W8" s="2367" t="s">
        <v>1413</v>
      </c>
      <c r="X8" s="2367" t="s">
        <v>1433</v>
      </c>
      <c r="Y8" s="2367" t="s">
        <v>166</v>
      </c>
      <c r="Z8" s="2367" t="s">
        <v>1434</v>
      </c>
      <c r="AA8" s="2368">
        <v>2018</v>
      </c>
      <c r="AB8" s="2367" t="s">
        <v>1413</v>
      </c>
      <c r="AC8" s="2367" t="s">
        <v>1433</v>
      </c>
      <c r="AD8" s="2367" t="s">
        <v>166</v>
      </c>
      <c r="AE8" s="2367" t="s">
        <v>1434</v>
      </c>
      <c r="AF8" s="2367" t="s">
        <v>1413</v>
      </c>
      <c r="AG8" s="2367" t="s">
        <v>1433</v>
      </c>
      <c r="AH8" s="2367" t="s">
        <v>166</v>
      </c>
      <c r="AI8" s="2367" t="s">
        <v>1434</v>
      </c>
      <c r="AJ8" s="2367" t="s">
        <v>1413</v>
      </c>
      <c r="AK8" s="2367" t="s">
        <v>1433</v>
      </c>
      <c r="AL8" s="2367" t="s">
        <v>166</v>
      </c>
      <c r="AM8" s="2367" t="s">
        <v>1434</v>
      </c>
      <c r="AN8" s="2368">
        <v>2018</v>
      </c>
      <c r="AO8" s="2367" t="s">
        <v>1413</v>
      </c>
      <c r="AP8" s="2367" t="s">
        <v>1433</v>
      </c>
      <c r="AQ8" s="2367" t="s">
        <v>166</v>
      </c>
      <c r="AR8" s="2367" t="s">
        <v>1434</v>
      </c>
      <c r="AS8" s="2367" t="s">
        <v>1413</v>
      </c>
      <c r="AT8" s="2367" t="s">
        <v>1433</v>
      </c>
      <c r="AU8" s="2367" t="s">
        <v>166</v>
      </c>
      <c r="AV8" s="2367" t="s">
        <v>1434</v>
      </c>
      <c r="AW8" s="2251" t="s">
        <v>1435</v>
      </c>
      <c r="AX8" s="2251" t="s">
        <v>1436</v>
      </c>
      <c r="AY8" s="2251" t="s">
        <v>166</v>
      </c>
    </row>
    <row r="9" spans="1:51" s="2254" customFormat="1" ht="45.75" customHeight="1" x14ac:dyDescent="0.5">
      <c r="A9" s="2253" t="s">
        <v>1423</v>
      </c>
      <c r="B9" s="2346"/>
      <c r="C9" s="2346"/>
      <c r="D9" s="2346"/>
      <c r="E9" s="2346"/>
      <c r="F9" s="2346"/>
      <c r="G9" s="2346"/>
      <c r="H9" s="2346"/>
      <c r="I9" s="2346"/>
      <c r="J9" s="2346"/>
      <c r="K9" s="2346"/>
      <c r="L9" s="2346"/>
      <c r="M9" s="2346"/>
      <c r="N9" s="2369" t="s">
        <v>1423</v>
      </c>
      <c r="O9" s="2346"/>
      <c r="P9" s="2346"/>
      <c r="Q9" s="2346"/>
      <c r="R9" s="2346"/>
      <c r="S9" s="2346"/>
      <c r="T9" s="2346"/>
      <c r="U9" s="2346"/>
      <c r="V9" s="2346"/>
      <c r="W9" s="2346"/>
      <c r="X9" s="2346"/>
      <c r="Y9" s="2346"/>
      <c r="Z9" s="2346"/>
      <c r="AA9" s="2369" t="s">
        <v>1423</v>
      </c>
      <c r="AB9" s="2369"/>
      <c r="AC9" s="2369"/>
      <c r="AD9" s="2369"/>
      <c r="AE9" s="2369"/>
      <c r="AF9" s="2369"/>
      <c r="AG9" s="2369"/>
      <c r="AH9" s="2369"/>
      <c r="AI9" s="2369"/>
      <c r="AJ9" s="2346"/>
      <c r="AK9" s="2346"/>
      <c r="AL9" s="2346"/>
      <c r="AM9" s="2346"/>
      <c r="AN9" s="2369" t="s">
        <v>1423</v>
      </c>
      <c r="AO9" s="2369"/>
      <c r="AP9" s="2369"/>
      <c r="AQ9" s="2369"/>
      <c r="AR9" s="2369"/>
      <c r="AS9" s="2369"/>
      <c r="AT9" s="2369"/>
      <c r="AU9" s="2369"/>
      <c r="AV9" s="2369"/>
      <c r="AW9" s="2253"/>
      <c r="AX9" s="2253"/>
      <c r="AY9" s="2253"/>
    </row>
    <row r="10" spans="1:51" s="2254" customFormat="1" ht="49.5" customHeight="1" x14ac:dyDescent="0.5">
      <c r="A10" s="2255" t="s">
        <v>1307</v>
      </c>
      <c r="B10" s="2329">
        <f>[4]int.kiadások2018!B9</f>
        <v>118257</v>
      </c>
      <c r="C10" s="2329">
        <f>'[5]int.kiadások RM V'!D10</f>
        <v>117731</v>
      </c>
      <c r="D10" s="2329">
        <v>112552</v>
      </c>
      <c r="E10" s="2330">
        <f t="shared" ref="E10:E30" si="0">D10/C10</f>
        <v>0.95600988694566424</v>
      </c>
      <c r="F10" s="2329">
        <f>[4]int.kiadások2018!C9</f>
        <v>25378</v>
      </c>
      <c r="G10" s="2329">
        <f>'[5]int.kiadások RM V'!G10</f>
        <v>25360</v>
      </c>
      <c r="H10" s="2329">
        <v>24353</v>
      </c>
      <c r="I10" s="2330">
        <f t="shared" ref="I10:I30" si="1">H10/G10</f>
        <v>0.96029179810725551</v>
      </c>
      <c r="J10" s="2329">
        <f>[4]int.kiadások2018!D9</f>
        <v>3771</v>
      </c>
      <c r="K10" s="2329">
        <f>'[5]int.kiadások RM V'!J10</f>
        <v>4826</v>
      </c>
      <c r="L10" s="2329">
        <v>4174</v>
      </c>
      <c r="M10" s="2330">
        <f t="shared" ref="M10:M30" si="2">L10/K10</f>
        <v>0.86489846663903858</v>
      </c>
      <c r="N10" s="2331" t="s">
        <v>1307</v>
      </c>
      <c r="O10" s="2329">
        <f>[4]int.kiadások2018!E9</f>
        <v>0</v>
      </c>
      <c r="P10" s="2329">
        <f>'[5]int.kiadások RM V'!N10</f>
        <v>0</v>
      </c>
      <c r="Q10" s="2329"/>
      <c r="R10" s="2330"/>
      <c r="S10" s="2329">
        <f>[4]int.kiadások2018!F9</f>
        <v>0</v>
      </c>
      <c r="T10" s="2329">
        <f>'[5]int.kiadások RM V'!Q10</f>
        <v>0</v>
      </c>
      <c r="U10" s="2329"/>
      <c r="V10" s="2330"/>
      <c r="W10" s="2329">
        <f t="shared" ref="W10:Y27" si="3">B10+F10+J10+O10+S10</f>
        <v>147406</v>
      </c>
      <c r="X10" s="2329">
        <f t="shared" si="3"/>
        <v>147917</v>
      </c>
      <c r="Y10" s="2329">
        <f t="shared" si="3"/>
        <v>141079</v>
      </c>
      <c r="Z10" s="2330">
        <f t="shared" ref="Z10:Z30" si="4">Y10/X10</f>
        <v>0.95377137178282412</v>
      </c>
      <c r="AA10" s="2331" t="s">
        <v>1307</v>
      </c>
      <c r="AB10" s="2329">
        <f>[4]int.kiadások2018!I9</f>
        <v>0</v>
      </c>
      <c r="AC10" s="2329">
        <f>'[5]int.kiadások RM V'!X10</f>
        <v>6951</v>
      </c>
      <c r="AD10" s="2329">
        <v>550</v>
      </c>
      <c r="AE10" s="2330">
        <f t="shared" ref="AE10:AE30" si="5">AD10/AC10</f>
        <v>7.9125305711408425E-2</v>
      </c>
      <c r="AF10" s="2329">
        <f>[4]int.kiadások2018!J9</f>
        <v>0</v>
      </c>
      <c r="AG10" s="2329">
        <f>'[5]int.kiadások RM V'!AA10</f>
        <v>0</v>
      </c>
      <c r="AH10" s="2329"/>
      <c r="AI10" s="2330"/>
      <c r="AJ10" s="2329">
        <f>[4]int.kiadások2018!K9</f>
        <v>0</v>
      </c>
      <c r="AK10" s="2329">
        <f>'[5]int.kiadások RM V'!AD10</f>
        <v>0</v>
      </c>
      <c r="AL10" s="2329"/>
      <c r="AM10" s="2330"/>
      <c r="AN10" s="2331" t="s">
        <v>1307</v>
      </c>
      <c r="AO10" s="2329">
        <f t="shared" ref="AO10:AQ27" si="6">AB10+AF10+AJ10</f>
        <v>0</v>
      </c>
      <c r="AP10" s="2329">
        <f t="shared" si="6"/>
        <v>6951</v>
      </c>
      <c r="AQ10" s="2329">
        <f t="shared" si="6"/>
        <v>550</v>
      </c>
      <c r="AR10" s="2330">
        <f t="shared" ref="AR10:AR30" si="7">AQ10/AP10</f>
        <v>7.9125305711408425E-2</v>
      </c>
      <c r="AS10" s="2329">
        <f t="shared" ref="AS10:AU27" si="8">W10+AO10</f>
        <v>147406</v>
      </c>
      <c r="AT10" s="2329">
        <f t="shared" si="8"/>
        <v>154868</v>
      </c>
      <c r="AU10" s="2329">
        <f t="shared" si="8"/>
        <v>141629</v>
      </c>
      <c r="AV10" s="2330">
        <f t="shared" ref="AV10:AV30" si="9">AU10/AT10</f>
        <v>0.9145142960456647</v>
      </c>
      <c r="AW10" s="2256">
        <f>AS10-'[6]éves besz.bevételei2018'!BD10</f>
        <v>0</v>
      </c>
      <c r="AX10" s="2256">
        <f>AT10-'[6]éves besz.bevételei2018'!BE10</f>
        <v>0</v>
      </c>
      <c r="AY10" s="2256">
        <f>AU10-'[6]éves besz.bevételei2018'!BF10</f>
        <v>-512</v>
      </c>
    </row>
    <row r="11" spans="1:51" s="2254" customFormat="1" ht="49.5" customHeight="1" x14ac:dyDescent="0.5">
      <c r="A11" s="2255" t="s">
        <v>1308</v>
      </c>
      <c r="B11" s="2329">
        <f>[4]int.kiadások2018!B10</f>
        <v>79397</v>
      </c>
      <c r="C11" s="2329">
        <f>'[5]int.kiadások RM V'!D11</f>
        <v>80797</v>
      </c>
      <c r="D11" s="2329">
        <v>80010</v>
      </c>
      <c r="E11" s="2330">
        <f t="shared" si="0"/>
        <v>0.99025953933933186</v>
      </c>
      <c r="F11" s="2329">
        <f>[4]int.kiadások2018!C10</f>
        <v>15625</v>
      </c>
      <c r="G11" s="2329">
        <f>'[5]int.kiadások RM V'!G11</f>
        <v>16008</v>
      </c>
      <c r="H11" s="2329">
        <v>15851</v>
      </c>
      <c r="I11" s="2330">
        <f t="shared" si="1"/>
        <v>0.99019240379810092</v>
      </c>
      <c r="J11" s="2329">
        <f>[4]int.kiadások2018!D10</f>
        <v>2868</v>
      </c>
      <c r="K11" s="2329">
        <f>'[5]int.kiadások RM V'!J11</f>
        <v>3326</v>
      </c>
      <c r="L11" s="2329">
        <v>3193</v>
      </c>
      <c r="M11" s="2330">
        <f t="shared" si="2"/>
        <v>0.96001202645820805</v>
      </c>
      <c r="N11" s="2331" t="s">
        <v>1308</v>
      </c>
      <c r="O11" s="2329">
        <f>[4]int.kiadások2018!E10</f>
        <v>0</v>
      </c>
      <c r="P11" s="2329">
        <f>'[5]int.kiadások RM V'!N11</f>
        <v>0</v>
      </c>
      <c r="Q11" s="2329"/>
      <c r="R11" s="2330"/>
      <c r="S11" s="2329">
        <f>[4]int.kiadások2018!F10</f>
        <v>0</v>
      </c>
      <c r="T11" s="2329">
        <f>'[5]int.kiadások RM V'!Q11</f>
        <v>0</v>
      </c>
      <c r="U11" s="2329"/>
      <c r="V11" s="2330"/>
      <c r="W11" s="2329">
        <f t="shared" si="3"/>
        <v>97890</v>
      </c>
      <c r="X11" s="2329">
        <f t="shared" si="3"/>
        <v>100131</v>
      </c>
      <c r="Y11" s="2329">
        <f t="shared" si="3"/>
        <v>99054</v>
      </c>
      <c r="Z11" s="2330">
        <f t="shared" si="4"/>
        <v>0.98924409024178328</v>
      </c>
      <c r="AA11" s="2331" t="s">
        <v>1308</v>
      </c>
      <c r="AB11" s="2329">
        <f>[4]int.kiadások2018!I10</f>
        <v>0</v>
      </c>
      <c r="AC11" s="2329">
        <f>'[5]int.kiadások RM V'!X11</f>
        <v>1151</v>
      </c>
      <c r="AD11" s="2329">
        <f>1150+1</f>
        <v>1151</v>
      </c>
      <c r="AE11" s="2330">
        <f t="shared" si="5"/>
        <v>1</v>
      </c>
      <c r="AF11" s="2329">
        <f>[4]int.kiadások2018!J10</f>
        <v>0</v>
      </c>
      <c r="AG11" s="2329">
        <f>'[5]int.kiadások RM V'!AA11</f>
        <v>4674</v>
      </c>
      <c r="AH11" s="2329">
        <v>4673</v>
      </c>
      <c r="AI11" s="2330">
        <f>AH11/AG11</f>
        <v>0.99978605049208391</v>
      </c>
      <c r="AJ11" s="2329">
        <f>[4]int.kiadások2018!K10</f>
        <v>0</v>
      </c>
      <c r="AK11" s="2329">
        <f>'[5]int.kiadások RM V'!AD11</f>
        <v>0</v>
      </c>
      <c r="AL11" s="2329"/>
      <c r="AM11" s="2330"/>
      <c r="AN11" s="2331" t="s">
        <v>1308</v>
      </c>
      <c r="AO11" s="2329">
        <f t="shared" si="6"/>
        <v>0</v>
      </c>
      <c r="AP11" s="2329">
        <f t="shared" si="6"/>
        <v>5825</v>
      </c>
      <c r="AQ11" s="2329">
        <f t="shared" si="6"/>
        <v>5824</v>
      </c>
      <c r="AR11" s="2330">
        <f t="shared" si="7"/>
        <v>0.99982832618025752</v>
      </c>
      <c r="AS11" s="2329">
        <f t="shared" si="8"/>
        <v>97890</v>
      </c>
      <c r="AT11" s="2329">
        <f t="shared" si="8"/>
        <v>105956</v>
      </c>
      <c r="AU11" s="2329">
        <f t="shared" si="8"/>
        <v>104878</v>
      </c>
      <c r="AV11" s="2330">
        <f t="shared" si="9"/>
        <v>0.98982596549511115</v>
      </c>
      <c r="AW11" s="2256">
        <f>AS11-'[6]éves besz.bevételei2018'!BD11</f>
        <v>0</v>
      </c>
      <c r="AX11" s="2256">
        <f>AT11-'[6]éves besz.bevételei2018'!BE11</f>
        <v>0</v>
      </c>
      <c r="AY11" s="2256">
        <f>AU11-'[6]éves besz.bevételei2018'!BF11</f>
        <v>-467</v>
      </c>
    </row>
    <row r="12" spans="1:51" s="2254" customFormat="1" ht="49.5" customHeight="1" x14ac:dyDescent="0.5">
      <c r="A12" s="2255" t="s">
        <v>1309</v>
      </c>
      <c r="B12" s="2329">
        <f>[4]int.kiadások2018!B11</f>
        <v>72381</v>
      </c>
      <c r="C12" s="2329">
        <f>'[5]int.kiadások RM V'!D12</f>
        <v>72658</v>
      </c>
      <c r="D12" s="2329">
        <v>70458</v>
      </c>
      <c r="E12" s="2330">
        <f t="shared" si="0"/>
        <v>0.96972115940433268</v>
      </c>
      <c r="F12" s="2329">
        <f>[4]int.kiadások2018!C11</f>
        <v>14048</v>
      </c>
      <c r="G12" s="2329">
        <f>'[5]int.kiadások RM V'!G12</f>
        <v>14365</v>
      </c>
      <c r="H12" s="2329">
        <v>13992</v>
      </c>
      <c r="I12" s="2330">
        <f t="shared" si="1"/>
        <v>0.97403411068569434</v>
      </c>
      <c r="J12" s="2329">
        <f>[4]int.kiadások2018!D11</f>
        <v>3192</v>
      </c>
      <c r="K12" s="2329">
        <f>'[5]int.kiadások RM V'!J12</f>
        <v>5571</v>
      </c>
      <c r="L12" s="2329">
        <v>5063</v>
      </c>
      <c r="M12" s="2330">
        <f t="shared" si="2"/>
        <v>0.90881349847424164</v>
      </c>
      <c r="N12" s="2331" t="s">
        <v>1309</v>
      </c>
      <c r="O12" s="2329">
        <f>[4]int.kiadások2018!E11</f>
        <v>0</v>
      </c>
      <c r="P12" s="2329">
        <f>'[5]int.kiadások RM V'!N12</f>
        <v>0</v>
      </c>
      <c r="Q12" s="2329"/>
      <c r="R12" s="2330"/>
      <c r="S12" s="2329">
        <f>[4]int.kiadások2018!F11</f>
        <v>0</v>
      </c>
      <c r="T12" s="2329">
        <f>'[5]int.kiadások RM V'!Q12</f>
        <v>0</v>
      </c>
      <c r="U12" s="2329"/>
      <c r="V12" s="2330"/>
      <c r="W12" s="2329">
        <f t="shared" si="3"/>
        <v>89621</v>
      </c>
      <c r="X12" s="2329">
        <f t="shared" si="3"/>
        <v>92594</v>
      </c>
      <c r="Y12" s="2329">
        <f t="shared" si="3"/>
        <v>89513</v>
      </c>
      <c r="Z12" s="2330">
        <f t="shared" si="4"/>
        <v>0.9667257057692723</v>
      </c>
      <c r="AA12" s="2331" t="s">
        <v>1309</v>
      </c>
      <c r="AB12" s="2329">
        <f>[4]int.kiadások2018!I11</f>
        <v>0</v>
      </c>
      <c r="AC12" s="2329">
        <f>'[5]int.kiadások RM V'!X12</f>
        <v>1284</v>
      </c>
      <c r="AD12" s="2329">
        <v>1080</v>
      </c>
      <c r="AE12" s="2330">
        <f t="shared" si="5"/>
        <v>0.84112149532710279</v>
      </c>
      <c r="AF12" s="2329">
        <f>[4]int.kiadások2018!J11</f>
        <v>0</v>
      </c>
      <c r="AG12" s="2329">
        <f>'[5]int.kiadások RM V'!AA12</f>
        <v>3077</v>
      </c>
      <c r="AH12" s="2329"/>
      <c r="AI12" s="2330">
        <f>AH12/AG12</f>
        <v>0</v>
      </c>
      <c r="AJ12" s="2329">
        <f>[4]int.kiadások2018!K11</f>
        <v>0</v>
      </c>
      <c r="AK12" s="2329">
        <f>'[5]int.kiadások RM V'!AD12</f>
        <v>0</v>
      </c>
      <c r="AL12" s="2329"/>
      <c r="AM12" s="2330"/>
      <c r="AN12" s="2331" t="s">
        <v>1309</v>
      </c>
      <c r="AO12" s="2329">
        <f t="shared" si="6"/>
        <v>0</v>
      </c>
      <c r="AP12" s="2329">
        <f t="shared" si="6"/>
        <v>4361</v>
      </c>
      <c r="AQ12" s="2329">
        <f t="shared" si="6"/>
        <v>1080</v>
      </c>
      <c r="AR12" s="2330">
        <f t="shared" si="7"/>
        <v>0.24764962164641138</v>
      </c>
      <c r="AS12" s="2329">
        <f t="shared" si="8"/>
        <v>89621</v>
      </c>
      <c r="AT12" s="2329">
        <f t="shared" si="8"/>
        <v>96955</v>
      </c>
      <c r="AU12" s="2329">
        <f t="shared" si="8"/>
        <v>90593</v>
      </c>
      <c r="AV12" s="2330">
        <f t="shared" si="9"/>
        <v>0.93438192976122947</v>
      </c>
      <c r="AW12" s="2256">
        <f>AS12-'[6]éves besz.bevételei2018'!BD12</f>
        <v>0</v>
      </c>
      <c r="AX12" s="2256">
        <f>AT12-'[6]éves besz.bevételei2018'!BE12</f>
        <v>0</v>
      </c>
      <c r="AY12" s="2256">
        <f>AU12-'[6]éves besz.bevételei2018'!BF12</f>
        <v>-423</v>
      </c>
    </row>
    <row r="13" spans="1:51" s="2254" customFormat="1" ht="49.5" customHeight="1" x14ac:dyDescent="0.5">
      <c r="A13" s="2255" t="s">
        <v>1310</v>
      </c>
      <c r="B13" s="2329">
        <f>[4]int.kiadások2018!B12</f>
        <v>99809</v>
      </c>
      <c r="C13" s="2329">
        <f>'[5]int.kiadások RM V'!D13</f>
        <v>97795</v>
      </c>
      <c r="D13" s="2329">
        <v>96807</v>
      </c>
      <c r="E13" s="2330">
        <f t="shared" si="0"/>
        <v>0.98989723400991869</v>
      </c>
      <c r="F13" s="2329">
        <f>[4]int.kiadások2018!C12</f>
        <v>21321</v>
      </c>
      <c r="G13" s="2329">
        <f>'[5]int.kiadások RM V'!G13</f>
        <v>20917</v>
      </c>
      <c r="H13" s="2329">
        <v>19633</v>
      </c>
      <c r="I13" s="2330">
        <f t="shared" si="1"/>
        <v>0.9386145240713295</v>
      </c>
      <c r="J13" s="2329">
        <f>[4]int.kiadások2018!D12</f>
        <v>3364</v>
      </c>
      <c r="K13" s="2329">
        <f>'[5]int.kiadások RM V'!J13</f>
        <v>4389</v>
      </c>
      <c r="L13" s="2329">
        <v>4025</v>
      </c>
      <c r="M13" s="2330">
        <f t="shared" si="2"/>
        <v>0.91706539074960125</v>
      </c>
      <c r="N13" s="2331" t="s">
        <v>1310</v>
      </c>
      <c r="O13" s="2329">
        <f>[4]int.kiadások2018!E12</f>
        <v>0</v>
      </c>
      <c r="P13" s="2329">
        <f>'[5]int.kiadások RM V'!N13</f>
        <v>0</v>
      </c>
      <c r="Q13" s="2329"/>
      <c r="R13" s="2330"/>
      <c r="S13" s="2329">
        <f>[4]int.kiadások2018!F12</f>
        <v>0</v>
      </c>
      <c r="T13" s="2329">
        <f>'[5]int.kiadások RM V'!Q13</f>
        <v>0</v>
      </c>
      <c r="U13" s="2329"/>
      <c r="V13" s="2330"/>
      <c r="W13" s="2329">
        <f t="shared" si="3"/>
        <v>124494</v>
      </c>
      <c r="X13" s="2329">
        <f t="shared" si="3"/>
        <v>123101</v>
      </c>
      <c r="Y13" s="2329">
        <f t="shared" si="3"/>
        <v>120465</v>
      </c>
      <c r="Z13" s="2330">
        <f t="shared" si="4"/>
        <v>0.9785866889789685</v>
      </c>
      <c r="AA13" s="2331" t="s">
        <v>1310</v>
      </c>
      <c r="AB13" s="2329">
        <f>[4]int.kiadások2018!I12</f>
        <v>0</v>
      </c>
      <c r="AC13" s="2329">
        <f>'[5]int.kiadások RM V'!X13</f>
        <v>8757</v>
      </c>
      <c r="AD13" s="2329">
        <v>8756</v>
      </c>
      <c r="AE13" s="2330">
        <f t="shared" si="5"/>
        <v>0.99988580564120133</v>
      </c>
      <c r="AF13" s="2329">
        <f>[4]int.kiadások2018!J12</f>
        <v>0</v>
      </c>
      <c r="AG13" s="2329">
        <f>'[5]int.kiadások RM V'!AA13</f>
        <v>4106</v>
      </c>
      <c r="AH13" s="2329">
        <v>4106</v>
      </c>
      <c r="AI13" s="2330">
        <f>AH13/AG13</f>
        <v>1</v>
      </c>
      <c r="AJ13" s="2329">
        <f>[4]int.kiadások2018!K12</f>
        <v>0</v>
      </c>
      <c r="AK13" s="2329">
        <f>'[5]int.kiadások RM V'!AD13</f>
        <v>0</v>
      </c>
      <c r="AL13" s="2329"/>
      <c r="AM13" s="2330"/>
      <c r="AN13" s="2331" t="s">
        <v>1310</v>
      </c>
      <c r="AO13" s="2329">
        <f t="shared" si="6"/>
        <v>0</v>
      </c>
      <c r="AP13" s="2329">
        <f t="shared" si="6"/>
        <v>12863</v>
      </c>
      <c r="AQ13" s="2329">
        <f t="shared" si="6"/>
        <v>12862</v>
      </c>
      <c r="AR13" s="2330">
        <f t="shared" si="7"/>
        <v>0.9999222576381871</v>
      </c>
      <c r="AS13" s="2329">
        <f t="shared" si="8"/>
        <v>124494</v>
      </c>
      <c r="AT13" s="2329">
        <f t="shared" si="8"/>
        <v>135964</v>
      </c>
      <c r="AU13" s="2329">
        <f t="shared" si="8"/>
        <v>133327</v>
      </c>
      <c r="AV13" s="2330">
        <f t="shared" si="9"/>
        <v>0.98060516018946187</v>
      </c>
      <c r="AW13" s="2256">
        <f>AS13-'[6]éves besz.bevételei2018'!BD13</f>
        <v>0</v>
      </c>
      <c r="AX13" s="2256">
        <f>AT13-'[6]éves besz.bevételei2018'!BE13</f>
        <v>0</v>
      </c>
      <c r="AY13" s="2256">
        <f>AU13-'[6]éves besz.bevételei2018'!BF13</f>
        <v>-623</v>
      </c>
    </row>
    <row r="14" spans="1:51" s="2254" customFormat="1" ht="49.5" customHeight="1" x14ac:dyDescent="0.5">
      <c r="A14" s="2255" t="s">
        <v>1311</v>
      </c>
      <c r="B14" s="2329">
        <f>[4]int.kiadások2018!B13</f>
        <v>84752</v>
      </c>
      <c r="C14" s="2329">
        <f>'[5]int.kiadások RM V'!D14</f>
        <v>85766</v>
      </c>
      <c r="D14" s="2329">
        <v>83902</v>
      </c>
      <c r="E14" s="2330">
        <f t="shared" si="0"/>
        <v>0.97826644591096701</v>
      </c>
      <c r="F14" s="2329">
        <f>[4]int.kiadások2018!C13</f>
        <v>18190</v>
      </c>
      <c r="G14" s="2329">
        <f>'[5]int.kiadások RM V'!G14</f>
        <v>18683</v>
      </c>
      <c r="H14" s="2329">
        <v>18374</v>
      </c>
      <c r="I14" s="2330">
        <f t="shared" si="1"/>
        <v>0.98346090028368038</v>
      </c>
      <c r="J14" s="2329">
        <f>[4]int.kiadások2018!D13</f>
        <v>3133</v>
      </c>
      <c r="K14" s="2329">
        <f>'[5]int.kiadások RM V'!J14</f>
        <v>7000</v>
      </c>
      <c r="L14" s="2329">
        <v>6260</v>
      </c>
      <c r="M14" s="2330">
        <f t="shared" si="2"/>
        <v>0.89428571428571424</v>
      </c>
      <c r="N14" s="2331" t="s">
        <v>1311</v>
      </c>
      <c r="O14" s="2329">
        <f>[4]int.kiadások2018!E13</f>
        <v>0</v>
      </c>
      <c r="P14" s="2329">
        <f>'[5]int.kiadások RM V'!N14</f>
        <v>0</v>
      </c>
      <c r="Q14" s="2329"/>
      <c r="R14" s="2330"/>
      <c r="S14" s="2329">
        <f>[4]int.kiadások2018!F13</f>
        <v>0</v>
      </c>
      <c r="T14" s="2329">
        <f>'[5]int.kiadások RM V'!Q14</f>
        <v>0</v>
      </c>
      <c r="U14" s="2329"/>
      <c r="V14" s="2330"/>
      <c r="W14" s="2329">
        <f t="shared" si="3"/>
        <v>106075</v>
      </c>
      <c r="X14" s="2329">
        <f t="shared" si="3"/>
        <v>111449</v>
      </c>
      <c r="Y14" s="2329">
        <f t="shared" si="3"/>
        <v>108536</v>
      </c>
      <c r="Z14" s="2330">
        <f t="shared" si="4"/>
        <v>0.97386248418559163</v>
      </c>
      <c r="AA14" s="2331" t="s">
        <v>1311</v>
      </c>
      <c r="AB14" s="2329">
        <f>[4]int.kiadások2018!I13</f>
        <v>0</v>
      </c>
      <c r="AC14" s="2329">
        <f>'[5]int.kiadások RM V'!X14</f>
        <v>2944</v>
      </c>
      <c r="AD14" s="2329">
        <v>2943</v>
      </c>
      <c r="AE14" s="2330">
        <f t="shared" si="5"/>
        <v>0.99966032608695654</v>
      </c>
      <c r="AF14" s="2329">
        <f>[4]int.kiadások2018!J13</f>
        <v>0</v>
      </c>
      <c r="AG14" s="2329">
        <f>'[5]int.kiadások RM V'!AA14</f>
        <v>2154</v>
      </c>
      <c r="AH14" s="2329">
        <f>1236+1</f>
        <v>1237</v>
      </c>
      <c r="AI14" s="2330">
        <f>AH14/AG14</f>
        <v>0.57428040854224693</v>
      </c>
      <c r="AJ14" s="2329">
        <f>[4]int.kiadások2018!K13</f>
        <v>0</v>
      </c>
      <c r="AK14" s="2329">
        <f>'[5]int.kiadások RM V'!AD14</f>
        <v>0</v>
      </c>
      <c r="AL14" s="2329"/>
      <c r="AM14" s="2330"/>
      <c r="AN14" s="2331" t="s">
        <v>1311</v>
      </c>
      <c r="AO14" s="2329">
        <f t="shared" si="6"/>
        <v>0</v>
      </c>
      <c r="AP14" s="2329">
        <f t="shared" si="6"/>
        <v>5098</v>
      </c>
      <c r="AQ14" s="2329">
        <f t="shared" si="6"/>
        <v>4180</v>
      </c>
      <c r="AR14" s="2330">
        <f t="shared" si="7"/>
        <v>0.81992938407218519</v>
      </c>
      <c r="AS14" s="2329">
        <f t="shared" si="8"/>
        <v>106075</v>
      </c>
      <c r="AT14" s="2329">
        <f t="shared" si="8"/>
        <v>116547</v>
      </c>
      <c r="AU14" s="2329">
        <f t="shared" si="8"/>
        <v>112716</v>
      </c>
      <c r="AV14" s="2330">
        <f t="shared" si="9"/>
        <v>0.96712914103323122</v>
      </c>
      <c r="AW14" s="2256">
        <f>AS14-'[6]éves besz.bevételei2018'!BD14</f>
        <v>0</v>
      </c>
      <c r="AX14" s="2256">
        <f>AT14-'[6]éves besz.bevételei2018'!BE14</f>
        <v>0</v>
      </c>
      <c r="AY14" s="2256">
        <f>AU14-'[6]éves besz.bevételei2018'!BF14</f>
        <v>-382</v>
      </c>
    </row>
    <row r="15" spans="1:51" s="2254" customFormat="1" ht="49.5" customHeight="1" x14ac:dyDescent="0.5">
      <c r="A15" s="2255" t="s">
        <v>1312</v>
      </c>
      <c r="B15" s="2329">
        <f>[4]int.kiadások2018!B14</f>
        <v>78660</v>
      </c>
      <c r="C15" s="2329">
        <f>'[5]int.kiadások RM V'!D15</f>
        <v>81032</v>
      </c>
      <c r="D15" s="2329">
        <v>77301</v>
      </c>
      <c r="E15" s="2330">
        <f t="shared" si="0"/>
        <v>0.95395646164478232</v>
      </c>
      <c r="F15" s="2329">
        <f>[4]int.kiadások2018!C14</f>
        <v>15501</v>
      </c>
      <c r="G15" s="2329">
        <f>'[5]int.kiadások RM V'!G15</f>
        <v>16164</v>
      </c>
      <c r="H15" s="2329">
        <v>15438</v>
      </c>
      <c r="I15" s="2330">
        <f t="shared" si="1"/>
        <v>0.95508537490720113</v>
      </c>
      <c r="J15" s="2329">
        <f>[4]int.kiadások2018!D14</f>
        <v>2986</v>
      </c>
      <c r="K15" s="2329">
        <f>'[5]int.kiadások RM V'!J15</f>
        <v>5410</v>
      </c>
      <c r="L15" s="2329">
        <v>4314</v>
      </c>
      <c r="M15" s="2330">
        <f t="shared" si="2"/>
        <v>0.79741219963031418</v>
      </c>
      <c r="N15" s="2331" t="s">
        <v>1312</v>
      </c>
      <c r="O15" s="2329">
        <f>[4]int.kiadások2018!E14</f>
        <v>0</v>
      </c>
      <c r="P15" s="2329">
        <f>'[5]int.kiadások RM V'!N15</f>
        <v>0</v>
      </c>
      <c r="Q15" s="2329"/>
      <c r="R15" s="2330"/>
      <c r="S15" s="2329">
        <f>[4]int.kiadások2018!F14</f>
        <v>0</v>
      </c>
      <c r="T15" s="2329">
        <f>'[5]int.kiadások RM V'!Q15</f>
        <v>0</v>
      </c>
      <c r="U15" s="2329"/>
      <c r="V15" s="2330"/>
      <c r="W15" s="2329">
        <f t="shared" si="3"/>
        <v>97147</v>
      </c>
      <c r="X15" s="2329">
        <f t="shared" si="3"/>
        <v>102606</v>
      </c>
      <c r="Y15" s="2329">
        <f t="shared" si="3"/>
        <v>97053</v>
      </c>
      <c r="Z15" s="2330">
        <f t="shared" si="4"/>
        <v>0.94588035787380853</v>
      </c>
      <c r="AA15" s="2331" t="s">
        <v>1312</v>
      </c>
      <c r="AB15" s="2329">
        <f>[4]int.kiadások2018!I14</f>
        <v>0</v>
      </c>
      <c r="AC15" s="2329">
        <f>'[5]int.kiadások RM V'!X15</f>
        <v>767</v>
      </c>
      <c r="AD15" s="2329">
        <v>766</v>
      </c>
      <c r="AE15" s="2330">
        <f t="shared" si="5"/>
        <v>0.99869621903520212</v>
      </c>
      <c r="AF15" s="2329">
        <f>[4]int.kiadások2018!J14</f>
        <v>0</v>
      </c>
      <c r="AG15" s="2329">
        <f>'[5]int.kiadások RM V'!AA15</f>
        <v>0</v>
      </c>
      <c r="AH15" s="2329"/>
      <c r="AI15" s="2330"/>
      <c r="AJ15" s="2329">
        <f>[4]int.kiadások2018!K14</f>
        <v>0</v>
      </c>
      <c r="AK15" s="2329">
        <f>'[5]int.kiadások RM V'!AD15</f>
        <v>0</v>
      </c>
      <c r="AL15" s="2329"/>
      <c r="AM15" s="2330"/>
      <c r="AN15" s="2331" t="s">
        <v>1312</v>
      </c>
      <c r="AO15" s="2329">
        <f t="shared" si="6"/>
        <v>0</v>
      </c>
      <c r="AP15" s="2329">
        <f t="shared" si="6"/>
        <v>767</v>
      </c>
      <c r="AQ15" s="2329">
        <f t="shared" si="6"/>
        <v>766</v>
      </c>
      <c r="AR15" s="2330">
        <f t="shared" si="7"/>
        <v>0.99869621903520212</v>
      </c>
      <c r="AS15" s="2329">
        <f t="shared" si="8"/>
        <v>97147</v>
      </c>
      <c r="AT15" s="2329">
        <f t="shared" si="8"/>
        <v>103373</v>
      </c>
      <c r="AU15" s="2329">
        <f t="shared" si="8"/>
        <v>97819</v>
      </c>
      <c r="AV15" s="2330">
        <f t="shared" si="9"/>
        <v>0.94627223743143762</v>
      </c>
      <c r="AW15" s="2256">
        <f>AS15-'[6]éves besz.bevételei2018'!BD15</f>
        <v>0</v>
      </c>
      <c r="AX15" s="2256">
        <f>AT15-'[6]éves besz.bevételei2018'!BE15</f>
        <v>0</v>
      </c>
      <c r="AY15" s="2256">
        <f>AU15-'[6]éves besz.bevételei2018'!BF15</f>
        <v>-1653</v>
      </c>
    </row>
    <row r="16" spans="1:51" s="2254" customFormat="1" ht="49.5" customHeight="1" x14ac:dyDescent="0.5">
      <c r="A16" s="2255" t="s">
        <v>1313</v>
      </c>
      <c r="B16" s="2329">
        <f>[4]int.kiadások2018!B15</f>
        <v>65294</v>
      </c>
      <c r="C16" s="2329">
        <f>'[5]int.kiadások RM V'!D16</f>
        <v>65765</v>
      </c>
      <c r="D16" s="2329">
        <v>65029</v>
      </c>
      <c r="E16" s="2330">
        <f t="shared" si="0"/>
        <v>0.98880863681289444</v>
      </c>
      <c r="F16" s="2329">
        <f>[4]int.kiadások2018!C15</f>
        <v>12854</v>
      </c>
      <c r="G16" s="2329">
        <f>'[5]int.kiadások RM V'!G16</f>
        <v>13066</v>
      </c>
      <c r="H16" s="2329">
        <v>12930</v>
      </c>
      <c r="I16" s="2330">
        <f t="shared" si="1"/>
        <v>0.98959130567886122</v>
      </c>
      <c r="J16" s="2329">
        <f>[4]int.kiadások2018!D15</f>
        <v>2469</v>
      </c>
      <c r="K16" s="2329">
        <f>'[5]int.kiadások RM V'!J16</f>
        <v>3594</v>
      </c>
      <c r="L16" s="2329">
        <v>3568</v>
      </c>
      <c r="M16" s="2330">
        <f t="shared" si="2"/>
        <v>0.99276572064552027</v>
      </c>
      <c r="N16" s="2331" t="s">
        <v>1313</v>
      </c>
      <c r="O16" s="2329">
        <f>[4]int.kiadások2018!E15</f>
        <v>0</v>
      </c>
      <c r="P16" s="2329">
        <f>'[5]int.kiadások RM V'!N16</f>
        <v>0</v>
      </c>
      <c r="Q16" s="2329"/>
      <c r="R16" s="2330"/>
      <c r="S16" s="2329">
        <f>[4]int.kiadások2018!F15</f>
        <v>0</v>
      </c>
      <c r="T16" s="2329">
        <f>'[5]int.kiadások RM V'!Q16</f>
        <v>0</v>
      </c>
      <c r="U16" s="2329"/>
      <c r="V16" s="2330"/>
      <c r="W16" s="2329">
        <f t="shared" si="3"/>
        <v>80617</v>
      </c>
      <c r="X16" s="2329">
        <f t="shared" si="3"/>
        <v>82425</v>
      </c>
      <c r="Y16" s="2329">
        <f t="shared" si="3"/>
        <v>81527</v>
      </c>
      <c r="Z16" s="2330">
        <f t="shared" si="4"/>
        <v>0.98910524719441917</v>
      </c>
      <c r="AA16" s="2331" t="s">
        <v>1313</v>
      </c>
      <c r="AB16" s="2329">
        <f>[4]int.kiadások2018!I15</f>
        <v>0</v>
      </c>
      <c r="AC16" s="2329">
        <f>'[5]int.kiadások RM V'!X16</f>
        <v>977</v>
      </c>
      <c r="AD16" s="2329">
        <v>751</v>
      </c>
      <c r="AE16" s="2330">
        <f t="shared" si="5"/>
        <v>0.76867963152507679</v>
      </c>
      <c r="AF16" s="2329">
        <f>[4]int.kiadások2018!J15</f>
        <v>0</v>
      </c>
      <c r="AG16" s="2329">
        <f>'[5]int.kiadások RM V'!AA16</f>
        <v>0</v>
      </c>
      <c r="AH16" s="2329"/>
      <c r="AI16" s="2330"/>
      <c r="AJ16" s="2329">
        <f>[4]int.kiadások2018!K15</f>
        <v>0</v>
      </c>
      <c r="AK16" s="2329">
        <f>'[5]int.kiadások RM V'!AD16</f>
        <v>0</v>
      </c>
      <c r="AL16" s="2329"/>
      <c r="AM16" s="2330"/>
      <c r="AN16" s="2331" t="s">
        <v>1313</v>
      </c>
      <c r="AO16" s="2329">
        <f t="shared" si="6"/>
        <v>0</v>
      </c>
      <c r="AP16" s="2329">
        <f t="shared" si="6"/>
        <v>977</v>
      </c>
      <c r="AQ16" s="2329">
        <f t="shared" si="6"/>
        <v>751</v>
      </c>
      <c r="AR16" s="2330">
        <f t="shared" si="7"/>
        <v>0.76867963152507679</v>
      </c>
      <c r="AS16" s="2329">
        <f t="shared" si="8"/>
        <v>80617</v>
      </c>
      <c r="AT16" s="2329">
        <f t="shared" si="8"/>
        <v>83402</v>
      </c>
      <c r="AU16" s="2329">
        <f>Y16+AQ16</f>
        <v>82278</v>
      </c>
      <c r="AV16" s="2330">
        <f t="shared" si="9"/>
        <v>0.98652310496151174</v>
      </c>
      <c r="AW16" s="2256">
        <f>AS16-'[6]éves besz.bevételei2018'!BD16</f>
        <v>0</v>
      </c>
      <c r="AX16" s="2256">
        <f>AT16-'[6]éves besz.bevételei2018'!BE16</f>
        <v>0</v>
      </c>
      <c r="AY16" s="2256">
        <f>AU16-'[6]éves besz.bevételei2018'!BF16</f>
        <v>-451</v>
      </c>
    </row>
    <row r="17" spans="1:51" s="2254" customFormat="1" ht="49.5" customHeight="1" x14ac:dyDescent="0.5">
      <c r="A17" s="2255" t="s">
        <v>1314</v>
      </c>
      <c r="B17" s="2329">
        <f>[4]int.kiadások2018!B16</f>
        <v>60540</v>
      </c>
      <c r="C17" s="2329">
        <f>'[5]int.kiadások RM V'!D17</f>
        <v>60741</v>
      </c>
      <c r="D17" s="2329">
        <v>59990</v>
      </c>
      <c r="E17" s="2330">
        <f t="shared" si="0"/>
        <v>0.98763602838280573</v>
      </c>
      <c r="F17" s="2329">
        <f>[4]int.kiadások2018!C16</f>
        <v>11810</v>
      </c>
      <c r="G17" s="2329">
        <f>'[5]int.kiadások RM V'!G17</f>
        <v>12020</v>
      </c>
      <c r="H17" s="2329">
        <v>11941</v>
      </c>
      <c r="I17" s="2330">
        <f t="shared" si="1"/>
        <v>0.99342762063227952</v>
      </c>
      <c r="J17" s="2329">
        <f>[4]int.kiadások2018!D16</f>
        <v>2614</v>
      </c>
      <c r="K17" s="2329">
        <f>'[5]int.kiadások RM V'!J17</f>
        <v>3943</v>
      </c>
      <c r="L17" s="2329">
        <v>3601</v>
      </c>
      <c r="M17" s="2330">
        <f t="shared" si="2"/>
        <v>0.91326401217347197</v>
      </c>
      <c r="N17" s="2331" t="s">
        <v>1314</v>
      </c>
      <c r="O17" s="2329">
        <f>[4]int.kiadások2018!E16</f>
        <v>0</v>
      </c>
      <c r="P17" s="2329">
        <f>'[5]int.kiadások RM V'!N17</f>
        <v>0</v>
      </c>
      <c r="Q17" s="2329"/>
      <c r="R17" s="2330"/>
      <c r="S17" s="2329">
        <f>[4]int.kiadások2018!F16</f>
        <v>0</v>
      </c>
      <c r="T17" s="2329">
        <f>'[5]int.kiadások RM V'!Q17</f>
        <v>0</v>
      </c>
      <c r="U17" s="2329"/>
      <c r="V17" s="2330"/>
      <c r="W17" s="2329">
        <f t="shared" si="3"/>
        <v>74964</v>
      </c>
      <c r="X17" s="2329">
        <f t="shared" si="3"/>
        <v>76704</v>
      </c>
      <c r="Y17" s="2329">
        <f t="shared" si="3"/>
        <v>75532</v>
      </c>
      <c r="Z17" s="2330">
        <f t="shared" si="4"/>
        <v>0.98472048393825617</v>
      </c>
      <c r="AA17" s="2331" t="s">
        <v>1314</v>
      </c>
      <c r="AB17" s="2329">
        <f>[4]int.kiadások2018!I16</f>
        <v>0</v>
      </c>
      <c r="AC17" s="2329">
        <f>'[5]int.kiadások RM V'!X17</f>
        <v>20276</v>
      </c>
      <c r="AD17" s="2329">
        <v>13926</v>
      </c>
      <c r="AE17" s="2330">
        <f t="shared" si="5"/>
        <v>0.68682185835470511</v>
      </c>
      <c r="AF17" s="2329">
        <f>[4]int.kiadások2018!J16</f>
        <v>0</v>
      </c>
      <c r="AG17" s="2329">
        <f>'[5]int.kiadások RM V'!AA17</f>
        <v>11526</v>
      </c>
      <c r="AH17" s="2329">
        <v>11524</v>
      </c>
      <c r="AI17" s="2330">
        <f t="shared" ref="AI17:AI25" si="10">AH17/AG17</f>
        <v>0.99982647926427204</v>
      </c>
      <c r="AJ17" s="2329">
        <f>[4]int.kiadások2018!K16</f>
        <v>0</v>
      </c>
      <c r="AK17" s="2329">
        <f>'[5]int.kiadások RM V'!AD17</f>
        <v>0</v>
      </c>
      <c r="AL17" s="2329"/>
      <c r="AM17" s="2330"/>
      <c r="AN17" s="2331" t="s">
        <v>1314</v>
      </c>
      <c r="AO17" s="2329">
        <f t="shared" si="6"/>
        <v>0</v>
      </c>
      <c r="AP17" s="2329">
        <f t="shared" si="6"/>
        <v>31802</v>
      </c>
      <c r="AQ17" s="2329">
        <f t="shared" si="6"/>
        <v>25450</v>
      </c>
      <c r="AR17" s="2330">
        <f t="shared" si="7"/>
        <v>0.80026413433117416</v>
      </c>
      <c r="AS17" s="2329">
        <f t="shared" si="8"/>
        <v>74964</v>
      </c>
      <c r="AT17" s="2329">
        <f t="shared" si="8"/>
        <v>108506</v>
      </c>
      <c r="AU17" s="2329">
        <f t="shared" si="8"/>
        <v>100982</v>
      </c>
      <c r="AV17" s="2330">
        <f t="shared" si="9"/>
        <v>0.9306582124490812</v>
      </c>
      <c r="AW17" s="2256">
        <f>AS17-'[6]éves besz.bevételei2018'!BD17</f>
        <v>0</v>
      </c>
      <c r="AX17" s="2256">
        <f>AT17-'[6]éves besz.bevételei2018'!BE17</f>
        <v>0</v>
      </c>
      <c r="AY17" s="2256">
        <f>AU17-'[6]éves besz.bevételei2018'!BF17</f>
        <v>-58</v>
      </c>
    </row>
    <row r="18" spans="1:51" s="2254" customFormat="1" ht="49.5" customHeight="1" x14ac:dyDescent="0.5">
      <c r="A18" s="2255" t="s">
        <v>1315</v>
      </c>
      <c r="B18" s="2329">
        <f>[4]int.kiadások2018!B17</f>
        <v>87977</v>
      </c>
      <c r="C18" s="2329">
        <f>'[5]int.kiadások RM V'!D18</f>
        <v>90564</v>
      </c>
      <c r="D18" s="2329">
        <v>88040</v>
      </c>
      <c r="E18" s="2330">
        <f t="shared" si="0"/>
        <v>0.97213020626297431</v>
      </c>
      <c r="F18" s="2329">
        <f>[4]int.kiadások2018!C17</f>
        <v>18829</v>
      </c>
      <c r="G18" s="2329">
        <f>'[5]int.kiadások RM V'!G18</f>
        <v>19480</v>
      </c>
      <c r="H18" s="2329">
        <v>18982</v>
      </c>
      <c r="I18" s="2330">
        <f t="shared" si="1"/>
        <v>0.97443531827515395</v>
      </c>
      <c r="J18" s="2329">
        <f>[4]int.kiadások2018!D17</f>
        <v>3242</v>
      </c>
      <c r="K18" s="2329">
        <f>'[5]int.kiadások RM V'!J18</f>
        <v>3703</v>
      </c>
      <c r="L18" s="2329">
        <v>3299</v>
      </c>
      <c r="M18" s="2330">
        <f t="shared" si="2"/>
        <v>0.8908992708614637</v>
      </c>
      <c r="N18" s="2331" t="s">
        <v>1315</v>
      </c>
      <c r="O18" s="2329">
        <f>[4]int.kiadások2018!E17</f>
        <v>0</v>
      </c>
      <c r="P18" s="2329">
        <f>'[5]int.kiadások RM V'!N18</f>
        <v>0</v>
      </c>
      <c r="Q18" s="2329"/>
      <c r="R18" s="2330"/>
      <c r="S18" s="2329">
        <f>[4]int.kiadások2018!F17</f>
        <v>0</v>
      </c>
      <c r="T18" s="2329">
        <f>'[5]int.kiadások RM V'!Q18</f>
        <v>0</v>
      </c>
      <c r="U18" s="2329"/>
      <c r="V18" s="2330"/>
      <c r="W18" s="2329">
        <f t="shared" si="3"/>
        <v>110048</v>
      </c>
      <c r="X18" s="2329">
        <f t="shared" si="3"/>
        <v>113747</v>
      </c>
      <c r="Y18" s="2329">
        <f t="shared" si="3"/>
        <v>110321</v>
      </c>
      <c r="Z18" s="2330">
        <f t="shared" si="4"/>
        <v>0.96988052432152061</v>
      </c>
      <c r="AA18" s="2331" t="s">
        <v>1315</v>
      </c>
      <c r="AB18" s="2329">
        <f>[4]int.kiadások2018!I17</f>
        <v>0</v>
      </c>
      <c r="AC18" s="2329">
        <f>'[5]int.kiadások RM V'!X18</f>
        <v>1131</v>
      </c>
      <c r="AD18" s="2329">
        <v>1131</v>
      </c>
      <c r="AE18" s="2330">
        <f t="shared" si="5"/>
        <v>1</v>
      </c>
      <c r="AF18" s="2329">
        <f>[4]int.kiadások2018!J17</f>
        <v>0</v>
      </c>
      <c r="AG18" s="2329">
        <f>'[5]int.kiadások RM V'!AA18</f>
        <v>0</v>
      </c>
      <c r="AH18" s="2329"/>
      <c r="AI18" s="2330"/>
      <c r="AJ18" s="2329">
        <f>[4]int.kiadások2018!K17</f>
        <v>0</v>
      </c>
      <c r="AK18" s="2329">
        <f>'[5]int.kiadások RM V'!AD18</f>
        <v>0</v>
      </c>
      <c r="AL18" s="2329"/>
      <c r="AM18" s="2330"/>
      <c r="AN18" s="2331" t="s">
        <v>1315</v>
      </c>
      <c r="AO18" s="2329">
        <f t="shared" si="6"/>
        <v>0</v>
      </c>
      <c r="AP18" s="2329">
        <f t="shared" si="6"/>
        <v>1131</v>
      </c>
      <c r="AQ18" s="2329">
        <f t="shared" si="6"/>
        <v>1131</v>
      </c>
      <c r="AR18" s="2330">
        <f t="shared" si="7"/>
        <v>1</v>
      </c>
      <c r="AS18" s="2329">
        <f t="shared" si="8"/>
        <v>110048</v>
      </c>
      <c r="AT18" s="2329">
        <f t="shared" si="8"/>
        <v>114878</v>
      </c>
      <c r="AU18" s="2329">
        <f t="shared" si="8"/>
        <v>111452</v>
      </c>
      <c r="AV18" s="2330">
        <f t="shared" si="9"/>
        <v>0.97017705740002436</v>
      </c>
      <c r="AW18" s="2256">
        <f>AS18-'[6]éves besz.bevételei2018'!BD18</f>
        <v>0</v>
      </c>
      <c r="AX18" s="2256">
        <f>AT18-'[6]éves besz.bevételei2018'!BE18</f>
        <v>0</v>
      </c>
      <c r="AY18" s="2256">
        <f>AU18-'[6]éves besz.bevételei2018'!BF18</f>
        <v>-246</v>
      </c>
    </row>
    <row r="19" spans="1:51" s="2254" customFormat="1" ht="49.5" customHeight="1" x14ac:dyDescent="0.5">
      <c r="A19" s="2255" t="s">
        <v>1316</v>
      </c>
      <c r="B19" s="2329">
        <f>[4]int.kiadások2018!B18</f>
        <v>106971</v>
      </c>
      <c r="C19" s="2329">
        <f>'[5]int.kiadások RM V'!D19</f>
        <v>107672</v>
      </c>
      <c r="D19" s="2329">
        <v>106392</v>
      </c>
      <c r="E19" s="2330">
        <f t="shared" si="0"/>
        <v>0.98811204398543728</v>
      </c>
      <c r="F19" s="2329">
        <f>[4]int.kiadások2018!C18</f>
        <v>22741</v>
      </c>
      <c r="G19" s="2329">
        <f>'[5]int.kiadások RM V'!G19</f>
        <v>23092</v>
      </c>
      <c r="H19" s="2329">
        <v>22923</v>
      </c>
      <c r="I19" s="2330">
        <f t="shared" si="1"/>
        <v>0.99268144812056125</v>
      </c>
      <c r="J19" s="2329">
        <f>[4]int.kiadások2018!D18</f>
        <v>3504</v>
      </c>
      <c r="K19" s="2329">
        <f>'[5]int.kiadások RM V'!J19</f>
        <v>6053</v>
      </c>
      <c r="L19" s="2329">
        <v>5137</v>
      </c>
      <c r="M19" s="2330">
        <f t="shared" si="2"/>
        <v>0.84867008095159424</v>
      </c>
      <c r="N19" s="2331" t="s">
        <v>1316</v>
      </c>
      <c r="O19" s="2329">
        <f>[4]int.kiadások2018!E18</f>
        <v>0</v>
      </c>
      <c r="P19" s="2329">
        <f>'[5]int.kiadások RM V'!N19</f>
        <v>0</v>
      </c>
      <c r="Q19" s="2329"/>
      <c r="R19" s="2330"/>
      <c r="S19" s="2329">
        <f>[4]int.kiadások2018!F18</f>
        <v>0</v>
      </c>
      <c r="T19" s="2329">
        <f>'[5]int.kiadások RM V'!Q19</f>
        <v>0</v>
      </c>
      <c r="U19" s="2329"/>
      <c r="V19" s="2330"/>
      <c r="W19" s="2329">
        <f t="shared" si="3"/>
        <v>133216</v>
      </c>
      <c r="X19" s="2329">
        <f t="shared" si="3"/>
        <v>136817</v>
      </c>
      <c r="Y19" s="2329">
        <f t="shared" si="3"/>
        <v>134452</v>
      </c>
      <c r="Z19" s="2330">
        <f t="shared" si="4"/>
        <v>0.98271413640117822</v>
      </c>
      <c r="AA19" s="2331" t="s">
        <v>1316</v>
      </c>
      <c r="AB19" s="2329">
        <f>[4]int.kiadások2018!I18</f>
        <v>0</v>
      </c>
      <c r="AC19" s="2329">
        <f>'[5]int.kiadások RM V'!X19</f>
        <v>821</v>
      </c>
      <c r="AD19" s="2329">
        <v>821</v>
      </c>
      <c r="AE19" s="2330">
        <f t="shared" si="5"/>
        <v>1</v>
      </c>
      <c r="AF19" s="2329">
        <f>[4]int.kiadások2018!J18</f>
        <v>0</v>
      </c>
      <c r="AG19" s="2329">
        <f>'[5]int.kiadások RM V'!AA19</f>
        <v>10979</v>
      </c>
      <c r="AH19" s="2329">
        <v>8890</v>
      </c>
      <c r="AI19" s="2330">
        <f t="shared" si="10"/>
        <v>0.8097276618999909</v>
      </c>
      <c r="AJ19" s="2329">
        <f>[4]int.kiadások2018!K18</f>
        <v>0</v>
      </c>
      <c r="AK19" s="2329">
        <f>'[5]int.kiadások RM V'!AD19</f>
        <v>0</v>
      </c>
      <c r="AL19" s="2329"/>
      <c r="AM19" s="2330"/>
      <c r="AN19" s="2331" t="s">
        <v>1316</v>
      </c>
      <c r="AO19" s="2329">
        <f t="shared" si="6"/>
        <v>0</v>
      </c>
      <c r="AP19" s="2329">
        <f t="shared" si="6"/>
        <v>11800</v>
      </c>
      <c r="AQ19" s="2329">
        <f t="shared" si="6"/>
        <v>9711</v>
      </c>
      <c r="AR19" s="2330">
        <f t="shared" si="7"/>
        <v>0.82296610169491524</v>
      </c>
      <c r="AS19" s="2329">
        <f t="shared" si="8"/>
        <v>133216</v>
      </c>
      <c r="AT19" s="2329">
        <f t="shared" si="8"/>
        <v>148617</v>
      </c>
      <c r="AU19" s="2329">
        <f t="shared" si="8"/>
        <v>144163</v>
      </c>
      <c r="AV19" s="2330">
        <f t="shared" si="9"/>
        <v>0.97003034646103747</v>
      </c>
      <c r="AW19" s="2256">
        <f>AS19-'[6]éves besz.bevételei2018'!BD19</f>
        <v>0</v>
      </c>
      <c r="AX19" s="2256">
        <f>AT19-'[6]éves besz.bevételei2018'!BE19</f>
        <v>0</v>
      </c>
      <c r="AY19" s="2256">
        <f>AU19-'[6]éves besz.bevételei2018'!BF19</f>
        <v>-708</v>
      </c>
    </row>
    <row r="20" spans="1:51" s="2254" customFormat="1" ht="49.5" customHeight="1" x14ac:dyDescent="0.5">
      <c r="A20" s="2255" t="s">
        <v>1317</v>
      </c>
      <c r="B20" s="2329">
        <f>[4]int.kiadások2018!B19</f>
        <v>55143</v>
      </c>
      <c r="C20" s="2329">
        <f>'[5]int.kiadások RM V'!D20</f>
        <v>55672</v>
      </c>
      <c r="D20" s="2329">
        <v>54927</v>
      </c>
      <c r="E20" s="2330">
        <f t="shared" si="0"/>
        <v>0.98661804857019686</v>
      </c>
      <c r="F20" s="2329">
        <f>[4]int.kiadások2018!C19</f>
        <v>10795</v>
      </c>
      <c r="G20" s="2329">
        <f>'[5]int.kiadások RM V'!G20</f>
        <v>11023</v>
      </c>
      <c r="H20" s="2329">
        <v>10903</v>
      </c>
      <c r="I20" s="2330">
        <f t="shared" si="1"/>
        <v>0.9891136714143155</v>
      </c>
      <c r="J20" s="2329">
        <f>[4]int.kiadások2018!D19</f>
        <v>2538</v>
      </c>
      <c r="K20" s="2329">
        <f>'[5]int.kiadások RM V'!J20</f>
        <v>2984</v>
      </c>
      <c r="L20" s="2329">
        <v>2683</v>
      </c>
      <c r="M20" s="2330">
        <f t="shared" si="2"/>
        <v>0.89912868632707776</v>
      </c>
      <c r="N20" s="2331" t="s">
        <v>1317</v>
      </c>
      <c r="O20" s="2329">
        <f>[4]int.kiadások2018!E19</f>
        <v>0</v>
      </c>
      <c r="P20" s="2329">
        <f>'[5]int.kiadások RM V'!N20</f>
        <v>0</v>
      </c>
      <c r="Q20" s="2329"/>
      <c r="R20" s="2330"/>
      <c r="S20" s="2329">
        <f>[4]int.kiadások2018!F19</f>
        <v>0</v>
      </c>
      <c r="T20" s="2329">
        <f>'[5]int.kiadások RM V'!Q20</f>
        <v>0</v>
      </c>
      <c r="U20" s="2329"/>
      <c r="V20" s="2330"/>
      <c r="W20" s="2329">
        <f t="shared" si="3"/>
        <v>68476</v>
      </c>
      <c r="X20" s="2329">
        <f t="shared" si="3"/>
        <v>69679</v>
      </c>
      <c r="Y20" s="2329">
        <f t="shared" si="3"/>
        <v>68513</v>
      </c>
      <c r="Z20" s="2330">
        <f t="shared" si="4"/>
        <v>0.98326612035189942</v>
      </c>
      <c r="AA20" s="2331" t="s">
        <v>1317</v>
      </c>
      <c r="AB20" s="2329">
        <f>[4]int.kiadások2018!I19</f>
        <v>0</v>
      </c>
      <c r="AC20" s="2329">
        <f>'[5]int.kiadások RM V'!X20</f>
        <v>1205</v>
      </c>
      <c r="AD20" s="2329">
        <v>1204</v>
      </c>
      <c r="AE20" s="2330">
        <f t="shared" si="5"/>
        <v>0.9991701244813278</v>
      </c>
      <c r="AF20" s="2329">
        <f>[4]int.kiadások2018!J19</f>
        <v>0</v>
      </c>
      <c r="AG20" s="2329">
        <f>'[5]int.kiadások RM V'!AA20</f>
        <v>0</v>
      </c>
      <c r="AH20" s="2329"/>
      <c r="AI20" s="2330"/>
      <c r="AJ20" s="2329">
        <f>[4]int.kiadások2018!K19</f>
        <v>0</v>
      </c>
      <c r="AK20" s="2329">
        <f>'[5]int.kiadások RM V'!AD20</f>
        <v>0</v>
      </c>
      <c r="AL20" s="2329"/>
      <c r="AM20" s="2330"/>
      <c r="AN20" s="2331" t="s">
        <v>1317</v>
      </c>
      <c r="AO20" s="2329">
        <f t="shared" si="6"/>
        <v>0</v>
      </c>
      <c r="AP20" s="2329">
        <f t="shared" si="6"/>
        <v>1205</v>
      </c>
      <c r="AQ20" s="2329">
        <f t="shared" si="6"/>
        <v>1204</v>
      </c>
      <c r="AR20" s="2330">
        <f t="shared" si="7"/>
        <v>0.9991701244813278</v>
      </c>
      <c r="AS20" s="2329">
        <f t="shared" si="8"/>
        <v>68476</v>
      </c>
      <c r="AT20" s="2329">
        <f t="shared" si="8"/>
        <v>70884</v>
      </c>
      <c r="AU20" s="2329">
        <f t="shared" si="8"/>
        <v>69717</v>
      </c>
      <c r="AV20" s="2330">
        <f t="shared" si="9"/>
        <v>0.98353648213983413</v>
      </c>
      <c r="AW20" s="2256">
        <f>AS20-'[6]éves besz.bevételei2018'!BD20</f>
        <v>0</v>
      </c>
      <c r="AX20" s="2256">
        <f>AT20-'[6]éves besz.bevételei2018'!BE20</f>
        <v>0</v>
      </c>
      <c r="AY20" s="2256">
        <f>AU20-'[6]éves besz.bevételei2018'!BF20</f>
        <v>-62</v>
      </c>
    </row>
    <row r="21" spans="1:51" s="2254" customFormat="1" ht="49.5" customHeight="1" x14ac:dyDescent="0.5">
      <c r="A21" s="2255" t="s">
        <v>1318</v>
      </c>
      <c r="B21" s="2329">
        <f>[4]int.kiadások2018!B20</f>
        <v>45787</v>
      </c>
      <c r="C21" s="2329">
        <f>'[5]int.kiadások RM V'!D21</f>
        <v>44246</v>
      </c>
      <c r="D21" s="2329">
        <v>43130</v>
      </c>
      <c r="E21" s="2330">
        <f t="shared" si="0"/>
        <v>0.9747773810061926</v>
      </c>
      <c r="F21" s="2329">
        <f>[4]int.kiadások2018!C20</f>
        <v>8921</v>
      </c>
      <c r="G21" s="2329">
        <f>'[5]int.kiadások RM V'!G21</f>
        <v>8755</v>
      </c>
      <c r="H21" s="2329">
        <v>8562</v>
      </c>
      <c r="I21" s="2330">
        <f t="shared" si="1"/>
        <v>0.97795545402627071</v>
      </c>
      <c r="J21" s="2329">
        <f>[4]int.kiadások2018!D20</f>
        <v>2098</v>
      </c>
      <c r="K21" s="2329">
        <f>'[5]int.kiadások RM V'!J21</f>
        <v>4145</v>
      </c>
      <c r="L21" s="2329">
        <v>3344</v>
      </c>
      <c r="M21" s="2330">
        <f t="shared" si="2"/>
        <v>0.80675512665862481</v>
      </c>
      <c r="N21" s="2331" t="s">
        <v>1318</v>
      </c>
      <c r="O21" s="2329">
        <f>[4]int.kiadások2018!E20</f>
        <v>0</v>
      </c>
      <c r="P21" s="2329">
        <f>'[5]int.kiadások RM V'!N21</f>
        <v>0</v>
      </c>
      <c r="Q21" s="2329"/>
      <c r="R21" s="2330"/>
      <c r="S21" s="2329">
        <f>[4]int.kiadások2018!F20</f>
        <v>0</v>
      </c>
      <c r="T21" s="2329">
        <f>'[5]int.kiadások RM V'!Q21</f>
        <v>0</v>
      </c>
      <c r="U21" s="2329"/>
      <c r="V21" s="2330"/>
      <c r="W21" s="2329">
        <f t="shared" si="3"/>
        <v>56806</v>
      </c>
      <c r="X21" s="2329">
        <f t="shared" si="3"/>
        <v>57146</v>
      </c>
      <c r="Y21" s="2329">
        <f t="shared" si="3"/>
        <v>55036</v>
      </c>
      <c r="Z21" s="2330">
        <f t="shared" si="4"/>
        <v>0.96307703076330797</v>
      </c>
      <c r="AA21" s="2331" t="s">
        <v>1318</v>
      </c>
      <c r="AB21" s="2329">
        <f>[4]int.kiadások2018!I20</f>
        <v>0</v>
      </c>
      <c r="AC21" s="2329">
        <f>'[5]int.kiadások RM V'!X21</f>
        <v>4689</v>
      </c>
      <c r="AD21" s="2329">
        <v>4688</v>
      </c>
      <c r="AE21" s="2330">
        <f t="shared" si="5"/>
        <v>0.99978673491149495</v>
      </c>
      <c r="AF21" s="2329">
        <f>[4]int.kiadások2018!J20</f>
        <v>0</v>
      </c>
      <c r="AG21" s="2329">
        <f>'[5]int.kiadások RM V'!AA21</f>
        <v>10449</v>
      </c>
      <c r="AH21" s="2329">
        <v>695</v>
      </c>
      <c r="AI21" s="2330">
        <f t="shared" si="10"/>
        <v>6.6513541965738346E-2</v>
      </c>
      <c r="AJ21" s="2329">
        <f>[4]int.kiadások2018!K20</f>
        <v>0</v>
      </c>
      <c r="AK21" s="2329">
        <f>'[5]int.kiadások RM V'!AD21</f>
        <v>0</v>
      </c>
      <c r="AL21" s="2329"/>
      <c r="AM21" s="2330"/>
      <c r="AN21" s="2331" t="s">
        <v>1318</v>
      </c>
      <c r="AO21" s="2329">
        <f t="shared" si="6"/>
        <v>0</v>
      </c>
      <c r="AP21" s="2329">
        <f t="shared" si="6"/>
        <v>15138</v>
      </c>
      <c r="AQ21" s="2329">
        <f t="shared" si="6"/>
        <v>5383</v>
      </c>
      <c r="AR21" s="2330">
        <f t="shared" si="7"/>
        <v>0.35559519091029196</v>
      </c>
      <c r="AS21" s="2329">
        <f t="shared" si="8"/>
        <v>56806</v>
      </c>
      <c r="AT21" s="2329">
        <f t="shared" si="8"/>
        <v>72284</v>
      </c>
      <c r="AU21" s="2329">
        <f t="shared" si="8"/>
        <v>60419</v>
      </c>
      <c r="AV21" s="2330">
        <f t="shared" si="9"/>
        <v>0.83585579104642793</v>
      </c>
      <c r="AW21" s="2256">
        <f>AS21-'[6]éves besz.bevételei2018'!BD21</f>
        <v>0</v>
      </c>
      <c r="AX21" s="2256">
        <f>AT21-'[6]éves besz.bevételei2018'!BE21</f>
        <v>0</v>
      </c>
      <c r="AY21" s="2256">
        <f>AU21-'[6]éves besz.bevételei2018'!BF21</f>
        <v>-143</v>
      </c>
    </row>
    <row r="22" spans="1:51" s="2254" customFormat="1" ht="49.5" customHeight="1" x14ac:dyDescent="0.5">
      <c r="A22" s="2255" t="s">
        <v>1319</v>
      </c>
      <c r="B22" s="2329">
        <f>[4]int.kiadások2018!B21</f>
        <v>53532</v>
      </c>
      <c r="C22" s="2329">
        <f>'[5]int.kiadások RM V'!D22</f>
        <v>53410</v>
      </c>
      <c r="D22" s="2329">
        <v>52449</v>
      </c>
      <c r="E22" s="2330">
        <f t="shared" si="0"/>
        <v>0.98200711477251446</v>
      </c>
      <c r="F22" s="2329">
        <f>[4]int.kiadások2018!C21</f>
        <v>10582</v>
      </c>
      <c r="G22" s="2329">
        <f>'[5]int.kiadások RM V'!G22</f>
        <v>10789</v>
      </c>
      <c r="H22" s="2329">
        <v>10610</v>
      </c>
      <c r="I22" s="2330">
        <f t="shared" si="1"/>
        <v>0.98340902771341177</v>
      </c>
      <c r="J22" s="2329">
        <f>[4]int.kiadások2018!D21</f>
        <v>2617</v>
      </c>
      <c r="K22" s="2329">
        <f>'[5]int.kiadások RM V'!J22</f>
        <v>3787</v>
      </c>
      <c r="L22" s="2329">
        <v>3368</v>
      </c>
      <c r="M22" s="2330">
        <f t="shared" si="2"/>
        <v>0.88935833113282281</v>
      </c>
      <c r="N22" s="2331" t="s">
        <v>1319</v>
      </c>
      <c r="O22" s="2329">
        <f>[4]int.kiadások2018!E21</f>
        <v>0</v>
      </c>
      <c r="P22" s="2329">
        <f>'[5]int.kiadások RM V'!N22</f>
        <v>0</v>
      </c>
      <c r="Q22" s="2329"/>
      <c r="R22" s="2330"/>
      <c r="S22" s="2329">
        <f>[4]int.kiadások2018!F21</f>
        <v>0</v>
      </c>
      <c r="T22" s="2329">
        <f>'[5]int.kiadások RM V'!Q22</f>
        <v>0</v>
      </c>
      <c r="U22" s="2329"/>
      <c r="V22" s="2330"/>
      <c r="W22" s="2329">
        <f t="shared" si="3"/>
        <v>66731</v>
      </c>
      <c r="X22" s="2329">
        <f t="shared" si="3"/>
        <v>67986</v>
      </c>
      <c r="Y22" s="2329">
        <f t="shared" si="3"/>
        <v>66427</v>
      </c>
      <c r="Z22" s="2330">
        <f t="shared" si="4"/>
        <v>0.97706880828405851</v>
      </c>
      <c r="AA22" s="2331" t="s">
        <v>1319</v>
      </c>
      <c r="AB22" s="2329">
        <f>[4]int.kiadások2018!I21</f>
        <v>0</v>
      </c>
      <c r="AC22" s="2329">
        <f>'[5]int.kiadások RM V'!X22</f>
        <v>1812</v>
      </c>
      <c r="AD22" s="2329">
        <v>859</v>
      </c>
      <c r="AE22" s="2330">
        <f t="shared" si="5"/>
        <v>0.47406181015452536</v>
      </c>
      <c r="AF22" s="2329">
        <f>[4]int.kiadások2018!J21</f>
        <v>0</v>
      </c>
      <c r="AG22" s="2329">
        <f>'[5]int.kiadások RM V'!AA22</f>
        <v>0</v>
      </c>
      <c r="AH22" s="2329"/>
      <c r="AI22" s="2330"/>
      <c r="AJ22" s="2329">
        <f>[4]int.kiadások2018!K21</f>
        <v>0</v>
      </c>
      <c r="AK22" s="2329">
        <f>'[5]int.kiadások RM V'!AD22</f>
        <v>0</v>
      </c>
      <c r="AL22" s="2329"/>
      <c r="AM22" s="2330"/>
      <c r="AN22" s="2331" t="s">
        <v>1319</v>
      </c>
      <c r="AO22" s="2329">
        <f t="shared" si="6"/>
        <v>0</v>
      </c>
      <c r="AP22" s="2329">
        <f t="shared" si="6"/>
        <v>1812</v>
      </c>
      <c r="AQ22" s="2329">
        <f t="shared" si="6"/>
        <v>859</v>
      </c>
      <c r="AR22" s="2330">
        <f t="shared" si="7"/>
        <v>0.47406181015452536</v>
      </c>
      <c r="AS22" s="2329">
        <f t="shared" si="8"/>
        <v>66731</v>
      </c>
      <c r="AT22" s="2329">
        <f t="shared" si="8"/>
        <v>69798</v>
      </c>
      <c r="AU22" s="2329">
        <f t="shared" si="8"/>
        <v>67286</v>
      </c>
      <c r="AV22" s="2330">
        <f t="shared" si="9"/>
        <v>0.96401043009828358</v>
      </c>
      <c r="AW22" s="2256">
        <f>AS22-'[6]éves besz.bevételei2018'!BD22</f>
        <v>0</v>
      </c>
      <c r="AX22" s="2256">
        <f>AT22-'[6]éves besz.bevételei2018'!BE22</f>
        <v>0</v>
      </c>
      <c r="AY22" s="2256">
        <f>AU22-'[6]éves besz.bevételei2018'!BF22</f>
        <v>-113</v>
      </c>
    </row>
    <row r="23" spans="1:51" s="2254" customFormat="1" ht="49.5" customHeight="1" x14ac:dyDescent="0.5">
      <c r="A23" s="2255" t="s">
        <v>1320</v>
      </c>
      <c r="B23" s="2329">
        <f>[4]int.kiadások2018!B22</f>
        <v>76808</v>
      </c>
      <c r="C23" s="2329">
        <f>'[5]int.kiadások RM V'!D23</f>
        <v>78598</v>
      </c>
      <c r="D23" s="2329">
        <v>77214</v>
      </c>
      <c r="E23" s="2330">
        <f t="shared" si="0"/>
        <v>0.9823914094506222</v>
      </c>
      <c r="F23" s="2329">
        <f>[4]int.kiadások2018!C22</f>
        <v>14991</v>
      </c>
      <c r="G23" s="2329">
        <f>'[5]int.kiadások RM V'!G23</f>
        <v>15452</v>
      </c>
      <c r="H23" s="2329">
        <v>15203</v>
      </c>
      <c r="I23" s="2330">
        <f t="shared" si="1"/>
        <v>0.98388558115454305</v>
      </c>
      <c r="J23" s="2329">
        <f>[4]int.kiadások2018!D22</f>
        <v>2715</v>
      </c>
      <c r="K23" s="2329">
        <f>'[5]int.kiadások RM V'!J23</f>
        <v>4841</v>
      </c>
      <c r="L23" s="2329">
        <v>4319</v>
      </c>
      <c r="M23" s="2330">
        <f t="shared" si="2"/>
        <v>0.8921710390415204</v>
      </c>
      <c r="N23" s="2331" t="s">
        <v>1320</v>
      </c>
      <c r="O23" s="2329">
        <f>[4]int.kiadások2018!E22</f>
        <v>0</v>
      </c>
      <c r="P23" s="2329">
        <f>'[5]int.kiadások RM V'!N23</f>
        <v>0</v>
      </c>
      <c r="Q23" s="2329"/>
      <c r="R23" s="2330"/>
      <c r="S23" s="2329">
        <f>[4]int.kiadások2018!F22</f>
        <v>0</v>
      </c>
      <c r="T23" s="2329">
        <f>'[5]int.kiadások RM V'!Q23</f>
        <v>0</v>
      </c>
      <c r="U23" s="2329"/>
      <c r="V23" s="2330"/>
      <c r="W23" s="2329">
        <f t="shared" si="3"/>
        <v>94514</v>
      </c>
      <c r="X23" s="2329">
        <f t="shared" si="3"/>
        <v>98891</v>
      </c>
      <c r="Y23" s="2329">
        <f t="shared" si="3"/>
        <v>96736</v>
      </c>
      <c r="Z23" s="2330">
        <f t="shared" si="4"/>
        <v>0.97820833038395805</v>
      </c>
      <c r="AA23" s="2331" t="s">
        <v>1320</v>
      </c>
      <c r="AB23" s="2329">
        <f>[4]int.kiadások2018!I22</f>
        <v>0</v>
      </c>
      <c r="AC23" s="2329">
        <f>'[5]int.kiadások RM V'!X23</f>
        <v>5457</v>
      </c>
      <c r="AD23" s="2329">
        <v>5455</v>
      </c>
      <c r="AE23" s="2330">
        <f t="shared" si="5"/>
        <v>0.99963349825911674</v>
      </c>
      <c r="AF23" s="2329">
        <f>[4]int.kiadások2018!J22</f>
        <v>0</v>
      </c>
      <c r="AG23" s="2329">
        <f>'[5]int.kiadások RM V'!AA23</f>
        <v>2265</v>
      </c>
      <c r="AH23" s="2329">
        <v>2265</v>
      </c>
      <c r="AI23" s="2330">
        <f t="shared" si="10"/>
        <v>1</v>
      </c>
      <c r="AJ23" s="2329">
        <f>[4]int.kiadások2018!K22</f>
        <v>0</v>
      </c>
      <c r="AK23" s="2329">
        <f>'[5]int.kiadások RM V'!AD23</f>
        <v>0</v>
      </c>
      <c r="AL23" s="2329"/>
      <c r="AM23" s="2330"/>
      <c r="AN23" s="2331" t="s">
        <v>1320</v>
      </c>
      <c r="AO23" s="2329">
        <f t="shared" si="6"/>
        <v>0</v>
      </c>
      <c r="AP23" s="2329">
        <f t="shared" si="6"/>
        <v>7722</v>
      </c>
      <c r="AQ23" s="2329">
        <f t="shared" si="6"/>
        <v>7720</v>
      </c>
      <c r="AR23" s="2330">
        <f t="shared" si="7"/>
        <v>0.99974099974099973</v>
      </c>
      <c r="AS23" s="2329">
        <f t="shared" si="8"/>
        <v>94514</v>
      </c>
      <c r="AT23" s="2329">
        <f t="shared" si="8"/>
        <v>106613</v>
      </c>
      <c r="AU23" s="2329">
        <f t="shared" si="8"/>
        <v>104456</v>
      </c>
      <c r="AV23" s="2330">
        <f t="shared" si="9"/>
        <v>0.97976794574770432</v>
      </c>
      <c r="AW23" s="2256">
        <f>AS23-'[6]éves besz.bevételei2018'!BD23</f>
        <v>0</v>
      </c>
      <c r="AX23" s="2256">
        <f>AT23-'[6]éves besz.bevételei2018'!BE23</f>
        <v>0</v>
      </c>
      <c r="AY23" s="2256">
        <f>AU23-'[6]éves besz.bevételei2018'!BF23</f>
        <v>-203</v>
      </c>
    </row>
    <row r="24" spans="1:51" s="2254" customFormat="1" ht="49.5" customHeight="1" x14ac:dyDescent="0.5">
      <c r="A24" s="2255" t="s">
        <v>1321</v>
      </c>
      <c r="B24" s="2329">
        <f>[4]int.kiadások2018!B23</f>
        <v>98999</v>
      </c>
      <c r="C24" s="2329">
        <f>'[5]int.kiadások RM V'!D24</f>
        <v>98241</v>
      </c>
      <c r="D24" s="2329">
        <f>96968+1</f>
        <v>96969</v>
      </c>
      <c r="E24" s="2330">
        <f t="shared" si="0"/>
        <v>0.98705224906098266</v>
      </c>
      <c r="F24" s="2329">
        <f>[4]int.kiadások2018!C23</f>
        <v>21401</v>
      </c>
      <c r="G24" s="2329">
        <f>'[5]int.kiadások RM V'!G24</f>
        <v>21282</v>
      </c>
      <c r="H24" s="2329">
        <v>21058</v>
      </c>
      <c r="I24" s="2330">
        <f t="shared" si="1"/>
        <v>0.98947467343294804</v>
      </c>
      <c r="J24" s="2329">
        <f>[4]int.kiadások2018!D23</f>
        <v>3366</v>
      </c>
      <c r="K24" s="2329">
        <f>'[5]int.kiadások RM V'!J24</f>
        <v>5287</v>
      </c>
      <c r="L24" s="2329">
        <v>4864</v>
      </c>
      <c r="M24" s="2330">
        <f t="shared" si="2"/>
        <v>0.91999243427274446</v>
      </c>
      <c r="N24" s="2331" t="s">
        <v>1321</v>
      </c>
      <c r="O24" s="2329">
        <f>[4]int.kiadások2018!E23</f>
        <v>0</v>
      </c>
      <c r="P24" s="2329">
        <f>'[5]int.kiadások RM V'!N24</f>
        <v>0</v>
      </c>
      <c r="Q24" s="2329"/>
      <c r="R24" s="2330"/>
      <c r="S24" s="2329">
        <f>[4]int.kiadások2018!F23</f>
        <v>0</v>
      </c>
      <c r="T24" s="2329">
        <f>'[5]int.kiadások RM V'!Q24</f>
        <v>0</v>
      </c>
      <c r="U24" s="2329"/>
      <c r="V24" s="2330"/>
      <c r="W24" s="2329">
        <f t="shared" si="3"/>
        <v>123766</v>
      </c>
      <c r="X24" s="2329">
        <f t="shared" si="3"/>
        <v>124810</v>
      </c>
      <c r="Y24" s="2329">
        <f t="shared" si="3"/>
        <v>122891</v>
      </c>
      <c r="Z24" s="2330">
        <f t="shared" si="4"/>
        <v>0.98462462943674389</v>
      </c>
      <c r="AA24" s="2331" t="s">
        <v>1321</v>
      </c>
      <c r="AB24" s="2329">
        <f>[4]int.kiadások2018!I23</f>
        <v>0</v>
      </c>
      <c r="AC24" s="2329">
        <f>'[5]int.kiadások RM V'!X24</f>
        <v>3607</v>
      </c>
      <c r="AD24" s="2329">
        <v>3606</v>
      </c>
      <c r="AE24" s="2330">
        <f t="shared" si="5"/>
        <v>0.99972276129747717</v>
      </c>
      <c r="AF24" s="2329">
        <f>[4]int.kiadások2018!J23</f>
        <v>0</v>
      </c>
      <c r="AG24" s="2329">
        <f>'[5]int.kiadások RM V'!AA24</f>
        <v>0</v>
      </c>
      <c r="AH24" s="2329"/>
      <c r="AI24" s="2330"/>
      <c r="AJ24" s="2329">
        <f>[4]int.kiadások2018!K23</f>
        <v>0</v>
      </c>
      <c r="AK24" s="2329">
        <f>'[5]int.kiadások RM V'!AD24</f>
        <v>0</v>
      </c>
      <c r="AL24" s="2329"/>
      <c r="AM24" s="2330"/>
      <c r="AN24" s="2331" t="s">
        <v>1321</v>
      </c>
      <c r="AO24" s="2329">
        <f t="shared" si="6"/>
        <v>0</v>
      </c>
      <c r="AP24" s="2329">
        <f t="shared" si="6"/>
        <v>3607</v>
      </c>
      <c r="AQ24" s="2329">
        <f t="shared" si="6"/>
        <v>3606</v>
      </c>
      <c r="AR24" s="2330">
        <f t="shared" si="7"/>
        <v>0.99972276129747717</v>
      </c>
      <c r="AS24" s="2329">
        <f t="shared" si="8"/>
        <v>123766</v>
      </c>
      <c r="AT24" s="2329">
        <f t="shared" si="8"/>
        <v>128417</v>
      </c>
      <c r="AU24" s="2329">
        <f t="shared" si="8"/>
        <v>126497</v>
      </c>
      <c r="AV24" s="2330">
        <f t="shared" si="9"/>
        <v>0.9850487085043258</v>
      </c>
      <c r="AW24" s="2256">
        <f>AS24-'[6]éves besz.bevételei2018'!BD24</f>
        <v>0</v>
      </c>
      <c r="AX24" s="2256">
        <f>AT24-'[6]éves besz.bevételei2018'!BE24</f>
        <v>0</v>
      </c>
      <c r="AY24" s="2256">
        <f>AU24-'[6]éves besz.bevételei2018'!BF24</f>
        <v>-416</v>
      </c>
    </row>
    <row r="25" spans="1:51" s="2254" customFormat="1" ht="49.5" customHeight="1" x14ac:dyDescent="0.5">
      <c r="A25" s="2255" t="s">
        <v>1322</v>
      </c>
      <c r="B25" s="2329">
        <f>[4]int.kiadások2018!B24</f>
        <v>79524</v>
      </c>
      <c r="C25" s="2329">
        <f>'[5]int.kiadások RM V'!D25</f>
        <v>81081</v>
      </c>
      <c r="D25" s="2329">
        <v>77205</v>
      </c>
      <c r="E25" s="2330">
        <f t="shared" si="0"/>
        <v>0.95219595219595221</v>
      </c>
      <c r="F25" s="2329">
        <f>[4]int.kiadások2018!C24</f>
        <v>15604</v>
      </c>
      <c r="G25" s="2329">
        <f>'[5]int.kiadások RM V'!G25</f>
        <v>16378</v>
      </c>
      <c r="H25" s="2329">
        <v>15632</v>
      </c>
      <c r="I25" s="2330">
        <f t="shared" si="1"/>
        <v>0.95445109292953967</v>
      </c>
      <c r="J25" s="2329">
        <f>[4]int.kiadások2018!D24</f>
        <v>2830</v>
      </c>
      <c r="K25" s="2329">
        <f>'[5]int.kiadások RM V'!J25</f>
        <v>4775</v>
      </c>
      <c r="L25" s="2329">
        <v>3374</v>
      </c>
      <c r="M25" s="2330">
        <f t="shared" si="2"/>
        <v>0.70659685863874344</v>
      </c>
      <c r="N25" s="2331" t="s">
        <v>1322</v>
      </c>
      <c r="O25" s="2329">
        <f>[4]int.kiadások2018!E24</f>
        <v>0</v>
      </c>
      <c r="P25" s="2329">
        <f>'[5]int.kiadások RM V'!N25</f>
        <v>0</v>
      </c>
      <c r="Q25" s="2329"/>
      <c r="R25" s="2330"/>
      <c r="S25" s="2329">
        <f>[4]int.kiadások2018!F24</f>
        <v>0</v>
      </c>
      <c r="T25" s="2329">
        <f>'[5]int.kiadások RM V'!Q25</f>
        <v>0</v>
      </c>
      <c r="U25" s="2329"/>
      <c r="V25" s="2330"/>
      <c r="W25" s="2329">
        <f t="shared" si="3"/>
        <v>97958</v>
      </c>
      <c r="X25" s="2329">
        <f t="shared" si="3"/>
        <v>102234</v>
      </c>
      <c r="Y25" s="2329">
        <f t="shared" si="3"/>
        <v>96211</v>
      </c>
      <c r="Z25" s="2330">
        <f t="shared" si="4"/>
        <v>0.94108613572784006</v>
      </c>
      <c r="AA25" s="2331" t="s">
        <v>1322</v>
      </c>
      <c r="AB25" s="2329">
        <f>[4]int.kiadások2018!I24</f>
        <v>0</v>
      </c>
      <c r="AC25" s="2329">
        <f>'[5]int.kiadások RM V'!X25</f>
        <v>1040</v>
      </c>
      <c r="AD25" s="2329">
        <v>877</v>
      </c>
      <c r="AE25" s="2330">
        <f t="shared" si="5"/>
        <v>0.84326923076923077</v>
      </c>
      <c r="AF25" s="2329">
        <f>[4]int.kiadások2018!J24</f>
        <v>0</v>
      </c>
      <c r="AG25" s="2329">
        <f>'[5]int.kiadások RM V'!AA25</f>
        <v>1913</v>
      </c>
      <c r="AH25" s="2329">
        <v>1912</v>
      </c>
      <c r="AI25" s="2330">
        <f t="shared" si="10"/>
        <v>0.99947726084683741</v>
      </c>
      <c r="AJ25" s="2329">
        <f>[4]int.kiadások2018!K24</f>
        <v>0</v>
      </c>
      <c r="AK25" s="2329">
        <f>'[5]int.kiadások RM V'!AD25</f>
        <v>0</v>
      </c>
      <c r="AL25" s="2329"/>
      <c r="AM25" s="2330"/>
      <c r="AN25" s="2331" t="s">
        <v>1322</v>
      </c>
      <c r="AO25" s="2329">
        <f t="shared" si="6"/>
        <v>0</v>
      </c>
      <c r="AP25" s="2329">
        <f t="shared" si="6"/>
        <v>2953</v>
      </c>
      <c r="AQ25" s="2329">
        <f t="shared" si="6"/>
        <v>2789</v>
      </c>
      <c r="AR25" s="2330">
        <f t="shared" si="7"/>
        <v>0.94446325770402983</v>
      </c>
      <c r="AS25" s="2329">
        <f t="shared" si="8"/>
        <v>97958</v>
      </c>
      <c r="AT25" s="2329">
        <f t="shared" si="8"/>
        <v>105187</v>
      </c>
      <c r="AU25" s="2329">
        <f t="shared" si="8"/>
        <v>99000</v>
      </c>
      <c r="AV25" s="2330">
        <f t="shared" si="9"/>
        <v>0.94118094441328304</v>
      </c>
      <c r="AW25" s="2256">
        <f>AS25-'[6]éves besz.bevételei2018'!BD25</f>
        <v>0</v>
      </c>
      <c r="AX25" s="2256">
        <f>AT25-'[6]éves besz.bevételei2018'!BE25</f>
        <v>0</v>
      </c>
      <c r="AY25" s="2256">
        <f>AU25-'[6]éves besz.bevételei2018'!BF25</f>
        <v>-289</v>
      </c>
    </row>
    <row r="26" spans="1:51" s="2254" customFormat="1" ht="49.5" customHeight="1" x14ac:dyDescent="0.5">
      <c r="A26" s="2255" t="s">
        <v>1323</v>
      </c>
      <c r="B26" s="2329">
        <f>[4]int.kiadások2018!B25</f>
        <v>65487</v>
      </c>
      <c r="C26" s="2329">
        <f>'[5]int.kiadások RM V'!D26</f>
        <v>66592</v>
      </c>
      <c r="D26" s="2329">
        <v>63119</v>
      </c>
      <c r="E26" s="2330">
        <f t="shared" si="0"/>
        <v>0.94784658817876022</v>
      </c>
      <c r="F26" s="2329">
        <f>[4]int.kiadások2018!C25</f>
        <v>12744</v>
      </c>
      <c r="G26" s="2329">
        <f>'[5]int.kiadások RM V'!G26</f>
        <v>13129</v>
      </c>
      <c r="H26" s="2329">
        <v>12426</v>
      </c>
      <c r="I26" s="2330">
        <f t="shared" si="1"/>
        <v>0.94645441389290885</v>
      </c>
      <c r="J26" s="2329">
        <f>[4]int.kiadások2018!D25</f>
        <v>2374</v>
      </c>
      <c r="K26" s="2329">
        <f>'[5]int.kiadások RM V'!J26</f>
        <v>3999</v>
      </c>
      <c r="L26" s="2329">
        <v>3466</v>
      </c>
      <c r="M26" s="2330">
        <f t="shared" si="2"/>
        <v>0.86671667916979245</v>
      </c>
      <c r="N26" s="2331" t="s">
        <v>1323</v>
      </c>
      <c r="O26" s="2329">
        <f>[4]int.kiadások2018!E25</f>
        <v>0</v>
      </c>
      <c r="P26" s="2329">
        <f>'[5]int.kiadások RM V'!N26</f>
        <v>0</v>
      </c>
      <c r="Q26" s="2329"/>
      <c r="R26" s="2330"/>
      <c r="S26" s="2329">
        <f>[4]int.kiadások2018!F25</f>
        <v>0</v>
      </c>
      <c r="T26" s="2329">
        <f>'[5]int.kiadások RM V'!Q26</f>
        <v>0</v>
      </c>
      <c r="U26" s="2329"/>
      <c r="V26" s="2330"/>
      <c r="W26" s="2329">
        <f t="shared" si="3"/>
        <v>80605</v>
      </c>
      <c r="X26" s="2329">
        <f t="shared" si="3"/>
        <v>83720</v>
      </c>
      <c r="Y26" s="2329">
        <f t="shared" si="3"/>
        <v>79011</v>
      </c>
      <c r="Z26" s="2330">
        <f t="shared" si="4"/>
        <v>0.94375298614429048</v>
      </c>
      <c r="AA26" s="2331" t="s">
        <v>1323</v>
      </c>
      <c r="AB26" s="2329">
        <f>[4]int.kiadások2018!I25</f>
        <v>0</v>
      </c>
      <c r="AC26" s="2329">
        <f>'[5]int.kiadások RM V'!X26</f>
        <v>1969</v>
      </c>
      <c r="AD26" s="2329">
        <v>1604</v>
      </c>
      <c r="AE26" s="2330">
        <f t="shared" si="5"/>
        <v>0.81462671406805487</v>
      </c>
      <c r="AF26" s="2329">
        <f>[4]int.kiadások2018!J25</f>
        <v>0</v>
      </c>
      <c r="AG26" s="2329">
        <f>'[5]int.kiadások RM V'!AA26</f>
        <v>5116</v>
      </c>
      <c r="AH26" s="2329">
        <v>3252</v>
      </c>
      <c r="AI26" s="2330">
        <f>AH26/AG26</f>
        <v>0.63565285379202507</v>
      </c>
      <c r="AJ26" s="2329">
        <f>[4]int.kiadások2018!K25</f>
        <v>0</v>
      </c>
      <c r="AK26" s="2329">
        <f>'[5]int.kiadások RM V'!AD26</f>
        <v>0</v>
      </c>
      <c r="AL26" s="2329"/>
      <c r="AM26" s="2330"/>
      <c r="AN26" s="2331" t="s">
        <v>1323</v>
      </c>
      <c r="AO26" s="2329">
        <f t="shared" si="6"/>
        <v>0</v>
      </c>
      <c r="AP26" s="2329">
        <f t="shared" si="6"/>
        <v>7085</v>
      </c>
      <c r="AQ26" s="2329">
        <f t="shared" si="6"/>
        <v>4856</v>
      </c>
      <c r="AR26" s="2330">
        <f t="shared" si="7"/>
        <v>0.68539167254763589</v>
      </c>
      <c r="AS26" s="2329">
        <f t="shared" si="8"/>
        <v>80605</v>
      </c>
      <c r="AT26" s="2329">
        <f t="shared" si="8"/>
        <v>90805</v>
      </c>
      <c r="AU26" s="2329">
        <f t="shared" si="8"/>
        <v>83867</v>
      </c>
      <c r="AV26" s="2330">
        <f t="shared" si="9"/>
        <v>0.9235945157205</v>
      </c>
      <c r="AW26" s="2256">
        <f>AS26-'[6]éves besz.bevételei2018'!BD26</f>
        <v>0</v>
      </c>
      <c r="AX26" s="2256">
        <f>AT26-'[6]éves besz.bevételei2018'!BE26</f>
        <v>0</v>
      </c>
      <c r="AY26" s="2256">
        <f>AU26-'[6]éves besz.bevételei2018'!BF26</f>
        <v>-156</v>
      </c>
    </row>
    <row r="27" spans="1:51" s="2254" customFormat="1" ht="49.5" customHeight="1" thickBot="1" x14ac:dyDescent="0.55000000000000004">
      <c r="A27" s="2257" t="s">
        <v>1324</v>
      </c>
      <c r="B27" s="2332">
        <f>[4]int.kiadások2018!B26</f>
        <v>44783</v>
      </c>
      <c r="C27" s="2329">
        <f>'[5]int.kiadások RM V'!D27</f>
        <v>45314</v>
      </c>
      <c r="D27" s="2332">
        <v>44467</v>
      </c>
      <c r="E27" s="2333">
        <f t="shared" si="0"/>
        <v>0.98130820496976656</v>
      </c>
      <c r="F27" s="2332">
        <f>[4]int.kiadások2018!C26</f>
        <v>8820</v>
      </c>
      <c r="G27" s="2329">
        <f>'[5]int.kiadások RM V'!G27</f>
        <v>9086</v>
      </c>
      <c r="H27" s="2332">
        <v>8931</v>
      </c>
      <c r="I27" s="2333">
        <f t="shared" si="1"/>
        <v>0.98294078802553375</v>
      </c>
      <c r="J27" s="2332">
        <f>[4]int.kiadások2018!D26</f>
        <v>2093</v>
      </c>
      <c r="K27" s="2329">
        <f>'[5]int.kiadások RM V'!J27</f>
        <v>3263</v>
      </c>
      <c r="L27" s="2332">
        <v>2818</v>
      </c>
      <c r="M27" s="2333">
        <f t="shared" si="2"/>
        <v>0.86362243334354893</v>
      </c>
      <c r="N27" s="2334" t="s">
        <v>1324</v>
      </c>
      <c r="O27" s="2332">
        <f>[4]int.kiadások2018!E26</f>
        <v>0</v>
      </c>
      <c r="P27" s="2329">
        <f>'[5]int.kiadások RM V'!N27</f>
        <v>0</v>
      </c>
      <c r="Q27" s="2332"/>
      <c r="R27" s="2333"/>
      <c r="S27" s="2332">
        <f>[4]int.kiadások2018!F26</f>
        <v>0</v>
      </c>
      <c r="T27" s="2332">
        <f>'[5]int.kiadások RM V'!Q27</f>
        <v>0</v>
      </c>
      <c r="U27" s="2332"/>
      <c r="V27" s="2333"/>
      <c r="W27" s="2329">
        <f t="shared" si="3"/>
        <v>55696</v>
      </c>
      <c r="X27" s="2329">
        <f t="shared" si="3"/>
        <v>57663</v>
      </c>
      <c r="Y27" s="2329">
        <f t="shared" si="3"/>
        <v>56216</v>
      </c>
      <c r="Z27" s="2333">
        <f t="shared" si="4"/>
        <v>0.97490591887345435</v>
      </c>
      <c r="AA27" s="2334" t="s">
        <v>1324</v>
      </c>
      <c r="AB27" s="2332">
        <f>[4]int.kiadások2018!I26</f>
        <v>0</v>
      </c>
      <c r="AC27" s="2329">
        <f>'[5]int.kiadások RM V'!X27</f>
        <v>2010</v>
      </c>
      <c r="AD27" s="2332">
        <v>2009</v>
      </c>
      <c r="AE27" s="2333">
        <f t="shared" si="5"/>
        <v>0.99950248756218907</v>
      </c>
      <c r="AF27" s="2332">
        <f>[4]int.kiadások2018!J26</f>
        <v>0</v>
      </c>
      <c r="AG27" s="2329">
        <f>'[5]int.kiadások RM V'!AA27</f>
        <v>0</v>
      </c>
      <c r="AH27" s="2332"/>
      <c r="AI27" s="2333"/>
      <c r="AJ27" s="2332">
        <f>[4]int.kiadások2018!K26</f>
        <v>0</v>
      </c>
      <c r="AK27" s="2332">
        <f>'[5]int.kiadások RM V'!AD27</f>
        <v>0</v>
      </c>
      <c r="AL27" s="2332"/>
      <c r="AM27" s="2333"/>
      <c r="AN27" s="2334" t="s">
        <v>1324</v>
      </c>
      <c r="AO27" s="2329">
        <f t="shared" si="6"/>
        <v>0</v>
      </c>
      <c r="AP27" s="2329">
        <f t="shared" si="6"/>
        <v>2010</v>
      </c>
      <c r="AQ27" s="2329">
        <f t="shared" si="6"/>
        <v>2009</v>
      </c>
      <c r="AR27" s="2333">
        <f t="shared" si="7"/>
        <v>0.99950248756218907</v>
      </c>
      <c r="AS27" s="2329">
        <f t="shared" si="8"/>
        <v>55696</v>
      </c>
      <c r="AT27" s="2329">
        <f t="shared" si="8"/>
        <v>59673</v>
      </c>
      <c r="AU27" s="2329">
        <f t="shared" si="8"/>
        <v>58225</v>
      </c>
      <c r="AV27" s="2333">
        <f t="shared" si="9"/>
        <v>0.97573441925158777</v>
      </c>
      <c r="AW27" s="2256">
        <f>AS27-'[6]éves besz.bevételei2018'!BD27</f>
        <v>0</v>
      </c>
      <c r="AX27" s="2256">
        <f>AT27-'[6]éves besz.bevételei2018'!BE27</f>
        <v>0</v>
      </c>
      <c r="AY27" s="2256">
        <f>AU27-'[6]éves besz.bevételei2018'!BF27</f>
        <v>-97</v>
      </c>
    </row>
    <row r="28" spans="1:51" s="2254" customFormat="1" ht="49.5" customHeight="1" thickBot="1" x14ac:dyDescent="0.55000000000000004">
      <c r="A28" s="2258" t="s">
        <v>1425</v>
      </c>
      <c r="B28" s="2335">
        <f>SUM(B10:B27)</f>
        <v>1374101</v>
      </c>
      <c r="C28" s="2335">
        <f>SUM(C10:C27)</f>
        <v>1383675</v>
      </c>
      <c r="D28" s="2335">
        <f>SUM(D10:D27)</f>
        <v>1349961</v>
      </c>
      <c r="E28" s="2336">
        <f t="shared" si="0"/>
        <v>0.97563445173180119</v>
      </c>
      <c r="F28" s="2335">
        <f>SUM(F10:F27)</f>
        <v>280155</v>
      </c>
      <c r="G28" s="2335">
        <f>SUM(G10:G27)</f>
        <v>285049</v>
      </c>
      <c r="H28" s="2335">
        <f>SUM(H10:H27)</f>
        <v>277742</v>
      </c>
      <c r="I28" s="2336">
        <f t="shared" si="1"/>
        <v>0.9743658107904255</v>
      </c>
      <c r="J28" s="2335">
        <f>SUM(J10:J27)</f>
        <v>51774</v>
      </c>
      <c r="K28" s="2335">
        <f>SUM(K10:K27)</f>
        <v>80896</v>
      </c>
      <c r="L28" s="2335">
        <f>SUM(L10:L27)</f>
        <v>70870</v>
      </c>
      <c r="M28" s="2336">
        <f t="shared" si="2"/>
        <v>0.87606309335443033</v>
      </c>
      <c r="N28" s="2337" t="s">
        <v>1425</v>
      </c>
      <c r="O28" s="2335">
        <f>SUM(O10:O27)</f>
        <v>0</v>
      </c>
      <c r="P28" s="2335">
        <f>SUM(P10:P27)</f>
        <v>0</v>
      </c>
      <c r="Q28" s="2335">
        <f>SUM(Q10:Q27)</f>
        <v>0</v>
      </c>
      <c r="R28" s="2336"/>
      <c r="S28" s="2335">
        <f>SUM(S10:S27)</f>
        <v>0</v>
      </c>
      <c r="T28" s="2335">
        <f>SUM(T10:T27)</f>
        <v>0</v>
      </c>
      <c r="U28" s="2335">
        <f>SUM(U10:U27)</f>
        <v>0</v>
      </c>
      <c r="V28" s="2336"/>
      <c r="W28" s="2335">
        <f>SUM(W10:W27)</f>
        <v>1706030</v>
      </c>
      <c r="X28" s="2335">
        <f>SUM(X10:X27)</f>
        <v>1749620</v>
      </c>
      <c r="Y28" s="2335">
        <f>SUM(Y10:Y27)</f>
        <v>1698573</v>
      </c>
      <c r="Z28" s="2336">
        <f t="shared" si="4"/>
        <v>0.97082395034350311</v>
      </c>
      <c r="AA28" s="2337" t="s">
        <v>1425</v>
      </c>
      <c r="AB28" s="2335">
        <f>SUM(AB10:AB27)</f>
        <v>0</v>
      </c>
      <c r="AC28" s="2335">
        <f>SUM(AC10:AC27)</f>
        <v>66848</v>
      </c>
      <c r="AD28" s="2335">
        <f>SUM(AD10:AD27)</f>
        <v>52177</v>
      </c>
      <c r="AE28" s="2336">
        <f t="shared" si="5"/>
        <v>0.7805319530876017</v>
      </c>
      <c r="AF28" s="2335">
        <f>SUM(AF10:AF27)</f>
        <v>0</v>
      </c>
      <c r="AG28" s="2335">
        <f>SUM(AG10:AG27)</f>
        <v>56259</v>
      </c>
      <c r="AH28" s="2335">
        <f>SUM(AH10:AH27)</f>
        <v>38554</v>
      </c>
      <c r="AI28" s="2336">
        <f>AH28/AG28</f>
        <v>0.68529479727688014</v>
      </c>
      <c r="AJ28" s="2335">
        <f>SUM(AJ10:AJ27)</f>
        <v>0</v>
      </c>
      <c r="AK28" s="2335">
        <f>SUM(AK10:AK27)</f>
        <v>0</v>
      </c>
      <c r="AL28" s="2335">
        <f>SUM(AL10:AL27)</f>
        <v>0</v>
      </c>
      <c r="AM28" s="2336"/>
      <c r="AN28" s="2337" t="s">
        <v>1425</v>
      </c>
      <c r="AO28" s="2335">
        <f>SUM(AO10:AO27)</f>
        <v>0</v>
      </c>
      <c r="AP28" s="2335">
        <f>SUM(AP10:AP27)</f>
        <v>123107</v>
      </c>
      <c r="AQ28" s="2335">
        <f>SUM(AQ10:AQ27)</f>
        <v>90731</v>
      </c>
      <c r="AR28" s="2336">
        <f t="shared" si="7"/>
        <v>0.73700926836004454</v>
      </c>
      <c r="AS28" s="2335">
        <f>SUM(AS10:AS27)</f>
        <v>1706030</v>
      </c>
      <c r="AT28" s="2335">
        <f>SUM(AT10:AT27)</f>
        <v>1872727</v>
      </c>
      <c r="AU28" s="2335">
        <f>SUM(AU10:AU27)</f>
        <v>1789304</v>
      </c>
      <c r="AV28" s="2336">
        <f t="shared" si="9"/>
        <v>0.95545373137675704</v>
      </c>
      <c r="AW28" s="2256">
        <f>AS28-'[6]éves besz.bevételei2018'!BD28</f>
        <v>0</v>
      </c>
      <c r="AX28" s="2256">
        <f>AT28-'[6]éves besz.bevételei2018'!BE28</f>
        <v>0</v>
      </c>
      <c r="AY28" s="2256">
        <f>AU28-'[6]éves besz.bevételei2018'!BF28</f>
        <v>-7002</v>
      </c>
    </row>
    <row r="29" spans="1:51" s="2254" customFormat="1" ht="49.5" customHeight="1" thickBot="1" x14ac:dyDescent="0.55000000000000004">
      <c r="A29" s="2258" t="s">
        <v>214</v>
      </c>
      <c r="B29" s="2335">
        <f>[4]int.kiadások2018!B28</f>
        <v>186639</v>
      </c>
      <c r="C29" s="2329">
        <f>'[5]int.kiadások RM V'!D29</f>
        <v>197632</v>
      </c>
      <c r="D29" s="2335">
        <f>174419+1</f>
        <v>174420</v>
      </c>
      <c r="E29" s="2336">
        <f t="shared" si="0"/>
        <v>0.88254938471502586</v>
      </c>
      <c r="F29" s="2335">
        <f>[4]int.kiadások2018!C28</f>
        <v>38918</v>
      </c>
      <c r="G29" s="2329">
        <f>'[5]int.kiadások RM V'!G29</f>
        <v>40571</v>
      </c>
      <c r="H29" s="2335">
        <v>35055</v>
      </c>
      <c r="I29" s="2336">
        <f t="shared" si="1"/>
        <v>0.86404081733257743</v>
      </c>
      <c r="J29" s="2335">
        <f>[4]int.kiadások2018!D28</f>
        <v>1255611</v>
      </c>
      <c r="K29" s="2329">
        <f>'[5]int.kiadások RM V'!J29</f>
        <v>1297680</v>
      </c>
      <c r="L29" s="2335">
        <v>1167195</v>
      </c>
      <c r="M29" s="2336">
        <f t="shared" si="2"/>
        <v>0.89944747549472903</v>
      </c>
      <c r="N29" s="2337" t="s">
        <v>214</v>
      </c>
      <c r="O29" s="2335">
        <f>[4]int.kiadások2018!E28</f>
        <v>0</v>
      </c>
      <c r="P29" s="2329">
        <f>'[5]int.kiadások RM V'!N29</f>
        <v>0</v>
      </c>
      <c r="Q29" s="2335"/>
      <c r="R29" s="2336"/>
      <c r="S29" s="2335">
        <f>[4]int.kiadások2018!F28</f>
        <v>0</v>
      </c>
      <c r="T29" s="2335">
        <f>'[5]int.kiadások RM V'!Q29</f>
        <v>0</v>
      </c>
      <c r="U29" s="2335"/>
      <c r="V29" s="2336"/>
      <c r="W29" s="2329">
        <f>B29+F29+J29+O29+S29</f>
        <v>1481168</v>
      </c>
      <c r="X29" s="2329">
        <f>C29+G29+K29+P29+T29</f>
        <v>1535883</v>
      </c>
      <c r="Y29" s="2329">
        <f>D29+H29+L29+Q29+U29</f>
        <v>1376670</v>
      </c>
      <c r="Z29" s="2336">
        <f t="shared" si="4"/>
        <v>0.89633780698139121</v>
      </c>
      <c r="AA29" s="2337" t="s">
        <v>214</v>
      </c>
      <c r="AB29" s="2335">
        <f>[4]int.kiadások2018!I28</f>
        <v>0</v>
      </c>
      <c r="AC29" s="2329">
        <f>'[5]int.kiadások RM V'!X29</f>
        <v>43258</v>
      </c>
      <c r="AD29" s="2335">
        <v>41984</v>
      </c>
      <c r="AE29" s="2336">
        <f t="shared" si="5"/>
        <v>0.97054880022192425</v>
      </c>
      <c r="AF29" s="2335">
        <f>[4]int.kiadások2018!J28</f>
        <v>0</v>
      </c>
      <c r="AG29" s="2329">
        <f>'[5]int.kiadások RM V'!AA29</f>
        <v>40162</v>
      </c>
      <c r="AH29" s="2335">
        <v>33324</v>
      </c>
      <c r="AI29" s="2336">
        <f>AH29/AG29</f>
        <v>0.82973955480304762</v>
      </c>
      <c r="AJ29" s="2335">
        <f>[4]int.kiadások2018!K28</f>
        <v>0</v>
      </c>
      <c r="AK29" s="2335">
        <f>'[5]int.kiadások RM V'!AD29</f>
        <v>0</v>
      </c>
      <c r="AL29" s="2335"/>
      <c r="AM29" s="2336"/>
      <c r="AN29" s="2337" t="s">
        <v>214</v>
      </c>
      <c r="AO29" s="2329">
        <f>AB29+AF29+AJ29</f>
        <v>0</v>
      </c>
      <c r="AP29" s="2329">
        <f>AC29+AG29+AK29</f>
        <v>83420</v>
      </c>
      <c r="AQ29" s="2329">
        <f>AD29+AH29+AL29</f>
        <v>75308</v>
      </c>
      <c r="AR29" s="2336">
        <f t="shared" si="7"/>
        <v>0.90275713258211465</v>
      </c>
      <c r="AS29" s="2329">
        <f>W29+AO29</f>
        <v>1481168</v>
      </c>
      <c r="AT29" s="2329">
        <f>X29+AP29</f>
        <v>1619303</v>
      </c>
      <c r="AU29" s="2329">
        <f>Y29+AQ29</f>
        <v>1451978</v>
      </c>
      <c r="AV29" s="2336">
        <f t="shared" si="9"/>
        <v>0.89666850490612315</v>
      </c>
      <c r="AW29" s="2256">
        <f>AS29-'[6]éves besz.bevételei2018'!BD29</f>
        <v>0</v>
      </c>
      <c r="AX29" s="2256">
        <f>AT29-'[6]éves besz.bevételei2018'!BE29</f>
        <v>0</v>
      </c>
      <c r="AY29" s="2256">
        <f>AU29-'[6]éves besz.bevételei2018'!BF29</f>
        <v>-9225</v>
      </c>
    </row>
    <row r="30" spans="1:51" s="2254" customFormat="1" ht="49.5" customHeight="1" thickBot="1" x14ac:dyDescent="0.55000000000000004">
      <c r="A30" s="2258" t="s">
        <v>3</v>
      </c>
      <c r="B30" s="2335">
        <f>SUM(B28:B29)</f>
        <v>1560740</v>
      </c>
      <c r="C30" s="2335">
        <f>SUM(C28:C29)</f>
        <v>1581307</v>
      </c>
      <c r="D30" s="2335">
        <f>SUM(D28:D29)</f>
        <v>1524381</v>
      </c>
      <c r="E30" s="2338">
        <f t="shared" si="0"/>
        <v>0.96400066527246131</v>
      </c>
      <c r="F30" s="2335">
        <f>SUM(F28:F29)</f>
        <v>319073</v>
      </c>
      <c r="G30" s="2335">
        <f>SUM(G28:G29)</f>
        <v>325620</v>
      </c>
      <c r="H30" s="2335">
        <f>SUM(H28:H29)</f>
        <v>312797</v>
      </c>
      <c r="I30" s="2338">
        <f t="shared" si="1"/>
        <v>0.96061974080216206</v>
      </c>
      <c r="J30" s="2335">
        <f>SUM(J28:J29)</f>
        <v>1307385</v>
      </c>
      <c r="K30" s="2335">
        <f>SUM(K28:K29)</f>
        <v>1378576</v>
      </c>
      <c r="L30" s="2335">
        <f>SUM(L28:L29)</f>
        <v>1238065</v>
      </c>
      <c r="M30" s="2338">
        <f t="shared" si="2"/>
        <v>0.89807526026856699</v>
      </c>
      <c r="N30" s="2337" t="s">
        <v>3</v>
      </c>
      <c r="O30" s="2335">
        <f>SUM(O28:O29)</f>
        <v>0</v>
      </c>
      <c r="P30" s="2335">
        <f>SUM(P28:P29)</f>
        <v>0</v>
      </c>
      <c r="Q30" s="2335">
        <f>SUM(Q28:Q29)</f>
        <v>0</v>
      </c>
      <c r="R30" s="2338"/>
      <c r="S30" s="2335">
        <f>SUM(S28:S29)</f>
        <v>0</v>
      </c>
      <c r="T30" s="2335">
        <f>SUM(T28:T29)</f>
        <v>0</v>
      </c>
      <c r="U30" s="2335">
        <f>SUM(U28:U29)</f>
        <v>0</v>
      </c>
      <c r="V30" s="2338"/>
      <c r="W30" s="2335">
        <f>SUM(W28:W29)</f>
        <v>3187198</v>
      </c>
      <c r="X30" s="2335">
        <f>SUM(X28:X29)</f>
        <v>3285503</v>
      </c>
      <c r="Y30" s="2335">
        <f>SUM(Y28:Y29)</f>
        <v>3075243</v>
      </c>
      <c r="Z30" s="2338">
        <f t="shared" si="4"/>
        <v>0.93600371084731926</v>
      </c>
      <c r="AA30" s="2337" t="s">
        <v>3</v>
      </c>
      <c r="AB30" s="2335">
        <f>SUM(AB28:AB29)</f>
        <v>0</v>
      </c>
      <c r="AC30" s="2335">
        <f>SUM(AC28:AC29)</f>
        <v>110106</v>
      </c>
      <c r="AD30" s="2335">
        <f>SUM(AD28:AD29)</f>
        <v>94161</v>
      </c>
      <c r="AE30" s="2338">
        <f t="shared" si="5"/>
        <v>0.8551850035420413</v>
      </c>
      <c r="AF30" s="2335">
        <f>SUM(AF28:AF29)</f>
        <v>0</v>
      </c>
      <c r="AG30" s="2335">
        <f>SUM(AG28:AG29)</f>
        <v>96421</v>
      </c>
      <c r="AH30" s="2335">
        <f>SUM(AH28:AH29)</f>
        <v>71878</v>
      </c>
      <c r="AI30" s="2338">
        <f>AH30/AG30</f>
        <v>0.74546001389738747</v>
      </c>
      <c r="AJ30" s="2335">
        <f>SUM(AJ28:AJ29)</f>
        <v>0</v>
      </c>
      <c r="AK30" s="2335">
        <f>SUM(AK28:AK29)</f>
        <v>0</v>
      </c>
      <c r="AL30" s="2335">
        <f>SUM(AL28:AL29)</f>
        <v>0</v>
      </c>
      <c r="AM30" s="2338"/>
      <c r="AN30" s="2337" t="s">
        <v>3</v>
      </c>
      <c r="AO30" s="2335">
        <f>SUM(AO28:AO29)</f>
        <v>0</v>
      </c>
      <c r="AP30" s="2335">
        <f>SUM(AP28:AP29)</f>
        <v>206527</v>
      </c>
      <c r="AQ30" s="2335">
        <f>SUM(AQ28:AQ29)</f>
        <v>166039</v>
      </c>
      <c r="AR30" s="2338">
        <f t="shared" si="7"/>
        <v>0.80395783602144033</v>
      </c>
      <c r="AS30" s="2335">
        <f>SUM(AS28:AS29)</f>
        <v>3187198</v>
      </c>
      <c r="AT30" s="2335">
        <f>SUM(AT28:AT29)</f>
        <v>3492030</v>
      </c>
      <c r="AU30" s="2335">
        <f>SUM(AU28:AU29)</f>
        <v>3241282</v>
      </c>
      <c r="AV30" s="2338">
        <f t="shared" si="9"/>
        <v>0.92819420222621229</v>
      </c>
      <c r="AW30" s="2256">
        <f>AS30-'[6]éves besz.bevételei2018'!BD30</f>
        <v>0</v>
      </c>
      <c r="AX30" s="2256">
        <f>AT30-'[6]éves besz.bevételei2018'!BE30</f>
        <v>0</v>
      </c>
      <c r="AY30" s="2256">
        <f>AU30-'[6]éves besz.bevételei2018'!BF30</f>
        <v>-16227</v>
      </c>
    </row>
    <row r="31" spans="1:51" s="2254" customFormat="1" ht="49.5" customHeight="1" x14ac:dyDescent="0.5">
      <c r="A31" s="2259" t="s">
        <v>1327</v>
      </c>
      <c r="B31" s="2332"/>
      <c r="C31" s="2332"/>
      <c r="D31" s="2332"/>
      <c r="E31" s="2332"/>
      <c r="F31" s="2332"/>
      <c r="G31" s="2332"/>
      <c r="H31" s="2332"/>
      <c r="I31" s="2332"/>
      <c r="J31" s="2332"/>
      <c r="K31" s="2332"/>
      <c r="L31" s="2332"/>
      <c r="M31" s="2332"/>
      <c r="N31" s="2339" t="s">
        <v>1327</v>
      </c>
      <c r="O31" s="2332"/>
      <c r="P31" s="2332"/>
      <c r="Q31" s="2332"/>
      <c r="R31" s="2332"/>
      <c r="S31" s="2332"/>
      <c r="T31" s="2332"/>
      <c r="U31" s="2332"/>
      <c r="V31" s="2332"/>
      <c r="W31" s="2332"/>
      <c r="X31" s="2332"/>
      <c r="Y31" s="2332"/>
      <c r="Z31" s="2332"/>
      <c r="AA31" s="2339" t="s">
        <v>1327</v>
      </c>
      <c r="AB31" s="2332"/>
      <c r="AC31" s="2332"/>
      <c r="AD31" s="2332"/>
      <c r="AE31" s="2332"/>
      <c r="AF31" s="2332"/>
      <c r="AG31" s="2332"/>
      <c r="AH31" s="2332"/>
      <c r="AI31" s="2332"/>
      <c r="AJ31" s="2332"/>
      <c r="AK31" s="2332"/>
      <c r="AL31" s="2332"/>
      <c r="AM31" s="2332"/>
      <c r="AN31" s="2339" t="s">
        <v>1327</v>
      </c>
      <c r="AO31" s="2332"/>
      <c r="AP31" s="2332"/>
      <c r="AQ31" s="2332"/>
      <c r="AR31" s="2332"/>
      <c r="AS31" s="2332"/>
      <c r="AT31" s="2332"/>
      <c r="AU31" s="2332"/>
      <c r="AV31" s="2332"/>
      <c r="AW31" s="2256"/>
      <c r="AX31" s="2256"/>
      <c r="AY31" s="2256"/>
    </row>
    <row r="32" spans="1:51" s="2254" customFormat="1" ht="49.5" customHeight="1" x14ac:dyDescent="0.5">
      <c r="A32" s="2260" t="s">
        <v>1426</v>
      </c>
      <c r="B32" s="2332"/>
      <c r="C32" s="2332"/>
      <c r="D32" s="2332"/>
      <c r="E32" s="2332"/>
      <c r="F32" s="2332"/>
      <c r="G32" s="2332"/>
      <c r="H32" s="2332"/>
      <c r="I32" s="2332"/>
      <c r="J32" s="2332"/>
      <c r="K32" s="2332"/>
      <c r="L32" s="2332"/>
      <c r="M32" s="2332"/>
      <c r="N32" s="2340" t="s">
        <v>1426</v>
      </c>
      <c r="O32" s="2332"/>
      <c r="P32" s="2332"/>
      <c r="Q32" s="2332"/>
      <c r="R32" s="2332"/>
      <c r="S32" s="2332"/>
      <c r="T32" s="2332"/>
      <c r="U32" s="2332"/>
      <c r="V32" s="2332"/>
      <c r="W32" s="2332"/>
      <c r="X32" s="2332"/>
      <c r="Y32" s="2332"/>
      <c r="Z32" s="2332"/>
      <c r="AA32" s="2340" t="s">
        <v>1426</v>
      </c>
      <c r="AB32" s="2332"/>
      <c r="AC32" s="2332"/>
      <c r="AD32" s="2332"/>
      <c r="AE32" s="2332"/>
      <c r="AF32" s="2332"/>
      <c r="AG32" s="2332"/>
      <c r="AH32" s="2332"/>
      <c r="AI32" s="2332"/>
      <c r="AJ32" s="2332"/>
      <c r="AK32" s="2332"/>
      <c r="AL32" s="2332"/>
      <c r="AM32" s="2332"/>
      <c r="AN32" s="2340" t="s">
        <v>1426</v>
      </c>
      <c r="AO32" s="2332"/>
      <c r="AP32" s="2332"/>
      <c r="AQ32" s="2332"/>
      <c r="AR32" s="2332"/>
      <c r="AS32" s="2332"/>
      <c r="AT32" s="2332"/>
      <c r="AU32" s="2332"/>
      <c r="AV32" s="2332"/>
      <c r="AW32" s="2256"/>
      <c r="AX32" s="2256"/>
      <c r="AY32" s="2256"/>
    </row>
    <row r="33" spans="1:51" s="2254" customFormat="1" ht="49.5" customHeight="1" x14ac:dyDescent="0.5">
      <c r="A33" s="2261" t="s">
        <v>1329</v>
      </c>
      <c r="B33" s="2332">
        <f>[4]int.kiadások2018!B32</f>
        <v>103144</v>
      </c>
      <c r="C33" s="2329">
        <f>'[5]int.kiadások RM V'!D33</f>
        <v>114756</v>
      </c>
      <c r="D33" s="2332">
        <v>114139</v>
      </c>
      <c r="E33" s="2330">
        <f t="shared" ref="E33:E38" si="11">D33/C33</f>
        <v>0.99462337481264596</v>
      </c>
      <c r="F33" s="2332">
        <f>[4]int.kiadások2018!C32</f>
        <v>22719</v>
      </c>
      <c r="G33" s="2329">
        <f>'[5]int.kiadások RM V'!G33</f>
        <v>25071</v>
      </c>
      <c r="H33" s="2332">
        <v>24941</v>
      </c>
      <c r="I33" s="2330">
        <f t="shared" ref="I33:I38" si="12">H33/G33</f>
        <v>0.99481472617765543</v>
      </c>
      <c r="J33" s="2332">
        <f>[4]int.kiadások2018!D32</f>
        <v>246969</v>
      </c>
      <c r="K33" s="2329">
        <f>'[5]int.kiadások RM V'!J33</f>
        <v>349496</v>
      </c>
      <c r="L33" s="2332">
        <v>331833</v>
      </c>
      <c r="M33" s="2330">
        <f t="shared" ref="M33:M38" si="13">L33/K33</f>
        <v>0.94946151028910197</v>
      </c>
      <c r="N33" s="2341" t="s">
        <v>1329</v>
      </c>
      <c r="O33" s="2332">
        <f>[4]int.kiadások2018!E32</f>
        <v>0</v>
      </c>
      <c r="P33" s="2329">
        <f>'[5]int.kiadások RM V'!N33</f>
        <v>0</v>
      </c>
      <c r="Q33" s="2332"/>
      <c r="R33" s="2330"/>
      <c r="S33" s="2332">
        <f>[4]int.kiadások2018!F32</f>
        <v>0</v>
      </c>
      <c r="T33" s="2332">
        <f>'[5]int.kiadások RM V'!Q33</f>
        <v>0</v>
      </c>
      <c r="U33" s="2332"/>
      <c r="V33" s="2330"/>
      <c r="W33" s="2329">
        <f t="shared" ref="W33:Y37" si="14">B33+F33+J33+O33+S33</f>
        <v>372832</v>
      </c>
      <c r="X33" s="2329">
        <f t="shared" si="14"/>
        <v>489323</v>
      </c>
      <c r="Y33" s="2329">
        <f t="shared" si="14"/>
        <v>470913</v>
      </c>
      <c r="Z33" s="2330">
        <f t="shared" ref="Z33:Z38" si="15">Y33/X33</f>
        <v>0.96237658969637641</v>
      </c>
      <c r="AA33" s="2341" t="s">
        <v>1329</v>
      </c>
      <c r="AB33" s="2332">
        <f>[4]int.kiadások2018!I32</f>
        <v>0</v>
      </c>
      <c r="AC33" s="2329">
        <f>'[5]int.kiadások RM V'!X33</f>
        <v>5069</v>
      </c>
      <c r="AD33" s="2332">
        <v>5068</v>
      </c>
      <c r="AE33" s="2330">
        <f t="shared" ref="AE33:AE38" si="16">AD33/AC33</f>
        <v>0.99980272243045964</v>
      </c>
      <c r="AF33" s="2332">
        <f>[4]int.kiadások2018!J32</f>
        <v>0</v>
      </c>
      <c r="AG33" s="2329">
        <f>'[5]int.kiadások RM V'!AA33</f>
        <v>2604</v>
      </c>
      <c r="AH33" s="2332">
        <v>2602</v>
      </c>
      <c r="AI33" s="2330">
        <f>AH33/AG33</f>
        <v>0.99923195084485406</v>
      </c>
      <c r="AJ33" s="2332">
        <f>[4]int.kiadások2018!K32</f>
        <v>0</v>
      </c>
      <c r="AK33" s="2332">
        <f>'[5]int.kiadások RM V'!AD33</f>
        <v>0</v>
      </c>
      <c r="AL33" s="2332"/>
      <c r="AM33" s="2330"/>
      <c r="AN33" s="2341" t="s">
        <v>1329</v>
      </c>
      <c r="AO33" s="2329">
        <f t="shared" ref="AO33:AQ37" si="17">AB33+AF33+AJ33</f>
        <v>0</v>
      </c>
      <c r="AP33" s="2329">
        <f t="shared" si="17"/>
        <v>7673</v>
      </c>
      <c r="AQ33" s="2329">
        <f t="shared" si="17"/>
        <v>7670</v>
      </c>
      <c r="AR33" s="2330">
        <f t="shared" ref="AR33:AR38" si="18">AQ33/AP33</f>
        <v>0.99960901863677831</v>
      </c>
      <c r="AS33" s="2329">
        <f t="shared" ref="AS33:AU37" si="19">W33+AO33</f>
        <v>372832</v>
      </c>
      <c r="AT33" s="2329">
        <f t="shared" si="19"/>
        <v>496996</v>
      </c>
      <c r="AU33" s="2329">
        <f>Y33+AQ33</f>
        <v>478583</v>
      </c>
      <c r="AV33" s="2330">
        <f t="shared" ref="AV33:AV38" si="20">AU33/AT33</f>
        <v>0.96295141208379942</v>
      </c>
      <c r="AW33" s="2256">
        <f>AS33-'[6]éves besz.bevételei2018'!BD33</f>
        <v>0</v>
      </c>
      <c r="AX33" s="2256">
        <f>AT33-'[6]éves besz.bevételei2018'!BE33</f>
        <v>0</v>
      </c>
      <c r="AY33" s="2256">
        <f>AU33-'[6]éves besz.bevételei2018'!BF33</f>
        <v>-1041</v>
      </c>
    </row>
    <row r="34" spans="1:51" s="2254" customFormat="1" ht="49.5" customHeight="1" x14ac:dyDescent="0.5">
      <c r="A34" s="2262" t="s">
        <v>373</v>
      </c>
      <c r="B34" s="2342">
        <f>[4]int.kiadások2018!B33</f>
        <v>71348</v>
      </c>
      <c r="C34" s="2329">
        <f>'[5]int.kiadások RM V'!D34</f>
        <v>77872</v>
      </c>
      <c r="D34" s="2342">
        <f>73479+1</f>
        <v>73480</v>
      </c>
      <c r="E34" s="2330">
        <f t="shared" si="11"/>
        <v>0.94359975344154512</v>
      </c>
      <c r="F34" s="2342">
        <f>[4]int.kiadások2018!C33</f>
        <v>14087</v>
      </c>
      <c r="G34" s="2329">
        <f>'[5]int.kiadások RM V'!G34</f>
        <v>15521</v>
      </c>
      <c r="H34" s="2342">
        <v>14258</v>
      </c>
      <c r="I34" s="2330">
        <f t="shared" si="12"/>
        <v>0.91862637716641971</v>
      </c>
      <c r="J34" s="2342">
        <f>[4]int.kiadások2018!D33</f>
        <v>33995</v>
      </c>
      <c r="K34" s="2329">
        <f>'[5]int.kiadások RM V'!J34</f>
        <v>64252</v>
      </c>
      <c r="L34" s="2342">
        <v>49174</v>
      </c>
      <c r="M34" s="2330">
        <f t="shared" si="13"/>
        <v>0.76533026209300881</v>
      </c>
      <c r="N34" s="2343" t="s">
        <v>373</v>
      </c>
      <c r="O34" s="2342">
        <f>[4]int.kiadások2018!E33</f>
        <v>0</v>
      </c>
      <c r="P34" s="2329">
        <f>'[5]int.kiadások RM V'!N34</f>
        <v>0</v>
      </c>
      <c r="Q34" s="2342"/>
      <c r="R34" s="2330"/>
      <c r="S34" s="2342">
        <f>[4]int.kiadások2018!F33</f>
        <v>0</v>
      </c>
      <c r="T34" s="2342">
        <f>'[5]int.kiadások RM V'!Q34</f>
        <v>284</v>
      </c>
      <c r="U34" s="2342">
        <v>283</v>
      </c>
      <c r="V34" s="2330">
        <f>U34/T34</f>
        <v>0.99647887323943662</v>
      </c>
      <c r="W34" s="2329">
        <f t="shared" si="14"/>
        <v>119430</v>
      </c>
      <c r="X34" s="2329">
        <f t="shared" si="14"/>
        <v>157929</v>
      </c>
      <c r="Y34" s="2329">
        <f t="shared" si="14"/>
        <v>137195</v>
      </c>
      <c r="Z34" s="2330">
        <f t="shared" si="15"/>
        <v>0.86871315591183385</v>
      </c>
      <c r="AA34" s="2343" t="s">
        <v>373</v>
      </c>
      <c r="AB34" s="2342">
        <f>[4]int.kiadások2018!I33</f>
        <v>0</v>
      </c>
      <c r="AC34" s="2329">
        <f>'[5]int.kiadások RM V'!X34</f>
        <v>156</v>
      </c>
      <c r="AD34" s="2342">
        <v>155</v>
      </c>
      <c r="AE34" s="2330">
        <f t="shared" si="16"/>
        <v>0.99358974358974361</v>
      </c>
      <c r="AF34" s="2342">
        <f>[4]int.kiadások2018!J33</f>
        <v>0</v>
      </c>
      <c r="AG34" s="2329">
        <f>'[5]int.kiadások RM V'!AA34</f>
        <v>0</v>
      </c>
      <c r="AH34" s="2342"/>
      <c r="AI34" s="2330"/>
      <c r="AJ34" s="2342">
        <f>[4]int.kiadások2018!K33</f>
        <v>0</v>
      </c>
      <c r="AK34" s="2342">
        <f>'[5]int.kiadások RM V'!AD34</f>
        <v>0</v>
      </c>
      <c r="AL34" s="2342"/>
      <c r="AM34" s="2330"/>
      <c r="AN34" s="2343" t="s">
        <v>373</v>
      </c>
      <c r="AO34" s="2329">
        <f t="shared" si="17"/>
        <v>0</v>
      </c>
      <c r="AP34" s="2329">
        <f t="shared" si="17"/>
        <v>156</v>
      </c>
      <c r="AQ34" s="2329">
        <f t="shared" si="17"/>
        <v>155</v>
      </c>
      <c r="AR34" s="2330">
        <f t="shared" si="18"/>
        <v>0.99358974358974361</v>
      </c>
      <c r="AS34" s="2329">
        <f t="shared" si="19"/>
        <v>119430</v>
      </c>
      <c r="AT34" s="2329">
        <f t="shared" si="19"/>
        <v>158085</v>
      </c>
      <c r="AU34" s="2329">
        <f>Y34+AQ34</f>
        <v>137350</v>
      </c>
      <c r="AV34" s="2330">
        <f t="shared" si="20"/>
        <v>0.86883638548881925</v>
      </c>
      <c r="AW34" s="2256">
        <f>AS34-'[6]éves besz.bevételei2018'!BD34</f>
        <v>0</v>
      </c>
      <c r="AX34" s="2256">
        <f>AT34-'[6]éves besz.bevételei2018'!BE34</f>
        <v>0</v>
      </c>
      <c r="AY34" s="2256">
        <f>AU34-'[6]éves besz.bevételei2018'!BF34</f>
        <v>-9666</v>
      </c>
    </row>
    <row r="35" spans="1:51" s="2254" customFormat="1" ht="49.5" customHeight="1" x14ac:dyDescent="0.5">
      <c r="A35" s="2262" t="s">
        <v>1330</v>
      </c>
      <c r="B35" s="2342">
        <f>[4]int.kiadások2018!B34</f>
        <v>278848</v>
      </c>
      <c r="C35" s="2329">
        <f>'[5]int.kiadások RM V'!D35</f>
        <v>336591</v>
      </c>
      <c r="D35" s="2342">
        <v>306108</v>
      </c>
      <c r="E35" s="2330">
        <f t="shared" si="11"/>
        <v>0.90943608117864116</v>
      </c>
      <c r="F35" s="2342">
        <f>[4]int.kiadások2018!C34</f>
        <v>53320</v>
      </c>
      <c r="G35" s="2329">
        <f>'[5]int.kiadások RM V'!G35</f>
        <v>70595</v>
      </c>
      <c r="H35" s="2342">
        <v>64773</v>
      </c>
      <c r="I35" s="2330">
        <f t="shared" si="12"/>
        <v>0.91752957008286706</v>
      </c>
      <c r="J35" s="2342">
        <f>[4]int.kiadások2018!D34</f>
        <v>140985</v>
      </c>
      <c r="K35" s="2329">
        <f>'[5]int.kiadások RM V'!J35</f>
        <v>202902</v>
      </c>
      <c r="L35" s="2342">
        <v>150542</v>
      </c>
      <c r="M35" s="2330">
        <f t="shared" si="13"/>
        <v>0.74194438694542197</v>
      </c>
      <c r="N35" s="2343" t="s">
        <v>1330</v>
      </c>
      <c r="O35" s="2342">
        <f>[4]int.kiadások2018!E34</f>
        <v>0</v>
      </c>
      <c r="P35" s="2329">
        <f>'[5]int.kiadások RM V'!N35</f>
        <v>0</v>
      </c>
      <c r="Q35" s="2342"/>
      <c r="R35" s="2330"/>
      <c r="S35" s="2342">
        <f>[4]int.kiadások2018!F34</f>
        <v>0</v>
      </c>
      <c r="T35" s="2342">
        <f>'[5]int.kiadások RM V'!Q35</f>
        <v>0</v>
      </c>
      <c r="U35" s="2342"/>
      <c r="V35" s="2330"/>
      <c r="W35" s="2329">
        <f t="shared" si="14"/>
        <v>473153</v>
      </c>
      <c r="X35" s="2329">
        <f t="shared" si="14"/>
        <v>610088</v>
      </c>
      <c r="Y35" s="2329">
        <f t="shared" si="14"/>
        <v>521423</v>
      </c>
      <c r="Z35" s="2330">
        <f t="shared" si="15"/>
        <v>0.85466850683835771</v>
      </c>
      <c r="AA35" s="2343" t="s">
        <v>1330</v>
      </c>
      <c r="AB35" s="2342">
        <f>[4]int.kiadások2018!I34</f>
        <v>0</v>
      </c>
      <c r="AC35" s="2329">
        <f>'[5]int.kiadások RM V'!X35</f>
        <v>18781</v>
      </c>
      <c r="AD35" s="2342">
        <v>14454</v>
      </c>
      <c r="AE35" s="2330">
        <f t="shared" si="16"/>
        <v>0.76960758213087699</v>
      </c>
      <c r="AF35" s="2342">
        <f>[4]int.kiadások2018!J34</f>
        <v>0</v>
      </c>
      <c r="AG35" s="2329">
        <f>'[5]int.kiadások RM V'!AA35</f>
        <v>0</v>
      </c>
      <c r="AH35" s="2342"/>
      <c r="AI35" s="2330"/>
      <c r="AJ35" s="2342">
        <f>[4]int.kiadások2018!K34</f>
        <v>0</v>
      </c>
      <c r="AK35" s="2342">
        <f>'[5]int.kiadások RM V'!AD35</f>
        <v>0</v>
      </c>
      <c r="AL35" s="2342"/>
      <c r="AM35" s="2330"/>
      <c r="AN35" s="2343" t="s">
        <v>1330</v>
      </c>
      <c r="AO35" s="2329">
        <f t="shared" si="17"/>
        <v>0</v>
      </c>
      <c r="AP35" s="2329">
        <f t="shared" si="17"/>
        <v>18781</v>
      </c>
      <c r="AQ35" s="2329">
        <f t="shared" si="17"/>
        <v>14454</v>
      </c>
      <c r="AR35" s="2330">
        <f t="shared" si="18"/>
        <v>0.76960758213087699</v>
      </c>
      <c r="AS35" s="2329">
        <f t="shared" si="19"/>
        <v>473153</v>
      </c>
      <c r="AT35" s="2329">
        <f t="shared" si="19"/>
        <v>628869</v>
      </c>
      <c r="AU35" s="2329">
        <f t="shared" si="19"/>
        <v>535877</v>
      </c>
      <c r="AV35" s="2330">
        <f t="shared" si="20"/>
        <v>0.85212818567937043</v>
      </c>
      <c r="AW35" s="2256">
        <f>AS35-'[6]éves besz.bevételei2018'!BD35</f>
        <v>0</v>
      </c>
      <c r="AX35" s="2256">
        <f>AT35-'[6]éves besz.bevételei2018'!BE35</f>
        <v>0</v>
      </c>
      <c r="AY35" s="2256">
        <f>AU35-'[6]éves besz.bevételei2018'!BF35</f>
        <v>-12677</v>
      </c>
    </row>
    <row r="36" spans="1:51" s="2254" customFormat="1" ht="49.5" customHeight="1" x14ac:dyDescent="0.5">
      <c r="A36" s="2262" t="s">
        <v>1331</v>
      </c>
      <c r="B36" s="2342">
        <f>[4]int.kiadások2018!B35</f>
        <v>134579</v>
      </c>
      <c r="C36" s="2329">
        <f>'[5]int.kiadások RM V'!D36</f>
        <v>190963</v>
      </c>
      <c r="D36" s="2342">
        <v>168757</v>
      </c>
      <c r="E36" s="2330">
        <f t="shared" si="11"/>
        <v>0.88371569361604085</v>
      </c>
      <c r="F36" s="2342">
        <f>[4]int.kiadások2018!C35</f>
        <v>26024</v>
      </c>
      <c r="G36" s="2329">
        <f>'[5]int.kiadások RM V'!G36</f>
        <v>36234</v>
      </c>
      <c r="H36" s="2342">
        <v>34072</v>
      </c>
      <c r="I36" s="2330">
        <f t="shared" si="12"/>
        <v>0.94033228459457963</v>
      </c>
      <c r="J36" s="2342">
        <f>[4]int.kiadások2018!D35</f>
        <v>72731</v>
      </c>
      <c r="K36" s="2329">
        <f>'[5]int.kiadások RM V'!J36</f>
        <v>189990</v>
      </c>
      <c r="L36" s="2342">
        <v>171557</v>
      </c>
      <c r="M36" s="2330">
        <f t="shared" si="13"/>
        <v>0.90297910416337701</v>
      </c>
      <c r="N36" s="2343" t="s">
        <v>1331</v>
      </c>
      <c r="O36" s="2342">
        <f>[4]int.kiadások2018!E35</f>
        <v>0</v>
      </c>
      <c r="P36" s="2329">
        <f>'[5]int.kiadások RM V'!N36</f>
        <v>0</v>
      </c>
      <c r="Q36" s="2342"/>
      <c r="R36" s="2330"/>
      <c r="S36" s="2342">
        <f>[4]int.kiadások2018!F35</f>
        <v>0</v>
      </c>
      <c r="T36" s="2342">
        <f>'[5]int.kiadások RM V'!Q36</f>
        <v>0</v>
      </c>
      <c r="U36" s="2342"/>
      <c r="V36" s="2330"/>
      <c r="W36" s="2329">
        <f t="shared" si="14"/>
        <v>233334</v>
      </c>
      <c r="X36" s="2329">
        <f t="shared" si="14"/>
        <v>417187</v>
      </c>
      <c r="Y36" s="2329">
        <f t="shared" si="14"/>
        <v>374386</v>
      </c>
      <c r="Z36" s="2330">
        <f t="shared" si="15"/>
        <v>0.89740571973719219</v>
      </c>
      <c r="AA36" s="2343" t="s">
        <v>1331</v>
      </c>
      <c r="AB36" s="2342">
        <f>[4]int.kiadások2018!I35</f>
        <v>0</v>
      </c>
      <c r="AC36" s="2329">
        <f>'[5]int.kiadások RM V'!X36</f>
        <v>18526</v>
      </c>
      <c r="AD36" s="2342">
        <v>9191</v>
      </c>
      <c r="AE36" s="2330">
        <f t="shared" si="16"/>
        <v>0.49611357011767249</v>
      </c>
      <c r="AF36" s="2342">
        <f>[4]int.kiadások2018!J35</f>
        <v>0</v>
      </c>
      <c r="AG36" s="2329">
        <f>'[5]int.kiadások RM V'!AA36</f>
        <v>0</v>
      </c>
      <c r="AH36" s="2342"/>
      <c r="AI36" s="2330"/>
      <c r="AJ36" s="2342">
        <f>[4]int.kiadások2018!K35</f>
        <v>0</v>
      </c>
      <c r="AK36" s="2342">
        <f>'[5]int.kiadások RM V'!AD36</f>
        <v>0</v>
      </c>
      <c r="AL36" s="2342"/>
      <c r="AM36" s="2330"/>
      <c r="AN36" s="2343" t="s">
        <v>1331</v>
      </c>
      <c r="AO36" s="2329">
        <f t="shared" si="17"/>
        <v>0</v>
      </c>
      <c r="AP36" s="2329">
        <f t="shared" si="17"/>
        <v>18526</v>
      </c>
      <c r="AQ36" s="2329">
        <f t="shared" si="17"/>
        <v>9191</v>
      </c>
      <c r="AR36" s="2330">
        <f t="shared" si="18"/>
        <v>0.49611357011767249</v>
      </c>
      <c r="AS36" s="2329">
        <f t="shared" si="19"/>
        <v>233334</v>
      </c>
      <c r="AT36" s="2329">
        <f t="shared" si="19"/>
        <v>435713</v>
      </c>
      <c r="AU36" s="2329">
        <f>Y36+AQ36</f>
        <v>383577</v>
      </c>
      <c r="AV36" s="2330">
        <f t="shared" si="20"/>
        <v>0.88034325347189546</v>
      </c>
      <c r="AW36" s="2256">
        <f>AS36-'[6]éves besz.bevételei2018'!BD36</f>
        <v>0</v>
      </c>
      <c r="AX36" s="2256">
        <f>AT36-'[6]éves besz.bevételei2018'!BE36</f>
        <v>0</v>
      </c>
      <c r="AY36" s="2256">
        <f>AU36-'[6]éves besz.bevételei2018'!BF36</f>
        <v>-38946</v>
      </c>
    </row>
    <row r="37" spans="1:51" s="2254" customFormat="1" ht="49.5" customHeight="1" thickBot="1" x14ac:dyDescent="0.55000000000000004">
      <c r="A37" s="2263" t="s">
        <v>1332</v>
      </c>
      <c r="B37" s="2342">
        <f>[4]int.kiadások2018!B36</f>
        <v>283707</v>
      </c>
      <c r="C37" s="2329">
        <f>'[5]int.kiadások RM V'!D37</f>
        <v>334688</v>
      </c>
      <c r="D37" s="2342">
        <v>296311</v>
      </c>
      <c r="E37" s="2333">
        <f t="shared" si="11"/>
        <v>0.88533499856582842</v>
      </c>
      <c r="F37" s="2342">
        <f>[4]int.kiadások2018!C36</f>
        <v>54904</v>
      </c>
      <c r="G37" s="2329">
        <f>'[5]int.kiadások RM V'!G37</f>
        <v>65608</v>
      </c>
      <c r="H37" s="2342">
        <v>62812</v>
      </c>
      <c r="I37" s="2333">
        <f t="shared" si="12"/>
        <v>0.95738324594561641</v>
      </c>
      <c r="J37" s="2342">
        <f>[4]int.kiadások2018!D36</f>
        <v>163239</v>
      </c>
      <c r="K37" s="2329">
        <f>'[5]int.kiadások RM V'!J37</f>
        <v>374894</v>
      </c>
      <c r="L37" s="2342">
        <v>361146</v>
      </c>
      <c r="M37" s="2333">
        <f t="shared" si="13"/>
        <v>0.96332830079969267</v>
      </c>
      <c r="N37" s="2344" t="s">
        <v>1332</v>
      </c>
      <c r="O37" s="2342">
        <f>[4]int.kiadások2018!E36</f>
        <v>0</v>
      </c>
      <c r="P37" s="2329">
        <f>'[5]int.kiadások RM V'!N37</f>
        <v>0</v>
      </c>
      <c r="Q37" s="2342"/>
      <c r="R37" s="2333"/>
      <c r="S37" s="2342">
        <f>[4]int.kiadások2018!F36</f>
        <v>0</v>
      </c>
      <c r="T37" s="2342">
        <f>'[5]int.kiadások RM V'!Q37</f>
        <v>0</v>
      </c>
      <c r="U37" s="2342"/>
      <c r="V37" s="2333"/>
      <c r="W37" s="2329">
        <f t="shared" si="14"/>
        <v>501850</v>
      </c>
      <c r="X37" s="2329">
        <f t="shared" si="14"/>
        <v>775190</v>
      </c>
      <c r="Y37" s="2329">
        <f t="shared" si="14"/>
        <v>720269</v>
      </c>
      <c r="Z37" s="2333">
        <f t="shared" si="15"/>
        <v>0.92915156284265787</v>
      </c>
      <c r="AA37" s="2344" t="s">
        <v>1332</v>
      </c>
      <c r="AB37" s="2342">
        <f>[4]int.kiadások2018!I36</f>
        <v>0</v>
      </c>
      <c r="AC37" s="2329">
        <f>'[5]int.kiadások RM V'!X37</f>
        <v>36934</v>
      </c>
      <c r="AD37" s="2342">
        <v>29149</v>
      </c>
      <c r="AE37" s="2333">
        <f t="shared" si="16"/>
        <v>0.78921860616234363</v>
      </c>
      <c r="AF37" s="2342">
        <f>[4]int.kiadások2018!J36</f>
        <v>0</v>
      </c>
      <c r="AG37" s="2329">
        <f>'[5]int.kiadások RM V'!AA37</f>
        <v>0</v>
      </c>
      <c r="AH37" s="2342"/>
      <c r="AI37" s="2333"/>
      <c r="AJ37" s="2342">
        <f>[4]int.kiadások2018!K36</f>
        <v>0</v>
      </c>
      <c r="AK37" s="2342">
        <f>'[5]int.kiadások RM V'!AD37</f>
        <v>0</v>
      </c>
      <c r="AL37" s="2342"/>
      <c r="AM37" s="2333"/>
      <c r="AN37" s="2344" t="s">
        <v>1332</v>
      </c>
      <c r="AO37" s="2329">
        <f t="shared" si="17"/>
        <v>0</v>
      </c>
      <c r="AP37" s="2329">
        <f t="shared" si="17"/>
        <v>36934</v>
      </c>
      <c r="AQ37" s="2329">
        <f t="shared" si="17"/>
        <v>29149</v>
      </c>
      <c r="AR37" s="2333">
        <f t="shared" si="18"/>
        <v>0.78921860616234363</v>
      </c>
      <c r="AS37" s="2329">
        <f t="shared" si="19"/>
        <v>501850</v>
      </c>
      <c r="AT37" s="2329">
        <f t="shared" si="19"/>
        <v>812124</v>
      </c>
      <c r="AU37" s="2329">
        <f t="shared" si="19"/>
        <v>749418</v>
      </c>
      <c r="AV37" s="2333">
        <f t="shared" si="20"/>
        <v>0.92278765311701172</v>
      </c>
      <c r="AW37" s="2256">
        <f>AS37-'[6]éves besz.bevételei2018'!BD37</f>
        <v>0</v>
      </c>
      <c r="AX37" s="2256">
        <f>AT37-'[6]éves besz.bevételei2018'!BE37</f>
        <v>0</v>
      </c>
      <c r="AY37" s="2256">
        <f>AU37-'[6]éves besz.bevételei2018'!BF37</f>
        <v>-28106</v>
      </c>
    </row>
    <row r="38" spans="1:51" s="2254" customFormat="1" ht="49.5" customHeight="1" thickBot="1" x14ac:dyDescent="0.55000000000000004">
      <c r="A38" s="2264" t="s">
        <v>1427</v>
      </c>
      <c r="B38" s="2335">
        <f>SUM(B33:B37)</f>
        <v>871626</v>
      </c>
      <c r="C38" s="2335">
        <f>SUM(C33:C37)</f>
        <v>1054870</v>
      </c>
      <c r="D38" s="2335">
        <f>SUM(D33:D37)</f>
        <v>958795</v>
      </c>
      <c r="E38" s="2336">
        <f t="shared" si="11"/>
        <v>0.90892242646013255</v>
      </c>
      <c r="F38" s="2335">
        <f>SUM(F33:F37)</f>
        <v>171054</v>
      </c>
      <c r="G38" s="2335">
        <f>SUM(G33:G37)</f>
        <v>213029</v>
      </c>
      <c r="H38" s="2335">
        <f>SUM(H33:H37)</f>
        <v>200856</v>
      </c>
      <c r="I38" s="2336">
        <f t="shared" si="12"/>
        <v>0.94285754521684839</v>
      </c>
      <c r="J38" s="2335">
        <f>SUM(J33:J37)</f>
        <v>657919</v>
      </c>
      <c r="K38" s="2335">
        <f>SUM(K33:K37)</f>
        <v>1181534</v>
      </c>
      <c r="L38" s="2335">
        <f>SUM(L33:L37)</f>
        <v>1064252</v>
      </c>
      <c r="M38" s="2336">
        <f t="shared" si="13"/>
        <v>0.9007375158057237</v>
      </c>
      <c r="N38" s="2345" t="s">
        <v>1427</v>
      </c>
      <c r="O38" s="2335">
        <f>SUM(O33:O37)</f>
        <v>0</v>
      </c>
      <c r="P38" s="2335">
        <f>SUM(P33:P37)</f>
        <v>0</v>
      </c>
      <c r="Q38" s="2335">
        <f>SUM(Q33:Q37)</f>
        <v>0</v>
      </c>
      <c r="R38" s="2336"/>
      <c r="S38" s="2335">
        <f>SUM(S33:S37)</f>
        <v>0</v>
      </c>
      <c r="T38" s="2335">
        <f>SUM(T33:T37)</f>
        <v>284</v>
      </c>
      <c r="U38" s="2335">
        <f>SUM(U33:U37)</f>
        <v>283</v>
      </c>
      <c r="V38" s="2336">
        <f>U38/T38</f>
        <v>0.99647887323943662</v>
      </c>
      <c r="W38" s="2335">
        <f>SUM(W33:W37)</f>
        <v>1700599</v>
      </c>
      <c r="X38" s="2335">
        <f>SUM(X33:X37)</f>
        <v>2449717</v>
      </c>
      <c r="Y38" s="2335">
        <f>SUM(Y33:Y37)</f>
        <v>2224186</v>
      </c>
      <c r="Z38" s="2336">
        <f t="shared" si="15"/>
        <v>0.90793589626883431</v>
      </c>
      <c r="AA38" s="2345" t="s">
        <v>1427</v>
      </c>
      <c r="AB38" s="2335">
        <f>SUM(AB33:AB37)</f>
        <v>0</v>
      </c>
      <c r="AC38" s="2335">
        <f>SUM(AC33:AC37)</f>
        <v>79466</v>
      </c>
      <c r="AD38" s="2335">
        <f>SUM(AD33:AD37)</f>
        <v>58017</v>
      </c>
      <c r="AE38" s="2336">
        <f t="shared" si="16"/>
        <v>0.73008582286764145</v>
      </c>
      <c r="AF38" s="2335">
        <f>SUM(AF33:AF37)</f>
        <v>0</v>
      </c>
      <c r="AG38" s="2335">
        <f>SUM(AG33:AG37)</f>
        <v>2604</v>
      </c>
      <c r="AH38" s="2335">
        <f>SUM(AH33:AH37)</f>
        <v>2602</v>
      </c>
      <c r="AI38" s="2336">
        <f>AH38/AG38</f>
        <v>0.99923195084485406</v>
      </c>
      <c r="AJ38" s="2335">
        <f>SUM(AJ33:AJ37)</f>
        <v>0</v>
      </c>
      <c r="AK38" s="2335">
        <f>SUM(AK33:AK37)</f>
        <v>0</v>
      </c>
      <c r="AL38" s="2335">
        <f>SUM(AL33:AL37)</f>
        <v>0</v>
      </c>
      <c r="AM38" s="2336"/>
      <c r="AN38" s="2345" t="s">
        <v>1427</v>
      </c>
      <c r="AO38" s="2335">
        <f>SUM(AO33:AO37)</f>
        <v>0</v>
      </c>
      <c r="AP38" s="2335">
        <f>SUM(AP33:AP37)</f>
        <v>82070</v>
      </c>
      <c r="AQ38" s="2335">
        <f>SUM(AQ33:AQ37)</f>
        <v>60619</v>
      </c>
      <c r="AR38" s="2336">
        <f t="shared" si="18"/>
        <v>0.73862556354331665</v>
      </c>
      <c r="AS38" s="2335">
        <f>SUM(AS33:AS37)</f>
        <v>1700599</v>
      </c>
      <c r="AT38" s="2335">
        <f>SUM(AT33:AT37)</f>
        <v>2531787</v>
      </c>
      <c r="AU38" s="2335">
        <f>SUM(AU33:AU37)</f>
        <v>2284805</v>
      </c>
      <c r="AV38" s="2336">
        <f t="shared" si="20"/>
        <v>0.90244755976707358</v>
      </c>
      <c r="AW38" s="2256">
        <f>AS38-'[6]éves besz.bevételei2018'!BD38</f>
        <v>0</v>
      </c>
      <c r="AX38" s="2256">
        <f>AT38-'[6]éves besz.bevételei2018'!BE38</f>
        <v>0</v>
      </c>
      <c r="AY38" s="2256">
        <f>AU38-'[6]éves besz.bevételei2018'!BF38</f>
        <v>-90436</v>
      </c>
    </row>
    <row r="39" spans="1:51" s="2254" customFormat="1" ht="49.5" customHeight="1" x14ac:dyDescent="0.5">
      <c r="A39" s="2265" t="s">
        <v>1334</v>
      </c>
      <c r="B39" s="2346"/>
      <c r="C39" s="2346"/>
      <c r="D39" s="2346"/>
      <c r="E39" s="2346"/>
      <c r="F39" s="2346"/>
      <c r="G39" s="2346"/>
      <c r="H39" s="2346"/>
      <c r="I39" s="2346"/>
      <c r="J39" s="2346"/>
      <c r="K39" s="2346"/>
      <c r="L39" s="2346"/>
      <c r="M39" s="2346"/>
      <c r="N39" s="2347" t="s">
        <v>1334</v>
      </c>
      <c r="O39" s="2346"/>
      <c r="P39" s="2346"/>
      <c r="Q39" s="2346"/>
      <c r="R39" s="2346"/>
      <c r="S39" s="2346"/>
      <c r="T39" s="2346"/>
      <c r="U39" s="2346"/>
      <c r="V39" s="2346"/>
      <c r="W39" s="2346"/>
      <c r="X39" s="2346"/>
      <c r="Y39" s="2346"/>
      <c r="Z39" s="2346"/>
      <c r="AA39" s="2347" t="s">
        <v>1334</v>
      </c>
      <c r="AB39" s="2346"/>
      <c r="AC39" s="2346"/>
      <c r="AD39" s="2346"/>
      <c r="AE39" s="2346"/>
      <c r="AF39" s="2346"/>
      <c r="AG39" s="2346"/>
      <c r="AH39" s="2346"/>
      <c r="AI39" s="2346"/>
      <c r="AJ39" s="2346"/>
      <c r="AK39" s="2346"/>
      <c r="AL39" s="2346"/>
      <c r="AM39" s="2346"/>
      <c r="AN39" s="2347" t="s">
        <v>1334</v>
      </c>
      <c r="AO39" s="2346"/>
      <c r="AP39" s="2346"/>
      <c r="AQ39" s="2346"/>
      <c r="AR39" s="2346"/>
      <c r="AS39" s="2346"/>
      <c r="AT39" s="2346"/>
      <c r="AU39" s="2346"/>
      <c r="AV39" s="2346"/>
      <c r="AW39" s="2256"/>
      <c r="AX39" s="2256"/>
      <c r="AY39" s="2256"/>
    </row>
    <row r="40" spans="1:51" s="2249" customFormat="1" ht="99" customHeight="1" thickBot="1" x14ac:dyDescent="0.55000000000000004">
      <c r="A40" s="2266" t="s">
        <v>1335</v>
      </c>
      <c r="B40" s="2329">
        <f>[4]int.kiadások2018!B39</f>
        <v>396945</v>
      </c>
      <c r="C40" s="2329">
        <f>'[5]int.kiadások RM V'!D40</f>
        <v>519494</v>
      </c>
      <c r="D40" s="2329">
        <v>503126</v>
      </c>
      <c r="E40" s="2338">
        <f>D40/C40</f>
        <v>0.96849241762176275</v>
      </c>
      <c r="F40" s="2329">
        <f>[4]int.kiadások2018!C39</f>
        <v>88054</v>
      </c>
      <c r="G40" s="2329">
        <f>'[5]int.kiadások RM V'!G40</f>
        <v>113106</v>
      </c>
      <c r="H40" s="2329">
        <v>109369</v>
      </c>
      <c r="I40" s="2338">
        <f>H40/G40</f>
        <v>0.96696019662971022</v>
      </c>
      <c r="J40" s="2329">
        <f>[4]int.kiadások2018!D39</f>
        <v>224237</v>
      </c>
      <c r="K40" s="2329">
        <f>'[5]int.kiadások RM V'!J40</f>
        <v>263716</v>
      </c>
      <c r="L40" s="2329">
        <v>250689</v>
      </c>
      <c r="M40" s="2338">
        <f>L40/K40</f>
        <v>0.95060216293285205</v>
      </c>
      <c r="N40" s="2348" t="s">
        <v>1335</v>
      </c>
      <c r="O40" s="2329">
        <f>[4]int.kiadások2018!E39</f>
        <v>0</v>
      </c>
      <c r="P40" s="2329">
        <f>'[5]int.kiadások RM V'!N40</f>
        <v>0</v>
      </c>
      <c r="Q40" s="2329"/>
      <c r="R40" s="2338"/>
      <c r="S40" s="2329">
        <f>[4]int.kiadások2018!F39</f>
        <v>0</v>
      </c>
      <c r="T40" s="2329">
        <f>'[5]int.kiadások RM V'!Q40</f>
        <v>0</v>
      </c>
      <c r="U40" s="2329"/>
      <c r="V40" s="2338"/>
      <c r="W40" s="2329">
        <f>B40+F40+J40+O40+S40</f>
        <v>709236</v>
      </c>
      <c r="X40" s="2329">
        <f>C40+G40+K40+P40+T40</f>
        <v>896316</v>
      </c>
      <c r="Y40" s="2329">
        <f>D40+H40+L40+Q40+U40</f>
        <v>863184</v>
      </c>
      <c r="Z40" s="2338">
        <f>Y40/X40</f>
        <v>0.96303535806568219</v>
      </c>
      <c r="AA40" s="2348" t="s">
        <v>1335</v>
      </c>
      <c r="AB40" s="2329">
        <f>[4]int.kiadások2018!I39</f>
        <v>0</v>
      </c>
      <c r="AC40" s="2329">
        <f>'[5]int.kiadások RM V'!X40</f>
        <v>44916</v>
      </c>
      <c r="AD40" s="2329">
        <v>40076</v>
      </c>
      <c r="AE40" s="2338">
        <f>AD40/AC40</f>
        <v>0.89224329860183449</v>
      </c>
      <c r="AF40" s="2329">
        <f>[4]int.kiadások2018!J39</f>
        <v>0</v>
      </c>
      <c r="AG40" s="2329">
        <f>'[5]int.kiadások RM V'!AA40</f>
        <v>12093</v>
      </c>
      <c r="AH40" s="2329">
        <v>5444</v>
      </c>
      <c r="AI40" s="2338">
        <f>AH40/AG40</f>
        <v>0.45017778880344</v>
      </c>
      <c r="AJ40" s="2329">
        <f>[4]int.kiadások2018!K39</f>
        <v>0</v>
      </c>
      <c r="AK40" s="2329">
        <f>'[5]int.kiadások RM V'!AD40</f>
        <v>0</v>
      </c>
      <c r="AL40" s="2329"/>
      <c r="AM40" s="2338"/>
      <c r="AN40" s="2348" t="s">
        <v>1335</v>
      </c>
      <c r="AO40" s="2329">
        <f>AB40+AF40+AJ40</f>
        <v>0</v>
      </c>
      <c r="AP40" s="2329">
        <f>AC40+AG40+AK40</f>
        <v>57009</v>
      </c>
      <c r="AQ40" s="2329">
        <f>AD40+AH40+AL40</f>
        <v>45520</v>
      </c>
      <c r="AR40" s="2338">
        <f>AQ40/AP40</f>
        <v>0.79847041695170939</v>
      </c>
      <c r="AS40" s="2329">
        <f>W40+AO40</f>
        <v>709236</v>
      </c>
      <c r="AT40" s="2329">
        <f>X40+AP40</f>
        <v>953325</v>
      </c>
      <c r="AU40" s="2329">
        <f>Y40+AQ40</f>
        <v>908704</v>
      </c>
      <c r="AV40" s="2338">
        <f>AU40/AT40</f>
        <v>0.953194346104424</v>
      </c>
      <c r="AW40" s="2256">
        <f>AS40-'[6]éves besz.bevételei2018'!BD40</f>
        <v>0</v>
      </c>
      <c r="AX40" s="2256">
        <f>AT40-'[6]éves besz.bevételei2018'!BE40</f>
        <v>0</v>
      </c>
      <c r="AY40" s="2256">
        <f>AU40-'[6]éves besz.bevételei2018'!BF40</f>
        <v>-10383</v>
      </c>
    </row>
    <row r="41" spans="1:51" s="2254" customFormat="1" ht="49.5" customHeight="1" x14ac:dyDescent="0.5">
      <c r="A41" s="2265" t="s">
        <v>1336</v>
      </c>
      <c r="B41" s="2346"/>
      <c r="C41" s="2346"/>
      <c r="D41" s="2346"/>
      <c r="E41" s="2333"/>
      <c r="F41" s="2346"/>
      <c r="G41" s="2346"/>
      <c r="H41" s="2346"/>
      <c r="I41" s="2333"/>
      <c r="J41" s="2346"/>
      <c r="K41" s="2346"/>
      <c r="L41" s="2346"/>
      <c r="M41" s="2333"/>
      <c r="N41" s="2347" t="s">
        <v>1336</v>
      </c>
      <c r="O41" s="2346"/>
      <c r="P41" s="2346"/>
      <c r="Q41" s="2346"/>
      <c r="R41" s="2333"/>
      <c r="S41" s="2346"/>
      <c r="T41" s="2346"/>
      <c r="U41" s="2346"/>
      <c r="V41" s="2333"/>
      <c r="W41" s="2346"/>
      <c r="X41" s="2346"/>
      <c r="Y41" s="2346"/>
      <c r="Z41" s="2333"/>
      <c r="AA41" s="2347" t="s">
        <v>1336</v>
      </c>
      <c r="AB41" s="2346"/>
      <c r="AC41" s="2346"/>
      <c r="AD41" s="2346"/>
      <c r="AE41" s="2333"/>
      <c r="AF41" s="2346"/>
      <c r="AG41" s="2346"/>
      <c r="AH41" s="2346"/>
      <c r="AI41" s="2333"/>
      <c r="AJ41" s="2346"/>
      <c r="AK41" s="2346"/>
      <c r="AL41" s="2346"/>
      <c r="AM41" s="2333"/>
      <c r="AN41" s="2347" t="s">
        <v>1336</v>
      </c>
      <c r="AO41" s="2346"/>
      <c r="AP41" s="2346"/>
      <c r="AQ41" s="2346"/>
      <c r="AR41" s="2333"/>
      <c r="AS41" s="2346"/>
      <c r="AT41" s="2346"/>
      <c r="AU41" s="2346"/>
      <c r="AV41" s="2333"/>
      <c r="AW41" s="2256">
        <f>AS41-'[6]éves besz.bevételei2018'!BD41</f>
        <v>0</v>
      </c>
      <c r="AX41" s="2256"/>
      <c r="AY41" s="2256">
        <f>AU41-'[6]éves besz.bevételei2018'!BF41</f>
        <v>0</v>
      </c>
    </row>
    <row r="42" spans="1:51" s="2254" customFormat="1" ht="49.5" customHeight="1" thickBot="1" x14ac:dyDescent="0.55000000000000004">
      <c r="A42" s="2261" t="s">
        <v>1337</v>
      </c>
      <c r="B42" s="2349">
        <f>[4]int.kiadások2018!B41</f>
        <v>324159</v>
      </c>
      <c r="C42" s="2329">
        <f>'[5]int.kiadások RM V'!D42</f>
        <v>343800</v>
      </c>
      <c r="D42" s="2349">
        <v>338222</v>
      </c>
      <c r="E42" s="2330">
        <f>D42/C42</f>
        <v>0.9837754508435137</v>
      </c>
      <c r="F42" s="2349">
        <f>[4]int.kiadások2018!C41</f>
        <v>68445</v>
      </c>
      <c r="G42" s="2329">
        <f>'[5]int.kiadások RM V'!G42</f>
        <v>72303</v>
      </c>
      <c r="H42" s="2349">
        <v>71731</v>
      </c>
      <c r="I42" s="2330">
        <f>H42/G42</f>
        <v>0.99208884831888022</v>
      </c>
      <c r="J42" s="2349">
        <f>[4]int.kiadások2018!D41</f>
        <v>141327</v>
      </c>
      <c r="K42" s="2329">
        <f>'[5]int.kiadások RM V'!J42</f>
        <v>188575</v>
      </c>
      <c r="L42" s="2349">
        <v>154783</v>
      </c>
      <c r="M42" s="2330">
        <f>L42/K42</f>
        <v>0.82080339387511603</v>
      </c>
      <c r="N42" s="2341" t="s">
        <v>1337</v>
      </c>
      <c r="O42" s="2349">
        <f>[4]int.kiadások2018!E41</f>
        <v>0</v>
      </c>
      <c r="P42" s="2329">
        <f>'[5]int.kiadások RM V'!N42</f>
        <v>0</v>
      </c>
      <c r="Q42" s="2349"/>
      <c r="R42" s="2330"/>
      <c r="S42" s="2349">
        <f>[4]int.kiadások2018!F41</f>
        <v>0</v>
      </c>
      <c r="T42" s="2349">
        <f>'[5]int.kiadások RM V'!Q42</f>
        <v>0</v>
      </c>
      <c r="U42" s="2349"/>
      <c r="V42" s="2330"/>
      <c r="W42" s="2329">
        <f>B42+F42+J42+O42+S42</f>
        <v>533931</v>
      </c>
      <c r="X42" s="2329">
        <f>C42+G42+K42+P42+T42</f>
        <v>604678</v>
      </c>
      <c r="Y42" s="2329">
        <f>D42+H42+L42+Q42+U42</f>
        <v>564736</v>
      </c>
      <c r="Z42" s="2330">
        <f>Y42/X42</f>
        <v>0.93394500874845787</v>
      </c>
      <c r="AA42" s="2341" t="s">
        <v>1337</v>
      </c>
      <c r="AB42" s="2349">
        <f>[4]int.kiadások2018!I41</f>
        <v>4215</v>
      </c>
      <c r="AC42" s="2329">
        <f>'[5]int.kiadások RM V'!X42</f>
        <v>36688</v>
      </c>
      <c r="AD42" s="2349">
        <v>16405</v>
      </c>
      <c r="AE42" s="2330">
        <f>AD42/AC42</f>
        <v>0.44714893153074575</v>
      </c>
      <c r="AF42" s="2349">
        <f>[4]int.kiadások2018!J41</f>
        <v>3048</v>
      </c>
      <c r="AG42" s="2329">
        <f>'[5]int.kiadások RM V'!AA42</f>
        <v>33092</v>
      </c>
      <c r="AH42" s="2349">
        <f>29237+1</f>
        <v>29238</v>
      </c>
      <c r="AI42" s="2330">
        <f>AH42/AG42</f>
        <v>0.88353680647890731</v>
      </c>
      <c r="AJ42" s="2349">
        <f>[4]int.kiadások2018!K41</f>
        <v>0</v>
      </c>
      <c r="AK42" s="2349">
        <f>'[5]int.kiadások RM V'!AD42</f>
        <v>0</v>
      </c>
      <c r="AL42" s="2349"/>
      <c r="AM42" s="2330"/>
      <c r="AN42" s="2341" t="s">
        <v>1337</v>
      </c>
      <c r="AO42" s="2329">
        <f>AB42+AF42+AJ42</f>
        <v>7263</v>
      </c>
      <c r="AP42" s="2329">
        <f>AC42+AG42+AK42</f>
        <v>69780</v>
      </c>
      <c r="AQ42" s="2329">
        <f>AD42+AH42+AL42</f>
        <v>45643</v>
      </c>
      <c r="AR42" s="2330">
        <f>AQ42/AP42</f>
        <v>0.65409859558612782</v>
      </c>
      <c r="AS42" s="2329">
        <f>W42+AO42</f>
        <v>541194</v>
      </c>
      <c r="AT42" s="2329">
        <f>X42+AP42</f>
        <v>674458</v>
      </c>
      <c r="AU42" s="2329">
        <f>Y42+AQ42</f>
        <v>610379</v>
      </c>
      <c r="AV42" s="2330">
        <f>AU42/AT42</f>
        <v>0.90499186013065303</v>
      </c>
      <c r="AW42" s="2256">
        <f>AS42-'[6]éves besz.bevételei2018'!BD42</f>
        <v>0</v>
      </c>
      <c r="AX42" s="2256">
        <f>AT42-'[6]éves besz.bevételei2018'!BE42</f>
        <v>0</v>
      </c>
      <c r="AY42" s="2256">
        <f>AU42-'[6]éves besz.bevételei2018'!BF42</f>
        <v>-38212</v>
      </c>
    </row>
    <row r="43" spans="1:51" s="2254" customFormat="1" ht="49.5" customHeight="1" x14ac:dyDescent="0.5">
      <c r="A43" s="2265" t="s">
        <v>1338</v>
      </c>
      <c r="B43" s="2346"/>
      <c r="C43" s="2346"/>
      <c r="D43" s="2346"/>
      <c r="E43" s="2346"/>
      <c r="F43" s="2346"/>
      <c r="G43" s="2346"/>
      <c r="H43" s="2346"/>
      <c r="I43" s="2346"/>
      <c r="J43" s="2346"/>
      <c r="K43" s="2346"/>
      <c r="L43" s="2346"/>
      <c r="M43" s="2346"/>
      <c r="N43" s="2347" t="s">
        <v>1338</v>
      </c>
      <c r="O43" s="2346"/>
      <c r="P43" s="2346"/>
      <c r="Q43" s="2346"/>
      <c r="R43" s="2346"/>
      <c r="S43" s="2346"/>
      <c r="T43" s="2346"/>
      <c r="U43" s="2346"/>
      <c r="V43" s="2346"/>
      <c r="W43" s="2346"/>
      <c r="X43" s="2346"/>
      <c r="Y43" s="2346"/>
      <c r="Z43" s="2346"/>
      <c r="AA43" s="2347" t="s">
        <v>1338</v>
      </c>
      <c r="AB43" s="2346"/>
      <c r="AC43" s="2346"/>
      <c r="AD43" s="2346"/>
      <c r="AE43" s="2346"/>
      <c r="AF43" s="2346"/>
      <c r="AG43" s="2346"/>
      <c r="AH43" s="2346"/>
      <c r="AI43" s="2346"/>
      <c r="AJ43" s="2346"/>
      <c r="AK43" s="2346"/>
      <c r="AL43" s="2346"/>
      <c r="AM43" s="2346"/>
      <c r="AN43" s="2347" t="s">
        <v>1338</v>
      </c>
      <c r="AO43" s="2346"/>
      <c r="AP43" s="2346"/>
      <c r="AQ43" s="2346"/>
      <c r="AR43" s="2346"/>
      <c r="AS43" s="2346"/>
      <c r="AT43" s="2346"/>
      <c r="AU43" s="2346"/>
      <c r="AV43" s="2346"/>
      <c r="AW43" s="2256"/>
      <c r="AX43" s="2256"/>
      <c r="AY43" s="2256"/>
    </row>
    <row r="44" spans="1:51" s="2254" customFormat="1" ht="48.75" customHeight="1" thickBot="1" x14ac:dyDescent="0.55000000000000004">
      <c r="A44" s="2267" t="s">
        <v>1428</v>
      </c>
      <c r="B44" s="2332">
        <f>[4]int.kiadások2018!B43</f>
        <v>488892</v>
      </c>
      <c r="C44" s="2329">
        <f>'[5]int.kiadások RM V'!D44</f>
        <v>514640</v>
      </c>
      <c r="D44" s="2332">
        <v>509844</v>
      </c>
      <c r="E44" s="2330">
        <f>D44/C44</f>
        <v>0.99068086429348667</v>
      </c>
      <c r="F44" s="2332">
        <f>[4]int.kiadások2018!C43</f>
        <v>109088</v>
      </c>
      <c r="G44" s="2329">
        <f>'[5]int.kiadások RM V'!G44</f>
        <v>114141</v>
      </c>
      <c r="H44" s="2332">
        <v>113512</v>
      </c>
      <c r="I44" s="2330">
        <f>H44/G44</f>
        <v>0.99448927204072157</v>
      </c>
      <c r="J44" s="2332">
        <f>[4]int.kiadások2018!D43</f>
        <v>133394</v>
      </c>
      <c r="K44" s="2329">
        <f>'[5]int.kiadások RM V'!J44</f>
        <v>148463</v>
      </c>
      <c r="L44" s="2332">
        <v>134560</v>
      </c>
      <c r="M44" s="2330">
        <f>L44/K44</f>
        <v>0.90635377164680764</v>
      </c>
      <c r="N44" s="2350" t="s">
        <v>1428</v>
      </c>
      <c r="O44" s="2332">
        <f>[4]int.kiadások2018!E43</f>
        <v>0</v>
      </c>
      <c r="P44" s="2329">
        <f>'[5]int.kiadások RM V'!N44</f>
        <v>0</v>
      </c>
      <c r="Q44" s="2332"/>
      <c r="R44" s="2330"/>
      <c r="S44" s="2332">
        <f>[4]int.kiadások2018!F43</f>
        <v>0</v>
      </c>
      <c r="T44" s="2332">
        <f>'[5]int.kiadások RM V'!Q44</f>
        <v>0</v>
      </c>
      <c r="U44" s="2332"/>
      <c r="V44" s="2330"/>
      <c r="W44" s="2329">
        <f>B44+F44+J44+O44+S44</f>
        <v>731374</v>
      </c>
      <c r="X44" s="2329">
        <f>C44+G44+K44+P44+T44</f>
        <v>777244</v>
      </c>
      <c r="Y44" s="2329">
        <f>D44+H44+L44+Q44+U44</f>
        <v>757916</v>
      </c>
      <c r="Z44" s="2330">
        <f>Y44/X44</f>
        <v>0.9751326481774063</v>
      </c>
      <c r="AA44" s="2350" t="s">
        <v>1428</v>
      </c>
      <c r="AB44" s="2332">
        <f>[4]int.kiadások2018!I43</f>
        <v>12109</v>
      </c>
      <c r="AC44" s="2329">
        <f>'[5]int.kiadások RM V'!X44</f>
        <v>19731</v>
      </c>
      <c r="AD44" s="2332">
        <v>16153</v>
      </c>
      <c r="AE44" s="2330">
        <f>AD44/AC44</f>
        <v>0.81866099031980133</v>
      </c>
      <c r="AF44" s="2332">
        <f>[4]int.kiadások2018!J43</f>
        <v>2000</v>
      </c>
      <c r="AG44" s="2329">
        <f>'[5]int.kiadások RM V'!AA44</f>
        <v>11833</v>
      </c>
      <c r="AH44" s="2332">
        <v>11832</v>
      </c>
      <c r="AI44" s="2330">
        <f>AH44/AG44</f>
        <v>0.99991549057719931</v>
      </c>
      <c r="AJ44" s="2332">
        <f>[4]int.kiadások2018!K43</f>
        <v>0</v>
      </c>
      <c r="AK44" s="2332">
        <f>'[5]int.kiadások RM V'!AD44</f>
        <v>0</v>
      </c>
      <c r="AL44" s="2332"/>
      <c r="AM44" s="2330"/>
      <c r="AN44" s="2350" t="s">
        <v>1428</v>
      </c>
      <c r="AO44" s="2329">
        <f>AB44+AF44+AJ44</f>
        <v>14109</v>
      </c>
      <c r="AP44" s="2329">
        <f>AC44+AG44+AK44</f>
        <v>31564</v>
      </c>
      <c r="AQ44" s="2329">
        <f>AD44+AH44+AL44</f>
        <v>27985</v>
      </c>
      <c r="AR44" s="2330">
        <f>AQ44/AP44</f>
        <v>0.88661132936256493</v>
      </c>
      <c r="AS44" s="2329">
        <f>W44+AO44</f>
        <v>745483</v>
      </c>
      <c r="AT44" s="2329">
        <f>X44+AP44</f>
        <v>808808</v>
      </c>
      <c r="AU44" s="2329">
        <f>Y44+AQ44</f>
        <v>785901</v>
      </c>
      <c r="AV44" s="2330">
        <f>AU44/AT44</f>
        <v>0.97167807440084664</v>
      </c>
      <c r="AW44" s="2256">
        <f>AS44-'[6]éves besz.bevételei2018'!BD44</f>
        <v>0</v>
      </c>
      <c r="AX44" s="2256">
        <f>AT44-'[6]éves besz.bevételei2018'!BE44</f>
        <v>0</v>
      </c>
      <c r="AY44" s="2256">
        <f>AU44-'[6]éves besz.bevételei2018'!BF44</f>
        <v>-803</v>
      </c>
    </row>
    <row r="45" spans="1:51" s="2254" customFormat="1" ht="49.5" customHeight="1" x14ac:dyDescent="0.5">
      <c r="A45" s="2265" t="s">
        <v>1340</v>
      </c>
      <c r="B45" s="2346"/>
      <c r="C45" s="2346"/>
      <c r="D45" s="2346"/>
      <c r="E45" s="2346"/>
      <c r="F45" s="2346"/>
      <c r="G45" s="2346"/>
      <c r="H45" s="2346"/>
      <c r="I45" s="2346"/>
      <c r="J45" s="2346"/>
      <c r="K45" s="2346"/>
      <c r="L45" s="2346"/>
      <c r="M45" s="2346"/>
      <c r="N45" s="2347" t="s">
        <v>1340</v>
      </c>
      <c r="O45" s="2346"/>
      <c r="P45" s="2346"/>
      <c r="Q45" s="2346"/>
      <c r="R45" s="2346"/>
      <c r="S45" s="2346"/>
      <c r="T45" s="2346"/>
      <c r="U45" s="2346"/>
      <c r="V45" s="2346"/>
      <c r="W45" s="2346"/>
      <c r="X45" s="2346"/>
      <c r="Y45" s="2346"/>
      <c r="Z45" s="2346"/>
      <c r="AA45" s="2347" t="s">
        <v>1340</v>
      </c>
      <c r="AB45" s="2346"/>
      <c r="AC45" s="2346"/>
      <c r="AD45" s="2346"/>
      <c r="AE45" s="2346"/>
      <c r="AF45" s="2346"/>
      <c r="AG45" s="2346"/>
      <c r="AH45" s="2346"/>
      <c r="AI45" s="2346"/>
      <c r="AJ45" s="2346"/>
      <c r="AK45" s="2346"/>
      <c r="AL45" s="2346"/>
      <c r="AM45" s="2346"/>
      <c r="AN45" s="2347" t="s">
        <v>1340</v>
      </c>
      <c r="AO45" s="2346"/>
      <c r="AP45" s="2346"/>
      <c r="AQ45" s="2346"/>
      <c r="AR45" s="2346"/>
      <c r="AS45" s="2346"/>
      <c r="AT45" s="2346"/>
      <c r="AU45" s="2346"/>
      <c r="AV45" s="2346"/>
      <c r="AW45" s="2256"/>
      <c r="AX45" s="2256"/>
      <c r="AY45" s="2256"/>
    </row>
    <row r="46" spans="1:51" s="2254" customFormat="1" ht="49.5" customHeight="1" x14ac:dyDescent="0.5">
      <c r="A46" s="2268" t="s">
        <v>1341</v>
      </c>
      <c r="B46" s="2329">
        <f>[4]int.kiadások2018!B45</f>
        <v>45796</v>
      </c>
      <c r="C46" s="2329">
        <f>'[5]int.kiadások RM V'!D46</f>
        <v>44963</v>
      </c>
      <c r="D46" s="2329">
        <v>42152</v>
      </c>
      <c r="E46" s="2330">
        <f t="shared" ref="E46:E51" si="21">D46/C46</f>
        <v>0.93748192958654897</v>
      </c>
      <c r="F46" s="2329">
        <f>[4]int.kiadások2018!C45</f>
        <v>9201</v>
      </c>
      <c r="G46" s="2329">
        <f>'[5]int.kiadások RM V'!G46</f>
        <v>9133</v>
      </c>
      <c r="H46" s="2329">
        <v>8576</v>
      </c>
      <c r="I46" s="2330">
        <f t="shared" ref="I46:I51" si="22">H46/G46</f>
        <v>0.93901237271433269</v>
      </c>
      <c r="J46" s="2329">
        <f>[4]int.kiadások2018!D45</f>
        <v>54151</v>
      </c>
      <c r="K46" s="2329">
        <f>'[5]int.kiadások RM V'!J46</f>
        <v>46429</v>
      </c>
      <c r="L46" s="2329">
        <v>45200</v>
      </c>
      <c r="M46" s="2330">
        <f t="shared" ref="M46:M51" si="23">L46/K46</f>
        <v>0.9735294751125374</v>
      </c>
      <c r="N46" s="2351" t="s">
        <v>1341</v>
      </c>
      <c r="O46" s="2329">
        <f>[4]int.kiadások2018!E45</f>
        <v>0</v>
      </c>
      <c r="P46" s="2329">
        <f>'[5]int.kiadások RM V'!N46</f>
        <v>0</v>
      </c>
      <c r="Q46" s="2329"/>
      <c r="R46" s="2330"/>
      <c r="S46" s="2329">
        <f>[4]int.kiadások2018!F45</f>
        <v>30000</v>
      </c>
      <c r="T46" s="2329">
        <f>'[5]int.kiadások RM V'!Q46</f>
        <v>58768</v>
      </c>
      <c r="U46" s="2329">
        <v>58768</v>
      </c>
      <c r="V46" s="2330">
        <f>U46/T46</f>
        <v>1</v>
      </c>
      <c r="W46" s="2329">
        <f t="shared" ref="W46:Y48" si="24">B46+F46+J46+O46+S46</f>
        <v>139148</v>
      </c>
      <c r="X46" s="2329">
        <f t="shared" si="24"/>
        <v>159293</v>
      </c>
      <c r="Y46" s="2329">
        <f t="shared" si="24"/>
        <v>154696</v>
      </c>
      <c r="Z46" s="2330">
        <f t="shared" ref="Z46:Z51" si="25">Y46/X46</f>
        <v>0.97114123031143862</v>
      </c>
      <c r="AA46" s="2351" t="s">
        <v>1341</v>
      </c>
      <c r="AB46" s="2329">
        <f>[4]int.kiadások2018!I45</f>
        <v>600</v>
      </c>
      <c r="AC46" s="2329">
        <f>'[5]int.kiadások RM V'!X46</f>
        <v>12100</v>
      </c>
      <c r="AD46" s="2329">
        <v>3475</v>
      </c>
      <c r="AE46" s="2330">
        <f t="shared" ref="AE46:AE51" si="26">AD46/AC46</f>
        <v>0.28719008264462809</v>
      </c>
      <c r="AF46" s="2329">
        <f>[4]int.kiadások2018!J45</f>
        <v>0</v>
      </c>
      <c r="AG46" s="2329">
        <f>'[5]int.kiadások RM V'!AA46</f>
        <v>0</v>
      </c>
      <c r="AH46" s="2329"/>
      <c r="AI46" s="2330"/>
      <c r="AJ46" s="2329">
        <f>[4]int.kiadások2018!K45</f>
        <v>0</v>
      </c>
      <c r="AK46" s="2329">
        <f>'[5]int.kiadások RM V'!AD46</f>
        <v>0</v>
      </c>
      <c r="AL46" s="2329"/>
      <c r="AM46" s="2330"/>
      <c r="AN46" s="2351" t="s">
        <v>1341</v>
      </c>
      <c r="AO46" s="2329">
        <f t="shared" ref="AO46:AQ48" si="27">AB46+AF46+AJ46</f>
        <v>600</v>
      </c>
      <c r="AP46" s="2329">
        <f t="shared" si="27"/>
        <v>12100</v>
      </c>
      <c r="AQ46" s="2329">
        <f t="shared" si="27"/>
        <v>3475</v>
      </c>
      <c r="AR46" s="2330">
        <f t="shared" ref="AR46:AR51" si="28">AQ46/AP46</f>
        <v>0.28719008264462809</v>
      </c>
      <c r="AS46" s="2329">
        <f t="shared" ref="AS46:AU48" si="29">W46+AO46</f>
        <v>139748</v>
      </c>
      <c r="AT46" s="2329">
        <f t="shared" si="29"/>
        <v>171393</v>
      </c>
      <c r="AU46" s="2329">
        <f t="shared" si="29"/>
        <v>158171</v>
      </c>
      <c r="AV46" s="2330">
        <f t="shared" ref="AV46:AV51" si="30">AU46/AT46</f>
        <v>0.92285565921595403</v>
      </c>
      <c r="AW46" s="2256">
        <f>AS46-'[6]éves besz.bevételei2018'!BD46</f>
        <v>0</v>
      </c>
      <c r="AX46" s="2256">
        <f>AT46-'[6]éves besz.bevételei2018'!BE46</f>
        <v>0</v>
      </c>
      <c r="AY46" s="2256">
        <f>AU46-'[6]éves besz.bevételei2018'!BF46</f>
        <v>-12379</v>
      </c>
    </row>
    <row r="47" spans="1:51" s="2254" customFormat="1" ht="49.5" customHeight="1" x14ac:dyDescent="0.5">
      <c r="A47" s="2269" t="s">
        <v>75</v>
      </c>
      <c r="B47" s="2352">
        <f>[4]int.kiadások2018!B46</f>
        <v>1133875</v>
      </c>
      <c r="C47" s="2352">
        <f>'[5]int.kiadások RM V'!D47</f>
        <v>1307687</v>
      </c>
      <c r="D47" s="2352">
        <v>1170283</v>
      </c>
      <c r="E47" s="2354">
        <f t="shared" si="21"/>
        <v>0.89492592646405444</v>
      </c>
      <c r="F47" s="2352">
        <f>[4]int.kiadások2018!C46</f>
        <v>249548</v>
      </c>
      <c r="G47" s="2352">
        <f>'[5]int.kiadások RM V'!G47</f>
        <v>290479</v>
      </c>
      <c r="H47" s="2352">
        <v>248365</v>
      </c>
      <c r="I47" s="2354">
        <f t="shared" si="22"/>
        <v>0.85501877932656056</v>
      </c>
      <c r="J47" s="2352">
        <f>[4]int.kiadások2018!D46</f>
        <v>320339</v>
      </c>
      <c r="K47" s="2352">
        <f>'[5]int.kiadások RM V'!J47</f>
        <v>372853</v>
      </c>
      <c r="L47" s="2352">
        <v>297635</v>
      </c>
      <c r="M47" s="2354">
        <f t="shared" si="23"/>
        <v>0.79826365886824024</v>
      </c>
      <c r="N47" s="2353" t="s">
        <v>75</v>
      </c>
      <c r="O47" s="2352">
        <f>[4]int.kiadások2018!E46</f>
        <v>0</v>
      </c>
      <c r="P47" s="2352">
        <f>'[5]int.kiadások RM V'!N47</f>
        <v>0</v>
      </c>
      <c r="Q47" s="2353"/>
      <c r="R47" s="2354"/>
      <c r="S47" s="2352">
        <f>[4]int.kiadások2018!F46</f>
        <v>2500</v>
      </c>
      <c r="T47" s="2352">
        <f>'[5]int.kiadások RM V'!Q47</f>
        <v>2500</v>
      </c>
      <c r="U47" s="2352">
        <v>2500</v>
      </c>
      <c r="V47" s="2354">
        <f>U47/T47</f>
        <v>1</v>
      </c>
      <c r="W47" s="2352">
        <f t="shared" si="24"/>
        <v>1706262</v>
      </c>
      <c r="X47" s="2352">
        <f t="shared" si="24"/>
        <v>1973519</v>
      </c>
      <c r="Y47" s="2352">
        <f t="shared" si="24"/>
        <v>1718783</v>
      </c>
      <c r="Z47" s="2354">
        <f t="shared" si="25"/>
        <v>0.87092295539085263</v>
      </c>
      <c r="AA47" s="2353" t="s">
        <v>75</v>
      </c>
      <c r="AB47" s="2352">
        <f>[4]int.kiadások2018!I46</f>
        <v>10000</v>
      </c>
      <c r="AC47" s="2352">
        <f>'[5]int.kiadások RM V'!X47</f>
        <v>58196</v>
      </c>
      <c r="AD47" s="2352">
        <v>53136</v>
      </c>
      <c r="AE47" s="2354">
        <f t="shared" si="26"/>
        <v>0.91305244346690495</v>
      </c>
      <c r="AF47" s="2352">
        <f>[4]int.kiadások2018!J46</f>
        <v>0</v>
      </c>
      <c r="AG47" s="2352">
        <f>'[5]int.kiadások RM V'!AA47</f>
        <v>0</v>
      </c>
      <c r="AH47" s="2352"/>
      <c r="AI47" s="2354"/>
      <c r="AJ47" s="2352">
        <f>[4]int.kiadások2018!K46</f>
        <v>0</v>
      </c>
      <c r="AK47" s="2352">
        <f>'[5]int.kiadások RM V'!AD47</f>
        <v>0</v>
      </c>
      <c r="AL47" s="2353"/>
      <c r="AM47" s="2353"/>
      <c r="AN47" s="2353" t="s">
        <v>75</v>
      </c>
      <c r="AO47" s="2352">
        <f t="shared" si="27"/>
        <v>10000</v>
      </c>
      <c r="AP47" s="2352">
        <f t="shared" si="27"/>
        <v>58196</v>
      </c>
      <c r="AQ47" s="2352">
        <f t="shared" si="27"/>
        <v>53136</v>
      </c>
      <c r="AR47" s="2354">
        <f t="shared" si="28"/>
        <v>0.91305244346690495</v>
      </c>
      <c r="AS47" s="2352">
        <f t="shared" si="29"/>
        <v>1716262</v>
      </c>
      <c r="AT47" s="2352">
        <f t="shared" si="29"/>
        <v>2031715</v>
      </c>
      <c r="AU47" s="2352">
        <f t="shared" si="29"/>
        <v>1771919</v>
      </c>
      <c r="AV47" s="2354">
        <f t="shared" si="30"/>
        <v>0.87212970323101424</v>
      </c>
      <c r="AW47" s="2270">
        <f>AS47-'[6]éves besz.bevételei2018'!BD47</f>
        <v>0</v>
      </c>
      <c r="AX47" s="2270">
        <f>AT47-'[6]éves besz.bevételei2018'!BE47</f>
        <v>0</v>
      </c>
      <c r="AY47" s="2270">
        <f>AU47-'[6]éves besz.bevételei2018'!BF47</f>
        <v>-5493</v>
      </c>
    </row>
    <row r="48" spans="1:51" s="2254" customFormat="1" ht="49.5" customHeight="1" thickBot="1" x14ac:dyDescent="0.55000000000000004">
      <c r="A48" s="2271" t="s">
        <v>1342</v>
      </c>
      <c r="B48" s="2355">
        <f>[4]int.kiadások2018!B47</f>
        <v>133175</v>
      </c>
      <c r="C48" s="2355">
        <f>'[5]int.kiadások RM V'!D48</f>
        <v>136881</v>
      </c>
      <c r="D48" s="2355">
        <v>127463</v>
      </c>
      <c r="E48" s="2357">
        <f t="shared" si="21"/>
        <v>0.93119571014238645</v>
      </c>
      <c r="F48" s="2355">
        <f>[4]int.kiadások2018!C47</f>
        <v>28800</v>
      </c>
      <c r="G48" s="2355">
        <f>'[5]int.kiadások RM V'!G48</f>
        <v>29703</v>
      </c>
      <c r="H48" s="2355">
        <v>27284</v>
      </c>
      <c r="I48" s="2357">
        <f t="shared" si="22"/>
        <v>0.91856041477291861</v>
      </c>
      <c r="J48" s="2355">
        <f>[4]int.kiadások2018!D47</f>
        <v>23025</v>
      </c>
      <c r="K48" s="2355">
        <f>'[5]int.kiadások RM V'!J48</f>
        <v>34199</v>
      </c>
      <c r="L48" s="2355">
        <v>30181</v>
      </c>
      <c r="M48" s="2357">
        <f t="shared" si="23"/>
        <v>0.88251118453755961</v>
      </c>
      <c r="N48" s="2356" t="s">
        <v>1342</v>
      </c>
      <c r="O48" s="2355">
        <f>[4]int.kiadások2018!E47</f>
        <v>0</v>
      </c>
      <c r="P48" s="2355">
        <f>'[5]int.kiadások RM V'!N48</f>
        <v>0</v>
      </c>
      <c r="Q48" s="2356"/>
      <c r="R48" s="2357"/>
      <c r="S48" s="2355">
        <f>[4]int.kiadások2018!F47</f>
        <v>0</v>
      </c>
      <c r="T48" s="2355">
        <f>'[5]int.kiadások RM V'!Q48</f>
        <v>0</v>
      </c>
      <c r="U48" s="2356"/>
      <c r="V48" s="2357"/>
      <c r="W48" s="2355">
        <f t="shared" si="24"/>
        <v>185000</v>
      </c>
      <c r="X48" s="2355">
        <f t="shared" si="24"/>
        <v>200783</v>
      </c>
      <c r="Y48" s="2355">
        <f t="shared" si="24"/>
        <v>184928</v>
      </c>
      <c r="Z48" s="2357">
        <f t="shared" si="25"/>
        <v>0.92103415129766963</v>
      </c>
      <c r="AA48" s="2356" t="s">
        <v>1342</v>
      </c>
      <c r="AB48" s="2355">
        <f>[4]int.kiadások2018!I47</f>
        <v>0</v>
      </c>
      <c r="AC48" s="2355">
        <f>'[5]int.kiadások RM V'!X48</f>
        <v>4577</v>
      </c>
      <c r="AD48" s="2355">
        <v>4415</v>
      </c>
      <c r="AE48" s="2357">
        <f t="shared" si="26"/>
        <v>0.96460563688005241</v>
      </c>
      <c r="AF48" s="2355">
        <f>[4]int.kiadások2018!J47</f>
        <v>0</v>
      </c>
      <c r="AG48" s="2355">
        <f>'[5]int.kiadások RM V'!AA48</f>
        <v>0</v>
      </c>
      <c r="AH48" s="2355"/>
      <c r="AI48" s="2357"/>
      <c r="AJ48" s="2355">
        <f>[4]int.kiadások2018!K47</f>
        <v>0</v>
      </c>
      <c r="AK48" s="2355">
        <f>'[5]int.kiadások RM V'!AD48</f>
        <v>0</v>
      </c>
      <c r="AL48" s="2356"/>
      <c r="AM48" s="2356"/>
      <c r="AN48" s="2356" t="s">
        <v>1342</v>
      </c>
      <c r="AO48" s="2355">
        <f t="shared" si="27"/>
        <v>0</v>
      </c>
      <c r="AP48" s="2355">
        <f t="shared" si="27"/>
        <v>4577</v>
      </c>
      <c r="AQ48" s="2355">
        <f t="shared" si="27"/>
        <v>4415</v>
      </c>
      <c r="AR48" s="2357">
        <f t="shared" si="28"/>
        <v>0.96460563688005241</v>
      </c>
      <c r="AS48" s="2355">
        <f t="shared" si="29"/>
        <v>185000</v>
      </c>
      <c r="AT48" s="2355">
        <f t="shared" si="29"/>
        <v>205360</v>
      </c>
      <c r="AU48" s="2355">
        <f t="shared" si="29"/>
        <v>189343</v>
      </c>
      <c r="AV48" s="2357">
        <f t="shared" si="30"/>
        <v>0.92200525905726527</v>
      </c>
      <c r="AW48" s="2272">
        <f>AS48-'[6]éves besz.bevételei2018'!BD48</f>
        <v>0</v>
      </c>
      <c r="AX48" s="2272">
        <f>AT48-'[6]éves besz.bevételei2018'!BE48</f>
        <v>0</v>
      </c>
      <c r="AY48" s="2272">
        <f>AU48-'[6]éves besz.bevételei2018'!BF48</f>
        <v>-366</v>
      </c>
    </row>
    <row r="49" spans="1:51" s="2254" customFormat="1" ht="49.5" customHeight="1" thickBot="1" x14ac:dyDescent="0.55000000000000004">
      <c r="A49" s="2273" t="s">
        <v>1429</v>
      </c>
      <c r="B49" s="2358">
        <f>SUM(B46:B48)</f>
        <v>1312846</v>
      </c>
      <c r="C49" s="2358">
        <f>SUM(C46:C48)</f>
        <v>1489531</v>
      </c>
      <c r="D49" s="2358">
        <f>SUM(D46:D48)</f>
        <v>1339898</v>
      </c>
      <c r="E49" s="2338">
        <f t="shared" si="21"/>
        <v>0.89954354759988209</v>
      </c>
      <c r="F49" s="2358">
        <f>SUM(F46:F48)</f>
        <v>287549</v>
      </c>
      <c r="G49" s="2358">
        <f>SUM(G46:G48)</f>
        <v>329315</v>
      </c>
      <c r="H49" s="2358">
        <f>SUM(H46:H48)</f>
        <v>284225</v>
      </c>
      <c r="I49" s="2338">
        <f t="shared" si="22"/>
        <v>0.86307942243748392</v>
      </c>
      <c r="J49" s="2358">
        <f>SUM(J46:J48)</f>
        <v>397515</v>
      </c>
      <c r="K49" s="2358">
        <f>SUM(K46:K48)</f>
        <v>453481</v>
      </c>
      <c r="L49" s="2358">
        <f>SUM(L46:L48)</f>
        <v>373016</v>
      </c>
      <c r="M49" s="2338">
        <f t="shared" si="23"/>
        <v>0.82256147446089256</v>
      </c>
      <c r="N49" s="2359" t="s">
        <v>1429</v>
      </c>
      <c r="O49" s="2358">
        <f>SUM(O46:O48)</f>
        <v>0</v>
      </c>
      <c r="P49" s="2358">
        <f>SUM(P46:P48)</f>
        <v>0</v>
      </c>
      <c r="Q49" s="2358">
        <f>SUM(Q46:Q48)</f>
        <v>0</v>
      </c>
      <c r="R49" s="2338"/>
      <c r="S49" s="2358">
        <f>SUM(S46:S48)</f>
        <v>32500</v>
      </c>
      <c r="T49" s="2358">
        <f>SUM(T46:T48)</f>
        <v>61268</v>
      </c>
      <c r="U49" s="2358">
        <f>SUM(U46:U48)</f>
        <v>61268</v>
      </c>
      <c r="V49" s="2338">
        <f>U49/T49</f>
        <v>1</v>
      </c>
      <c r="W49" s="2358">
        <f>SUM(W46:W48)</f>
        <v>2030410</v>
      </c>
      <c r="X49" s="2358">
        <f>SUM(X46:X48)</f>
        <v>2333595</v>
      </c>
      <c r="Y49" s="2358">
        <f>SUM(Y46:Y48)</f>
        <v>2058407</v>
      </c>
      <c r="Z49" s="2338">
        <f t="shared" si="25"/>
        <v>0.88207551010350982</v>
      </c>
      <c r="AA49" s="2359" t="s">
        <v>1429</v>
      </c>
      <c r="AB49" s="2358">
        <f>SUM(AB46:AB48)</f>
        <v>10600</v>
      </c>
      <c r="AC49" s="2358">
        <f>SUM(AC46:AC48)</f>
        <v>74873</v>
      </c>
      <c r="AD49" s="2358">
        <f>SUM(AD46:AD48)</f>
        <v>61026</v>
      </c>
      <c r="AE49" s="2338">
        <f t="shared" si="26"/>
        <v>0.81506016855208152</v>
      </c>
      <c r="AF49" s="2358">
        <f>SUM(AF46:AF48)</f>
        <v>0</v>
      </c>
      <c r="AG49" s="2358">
        <f>SUM(AG46:AG48)</f>
        <v>0</v>
      </c>
      <c r="AH49" s="2358">
        <f>SUM(AH46:AH48)</f>
        <v>0</v>
      </c>
      <c r="AI49" s="2338"/>
      <c r="AJ49" s="2358">
        <f>SUM(AJ46:AJ48)</f>
        <v>0</v>
      </c>
      <c r="AK49" s="2358">
        <f>SUM(AK46:AK48)</f>
        <v>0</v>
      </c>
      <c r="AL49" s="2358">
        <f>SUM(AL46:AL48)</f>
        <v>0</v>
      </c>
      <c r="AM49" s="2338"/>
      <c r="AN49" s="2359" t="s">
        <v>1429</v>
      </c>
      <c r="AO49" s="2358">
        <f>SUM(AO46:AO48)</f>
        <v>10600</v>
      </c>
      <c r="AP49" s="2358">
        <f>SUM(AP46:AP48)</f>
        <v>74873</v>
      </c>
      <c r="AQ49" s="2358">
        <f>SUM(AQ46:AQ48)</f>
        <v>61026</v>
      </c>
      <c r="AR49" s="2338">
        <f t="shared" si="28"/>
        <v>0.81506016855208152</v>
      </c>
      <c r="AS49" s="2358">
        <f>SUM(AS46:AS48)</f>
        <v>2041010</v>
      </c>
      <c r="AT49" s="2358">
        <f>SUM(AT46:AT48)</f>
        <v>2408468</v>
      </c>
      <c r="AU49" s="2358">
        <f>SUM(AU46:AU48)</f>
        <v>2119433</v>
      </c>
      <c r="AV49" s="2338">
        <f t="shared" si="30"/>
        <v>0.87999217760003456</v>
      </c>
      <c r="AW49" s="2256">
        <f>AS49-'[6]éves besz.bevételei2018'!BD49</f>
        <v>0</v>
      </c>
      <c r="AX49" s="2256">
        <f>AT49-'[6]éves besz.bevételei2018'!BE49</f>
        <v>0</v>
      </c>
      <c r="AY49" s="2256">
        <f>AU49-'[6]éves besz.bevételei2018'!BF49</f>
        <v>-18238</v>
      </c>
    </row>
    <row r="50" spans="1:51" s="2254" customFormat="1" ht="49.5" customHeight="1" thickBot="1" x14ac:dyDescent="0.55000000000000004">
      <c r="A50" s="2273" t="s">
        <v>1343</v>
      </c>
      <c r="B50" s="2360">
        <f>B38+B40+B42+B44+B49</f>
        <v>3394468</v>
      </c>
      <c r="C50" s="2360">
        <f>C38+C40+C42+C44+C49</f>
        <v>3922335</v>
      </c>
      <c r="D50" s="2360">
        <f>D38+D40+D42+D44+D49</f>
        <v>3649885</v>
      </c>
      <c r="E50" s="2336">
        <f t="shared" si="21"/>
        <v>0.93053882445023184</v>
      </c>
      <c r="F50" s="2360">
        <f>F38+F40+F42+F44+F49</f>
        <v>724190</v>
      </c>
      <c r="G50" s="2360">
        <f>G38+G40+G42+G44+G49</f>
        <v>841894</v>
      </c>
      <c r="H50" s="2360">
        <f>H38+H40+H42+H44+H49</f>
        <v>779693</v>
      </c>
      <c r="I50" s="2336">
        <f t="shared" si="22"/>
        <v>0.92611777729737943</v>
      </c>
      <c r="J50" s="2360">
        <f>J38+J40+J42+J44+J49</f>
        <v>1554392</v>
      </c>
      <c r="K50" s="2360">
        <f>K38+K40+K42+K44+K49</f>
        <v>2235769</v>
      </c>
      <c r="L50" s="2360">
        <f>L38+L40+L42+L44+L49</f>
        <v>1977300</v>
      </c>
      <c r="M50" s="2336">
        <f t="shared" si="23"/>
        <v>0.88439369183488992</v>
      </c>
      <c r="N50" s="2359" t="s">
        <v>1343</v>
      </c>
      <c r="O50" s="2360">
        <f>O38+O40+O42+O44+O49</f>
        <v>0</v>
      </c>
      <c r="P50" s="2360">
        <f>P38+P40+P42+P44+P49</f>
        <v>0</v>
      </c>
      <c r="Q50" s="2360">
        <f>Q38+Q40+Q42+Q44+Q49</f>
        <v>0</v>
      </c>
      <c r="R50" s="2336"/>
      <c r="S50" s="2360">
        <f>S38+S40+S42+S44+S49</f>
        <v>32500</v>
      </c>
      <c r="T50" s="2360">
        <f>T38+T40+T42+T44+T49</f>
        <v>61552</v>
      </c>
      <c r="U50" s="2360">
        <f>U38+U40+U42+U44+U49</f>
        <v>61551</v>
      </c>
      <c r="V50" s="2336">
        <f>U50/T50</f>
        <v>0.99998375357421365</v>
      </c>
      <c r="W50" s="2360">
        <f>W38+W40+W42+W44+W49</f>
        <v>5705550</v>
      </c>
      <c r="X50" s="2360">
        <f>X38+X40+X42+X44+X49</f>
        <v>7061550</v>
      </c>
      <c r="Y50" s="2360">
        <f>Y38+Y40+Y42+Y44+Y49</f>
        <v>6468429</v>
      </c>
      <c r="Z50" s="2336">
        <f t="shared" si="25"/>
        <v>0.91600696730887698</v>
      </c>
      <c r="AA50" s="2359" t="s">
        <v>1343</v>
      </c>
      <c r="AB50" s="2360">
        <f>AB38+AB40+AB42+AB44+AB49</f>
        <v>26924</v>
      </c>
      <c r="AC50" s="2360">
        <f>AC38+AC40+AC42+AC44+AC49</f>
        <v>255674</v>
      </c>
      <c r="AD50" s="2360">
        <f>AD38+AD40+AD42+AD44+AD49</f>
        <v>191677</v>
      </c>
      <c r="AE50" s="2336">
        <f t="shared" si="26"/>
        <v>0.74969296838943345</v>
      </c>
      <c r="AF50" s="2360">
        <f>AF38+AF40+AF42+AF44+AF49</f>
        <v>5048</v>
      </c>
      <c r="AG50" s="2360">
        <f>AG38+AG40+AG42+AG44+AG49</f>
        <v>59622</v>
      </c>
      <c r="AH50" s="2360">
        <f>AH38+AH40+AH42+AH44+AH49</f>
        <v>49116</v>
      </c>
      <c r="AI50" s="2336">
        <f>AH50/AG50</f>
        <v>0.82378987622018718</v>
      </c>
      <c r="AJ50" s="2360">
        <f>AJ38+AJ40+AJ42+AJ44+AJ49</f>
        <v>0</v>
      </c>
      <c r="AK50" s="2360">
        <f>AK38+AK40+AK42+AK44+AK49</f>
        <v>0</v>
      </c>
      <c r="AL50" s="2360">
        <f>AL38+AL40+AL42+AL44+AL49</f>
        <v>0</v>
      </c>
      <c r="AM50" s="2336"/>
      <c r="AN50" s="2359" t="s">
        <v>1343</v>
      </c>
      <c r="AO50" s="2360">
        <f>AO38+AO40+AO42+AO44+AO49</f>
        <v>31972</v>
      </c>
      <c r="AP50" s="2360">
        <f>AP38+AP40+AP42+AP44+AP49</f>
        <v>315296</v>
      </c>
      <c r="AQ50" s="2360">
        <f>AQ38+AQ40+AQ42+AQ44+AQ49</f>
        <v>240793</v>
      </c>
      <c r="AR50" s="2336">
        <f t="shared" si="28"/>
        <v>0.76370458236070238</v>
      </c>
      <c r="AS50" s="2360">
        <f>AS38+AS40+AS42+AS44+AS49</f>
        <v>5737522</v>
      </c>
      <c r="AT50" s="2360">
        <f>AT38+AT40+AT42+AT44+AT49</f>
        <v>7376846</v>
      </c>
      <c r="AU50" s="2360">
        <f>AU38+AU40+AU42+AU44+AU49</f>
        <v>6709222</v>
      </c>
      <c r="AV50" s="2336">
        <f t="shared" si="30"/>
        <v>0.90949736513409662</v>
      </c>
      <c r="AW50" s="2256">
        <f>AS50-'[6]éves besz.bevételei2018'!BD50</f>
        <v>0</v>
      </c>
      <c r="AX50" s="2256">
        <f>AT50-'[6]éves besz.bevételei2018'!BE50</f>
        <v>0</v>
      </c>
      <c r="AY50" s="2256">
        <f>AU50-'[6]éves besz.bevételei2018'!BF50</f>
        <v>-158072</v>
      </c>
    </row>
    <row r="51" spans="1:51" s="2254" customFormat="1" ht="49.5" customHeight="1" thickBot="1" x14ac:dyDescent="0.55000000000000004">
      <c r="A51" s="2274" t="s">
        <v>1344</v>
      </c>
      <c r="B51" s="2335">
        <f>B30+B50</f>
        <v>4955208</v>
      </c>
      <c r="C51" s="2335">
        <f>C30+C50</f>
        <v>5503642</v>
      </c>
      <c r="D51" s="2335">
        <f>D30+D50</f>
        <v>5174266</v>
      </c>
      <c r="E51" s="2336">
        <f t="shared" si="21"/>
        <v>0.94015308408504772</v>
      </c>
      <c r="F51" s="2335">
        <f>F30+F50</f>
        <v>1043263</v>
      </c>
      <c r="G51" s="2335">
        <f>G30+G50</f>
        <v>1167514</v>
      </c>
      <c r="H51" s="2335">
        <f>H30+H50</f>
        <v>1092490</v>
      </c>
      <c r="I51" s="2336">
        <f t="shared" si="22"/>
        <v>0.93574038512600277</v>
      </c>
      <c r="J51" s="2335">
        <f>J30+J50</f>
        <v>2861777</v>
      </c>
      <c r="K51" s="2335">
        <f>K30+K50</f>
        <v>3614345</v>
      </c>
      <c r="L51" s="2335">
        <f>L30+L50</f>
        <v>3215365</v>
      </c>
      <c r="M51" s="2336">
        <f t="shared" si="23"/>
        <v>0.88961208739066133</v>
      </c>
      <c r="N51" s="2361" t="s">
        <v>1344</v>
      </c>
      <c r="O51" s="2335">
        <f>O30+O50</f>
        <v>0</v>
      </c>
      <c r="P51" s="2335">
        <f>P30+P50</f>
        <v>0</v>
      </c>
      <c r="Q51" s="2335">
        <f>Q30+Q50</f>
        <v>0</v>
      </c>
      <c r="R51" s="2336"/>
      <c r="S51" s="2335">
        <f>S30+S50</f>
        <v>32500</v>
      </c>
      <c r="T51" s="2335">
        <f>T30+T50</f>
        <v>61552</v>
      </c>
      <c r="U51" s="2335">
        <f>U30+U50</f>
        <v>61551</v>
      </c>
      <c r="V51" s="2336">
        <f>U51/T51</f>
        <v>0.99998375357421365</v>
      </c>
      <c r="W51" s="2335">
        <f>W30+W50</f>
        <v>8892748</v>
      </c>
      <c r="X51" s="2335">
        <f>X30+X50</f>
        <v>10347053</v>
      </c>
      <c r="Y51" s="2335">
        <f>Y30+Y50</f>
        <v>9543672</v>
      </c>
      <c r="Z51" s="2336">
        <f t="shared" si="25"/>
        <v>0.92235653958668229</v>
      </c>
      <c r="AA51" s="2361" t="s">
        <v>1344</v>
      </c>
      <c r="AB51" s="2335">
        <f>AB30+AB50</f>
        <v>26924</v>
      </c>
      <c r="AC51" s="2335">
        <f>AC30+AC50</f>
        <v>365780</v>
      </c>
      <c r="AD51" s="2335">
        <f>AD30+AD50</f>
        <v>285838</v>
      </c>
      <c r="AE51" s="2336">
        <f t="shared" si="26"/>
        <v>0.78144786483678719</v>
      </c>
      <c r="AF51" s="2335">
        <f>AF30+AF50</f>
        <v>5048</v>
      </c>
      <c r="AG51" s="2335">
        <f>AG30+AG50</f>
        <v>156043</v>
      </c>
      <c r="AH51" s="2335">
        <f>AH30+AH50</f>
        <v>120994</v>
      </c>
      <c r="AI51" s="2336">
        <f>AH51/AG51</f>
        <v>0.77538883512877865</v>
      </c>
      <c r="AJ51" s="2335">
        <f>AJ30+AJ50</f>
        <v>0</v>
      </c>
      <c r="AK51" s="2335">
        <f>AK30+AK50</f>
        <v>0</v>
      </c>
      <c r="AL51" s="2335">
        <f>AL30+AL50</f>
        <v>0</v>
      </c>
      <c r="AM51" s="2336"/>
      <c r="AN51" s="2361" t="s">
        <v>1344</v>
      </c>
      <c r="AO51" s="2335">
        <f>AO30+AO50</f>
        <v>31972</v>
      </c>
      <c r="AP51" s="2335">
        <f>AP30+AP50</f>
        <v>521823</v>
      </c>
      <c r="AQ51" s="2335">
        <f>AQ30+AQ50</f>
        <v>406832</v>
      </c>
      <c r="AR51" s="2336">
        <f t="shared" si="28"/>
        <v>0.77963600684523293</v>
      </c>
      <c r="AS51" s="2335">
        <f>AS30+AS50</f>
        <v>8924720</v>
      </c>
      <c r="AT51" s="2335">
        <f>AT30+AT50</f>
        <v>10868876</v>
      </c>
      <c r="AU51" s="2335">
        <f>AU30+AU50</f>
        <v>9950504</v>
      </c>
      <c r="AV51" s="2336">
        <f t="shared" si="30"/>
        <v>0.91550441830415585</v>
      </c>
      <c r="AW51" s="2256">
        <f>AS51-'[6]éves besz.bevételei2018'!BD51</f>
        <v>0</v>
      </c>
      <c r="AX51" s="2256">
        <f>AT51-'[6]éves besz.bevételei2018'!BE51</f>
        <v>0</v>
      </c>
      <c r="AY51" s="2256">
        <f>AU51-'[6]éves besz.bevételei2018'!BF51</f>
        <v>-174299</v>
      </c>
    </row>
    <row r="52" spans="1:51" s="2279" customFormat="1" ht="49.5" customHeight="1" thickBot="1" x14ac:dyDescent="0.35">
      <c r="A52" s="2275"/>
      <c r="B52" s="2276"/>
      <c r="C52" s="2276"/>
      <c r="D52" s="2276"/>
      <c r="E52" s="2276"/>
      <c r="F52" s="2276"/>
      <c r="G52" s="2276"/>
      <c r="H52" s="2276"/>
      <c r="I52" s="2276"/>
      <c r="J52" s="2276"/>
      <c r="K52" s="2276"/>
      <c r="L52" s="2276"/>
      <c r="M52" s="2276"/>
      <c r="N52" s="2275"/>
      <c r="O52" s="2276"/>
      <c r="P52" s="2276"/>
      <c r="Q52" s="2276"/>
      <c r="R52" s="2276"/>
      <c r="S52" s="2276"/>
      <c r="T52" s="2276"/>
      <c r="U52" s="2276"/>
      <c r="V52" s="2276"/>
      <c r="W52" s="2276"/>
      <c r="X52" s="2276"/>
      <c r="Y52" s="2276"/>
      <c r="Z52" s="2276"/>
      <c r="AA52" s="2277"/>
      <c r="AB52" s="2275"/>
      <c r="AC52" s="2275"/>
      <c r="AD52" s="2275"/>
      <c r="AE52" s="2275"/>
      <c r="AF52" s="2275"/>
      <c r="AG52" s="2275"/>
      <c r="AH52" s="2275"/>
      <c r="AI52" s="2275"/>
      <c r="AJ52" s="2275"/>
      <c r="AK52" s="2275"/>
      <c r="AL52" s="2275"/>
      <c r="AM52" s="2275"/>
      <c r="AN52" s="2277"/>
      <c r="AO52" s="2275"/>
      <c r="AP52" s="2275"/>
      <c r="AQ52" s="2275"/>
      <c r="AR52" s="2275"/>
      <c r="AS52" s="2275"/>
      <c r="AT52" s="2275"/>
      <c r="AU52" s="2275"/>
      <c r="AV52" s="2275"/>
      <c r="AW52" s="2278"/>
      <c r="AX52" s="2278"/>
      <c r="AY52" s="2278"/>
    </row>
    <row r="53" spans="1:51" s="2285" customFormat="1" ht="49.5" customHeight="1" thickBot="1" x14ac:dyDescent="0.45">
      <c r="A53" s="2280"/>
      <c r="B53" s="2281">
        <f>[4]int.kiadások2018!B53</f>
        <v>0</v>
      </c>
      <c r="C53" s="2281">
        <f>'[5]int.kiadások RM V'!D54</f>
        <v>5503642</v>
      </c>
      <c r="D53" s="2281"/>
      <c r="E53" s="2281"/>
      <c r="F53" s="2281">
        <f>[4]int.kiadások2018!F53</f>
        <v>0</v>
      </c>
      <c r="G53" s="2281">
        <f>'[5]int.kiadások RM V'!G54</f>
        <v>1167514</v>
      </c>
      <c r="H53" s="2281"/>
      <c r="I53" s="2281"/>
      <c r="J53" s="2281">
        <f>[4]int.kiadások2018!J53</f>
        <v>0</v>
      </c>
      <c r="K53" s="2281">
        <f>'[5]int.kiadások RM V'!$J$54</f>
        <v>3614345</v>
      </c>
      <c r="L53" s="2281"/>
      <c r="M53" s="2281"/>
      <c r="N53" s="2280"/>
      <c r="O53" s="2281">
        <f>[4]int.kiadások2018!O53</f>
        <v>0</v>
      </c>
      <c r="P53" s="2281">
        <f>'[5]int.kiadások RM V'!$M$54</f>
        <v>0</v>
      </c>
      <c r="Q53" s="2281"/>
      <c r="R53" s="2281"/>
      <c r="S53" s="2281">
        <f>[4]int.kiadások2018!S53</f>
        <v>0</v>
      </c>
      <c r="T53" s="2281">
        <f>'[5]int.kiadások RM V'!$Q$54</f>
        <v>61552</v>
      </c>
      <c r="U53" s="2281"/>
      <c r="V53" s="2281"/>
      <c r="W53" s="2281">
        <f>[4]int.kiadások2018!W53</f>
        <v>0</v>
      </c>
      <c r="X53" s="2281">
        <f>'[5]int.kiadások RM V'!$T$54</f>
        <v>10347053</v>
      </c>
      <c r="Y53" s="2281"/>
      <c r="Z53" s="2281"/>
      <c r="AA53" s="2282"/>
      <c r="AB53" s="2283">
        <f>[4]int.kiadások2018!AB53</f>
        <v>0</v>
      </c>
      <c r="AC53" s="2283">
        <f>'[5]int.kiadások RM V'!$X$54</f>
        <v>365780</v>
      </c>
      <c r="AD53" s="2280"/>
      <c r="AE53" s="2280"/>
      <c r="AF53" s="2283">
        <f>[4]int.kiadások2018!AF53</f>
        <v>0</v>
      </c>
      <c r="AG53" s="2283">
        <f>'[5]int.kiadások RM V'!$AA$54</f>
        <v>156043</v>
      </c>
      <c r="AH53" s="2280"/>
      <c r="AI53" s="2280"/>
      <c r="AJ53" s="2283">
        <f>[4]int.kiadások2018!AJ53</f>
        <v>0</v>
      </c>
      <c r="AK53" s="2283">
        <f>'[5]int.kiadások RM V'!$AD$54</f>
        <v>0</v>
      </c>
      <c r="AL53" s="2280"/>
      <c r="AM53" s="2280"/>
      <c r="AN53" s="2282"/>
      <c r="AO53" s="2283">
        <f>[4]int.kiadások2018!AO53</f>
        <v>0</v>
      </c>
      <c r="AP53" s="2283">
        <f>'[5]int.kiadások RM V'!$AG$54</f>
        <v>521823</v>
      </c>
      <c r="AQ53" s="2283">
        <f>AD53+AH53+AL53</f>
        <v>0</v>
      </c>
      <c r="AR53" s="2280"/>
      <c r="AS53" s="2283">
        <f>[4]int.kiadások2018!AS53</f>
        <v>0</v>
      </c>
      <c r="AT53" s="2283">
        <f>'[5]int.kiadások RM V'!$AJ$54</f>
        <v>10868876</v>
      </c>
      <c r="AU53" s="2284">
        <f>Y53+AQ53</f>
        <v>0</v>
      </c>
      <c r="AV53" s="2280"/>
      <c r="AW53" s="2283"/>
      <c r="AX53" s="2283"/>
      <c r="AY53" s="2283"/>
    </row>
    <row r="54" spans="1:51" s="2285" customFormat="1" ht="49.5" customHeight="1" x14ac:dyDescent="0.4">
      <c r="A54" s="2286"/>
      <c r="B54" s="2281">
        <f>B51-B53</f>
        <v>4955208</v>
      </c>
      <c r="C54" s="2281">
        <f t="shared" ref="C54:AU54" si="31">C51-C53</f>
        <v>0</v>
      </c>
      <c r="D54" s="2281">
        <f t="shared" si="31"/>
        <v>5174266</v>
      </c>
      <c r="E54" s="2281"/>
      <c r="F54" s="2281">
        <f t="shared" si="31"/>
        <v>1043263</v>
      </c>
      <c r="G54" s="2281">
        <f t="shared" si="31"/>
        <v>0</v>
      </c>
      <c r="H54" s="2281">
        <f t="shared" si="31"/>
        <v>1092490</v>
      </c>
      <c r="I54" s="2281"/>
      <c r="J54" s="2281">
        <f t="shared" si="31"/>
        <v>2861777</v>
      </c>
      <c r="K54" s="2281">
        <f t="shared" si="31"/>
        <v>0</v>
      </c>
      <c r="L54" s="2281">
        <f t="shared" si="31"/>
        <v>3215365</v>
      </c>
      <c r="M54" s="2281"/>
      <c r="N54" s="2281"/>
      <c r="O54" s="2281">
        <f t="shared" si="31"/>
        <v>0</v>
      </c>
      <c r="P54" s="2281">
        <f t="shared" si="31"/>
        <v>0</v>
      </c>
      <c r="Q54" s="2281">
        <f t="shared" si="31"/>
        <v>0</v>
      </c>
      <c r="R54" s="2281"/>
      <c r="S54" s="2281">
        <f t="shared" si="31"/>
        <v>32500</v>
      </c>
      <c r="T54" s="2281">
        <f t="shared" si="31"/>
        <v>0</v>
      </c>
      <c r="U54" s="2281">
        <f t="shared" si="31"/>
        <v>61551</v>
      </c>
      <c r="V54" s="2281"/>
      <c r="W54" s="2281">
        <f t="shared" si="31"/>
        <v>8892748</v>
      </c>
      <c r="X54" s="2281">
        <f t="shared" si="31"/>
        <v>0</v>
      </c>
      <c r="Y54" s="2281">
        <f t="shared" si="31"/>
        <v>9543672</v>
      </c>
      <c r="Z54" s="2281"/>
      <c r="AA54" s="2281"/>
      <c r="AB54" s="2281">
        <f t="shared" si="31"/>
        <v>26924</v>
      </c>
      <c r="AC54" s="2281">
        <f t="shared" si="31"/>
        <v>0</v>
      </c>
      <c r="AD54" s="2281">
        <f t="shared" si="31"/>
        <v>285838</v>
      </c>
      <c r="AE54" s="2281"/>
      <c r="AF54" s="2281">
        <f t="shared" si="31"/>
        <v>5048</v>
      </c>
      <c r="AG54" s="2281">
        <f t="shared" si="31"/>
        <v>0</v>
      </c>
      <c r="AH54" s="2281">
        <f t="shared" si="31"/>
        <v>120994</v>
      </c>
      <c r="AI54" s="2281"/>
      <c r="AJ54" s="2281">
        <f t="shared" si="31"/>
        <v>0</v>
      </c>
      <c r="AK54" s="2281">
        <f t="shared" si="31"/>
        <v>0</v>
      </c>
      <c r="AL54" s="2281">
        <f t="shared" si="31"/>
        <v>0</v>
      </c>
      <c r="AM54" s="2281"/>
      <c r="AN54" s="2281"/>
      <c r="AO54" s="2281">
        <f t="shared" si="31"/>
        <v>31972</v>
      </c>
      <c r="AP54" s="2281">
        <f t="shared" si="31"/>
        <v>0</v>
      </c>
      <c r="AQ54" s="2281">
        <f t="shared" si="31"/>
        <v>406832</v>
      </c>
      <c r="AR54" s="2281"/>
      <c r="AS54" s="2281">
        <f t="shared" si="31"/>
        <v>8924720</v>
      </c>
      <c r="AT54" s="2281">
        <f t="shared" si="31"/>
        <v>0</v>
      </c>
      <c r="AU54" s="2281">
        <f t="shared" si="31"/>
        <v>9950504</v>
      </c>
      <c r="AV54" s="2281"/>
      <c r="AW54" s="2281"/>
      <c r="AX54" s="2281"/>
      <c r="AY54" s="2281"/>
    </row>
    <row r="55" spans="1:51" ht="49.5" customHeight="1" x14ac:dyDescent="0.4">
      <c r="A55" s="2287"/>
      <c r="N55" s="2287"/>
      <c r="AA55" s="2288"/>
      <c r="AB55" s="2287"/>
      <c r="AC55" s="2287"/>
      <c r="AD55" s="2287"/>
      <c r="AE55" s="2287"/>
      <c r="AF55" s="2287"/>
      <c r="AG55" s="2287"/>
      <c r="AH55" s="2287"/>
      <c r="AI55" s="2287"/>
      <c r="AJ55" s="2287"/>
      <c r="AK55" s="2287"/>
      <c r="AL55" s="2287"/>
      <c r="AM55" s="2287"/>
      <c r="AN55" s="2288"/>
      <c r="AO55" s="2287"/>
      <c r="AP55" s="2287"/>
      <c r="AQ55" s="2287"/>
      <c r="AR55" s="2287"/>
      <c r="AS55" s="2287"/>
      <c r="AT55" s="2287"/>
      <c r="AU55" s="2287"/>
      <c r="AV55" s="2287"/>
      <c r="AW55" s="2289"/>
      <c r="AX55" s="2289"/>
      <c r="AY55" s="2289"/>
    </row>
    <row r="56" spans="1:51" ht="49.5" customHeight="1" x14ac:dyDescent="0.4">
      <c r="A56" s="2287"/>
      <c r="N56" s="2287"/>
      <c r="AA56" s="2288"/>
      <c r="AB56" s="2287"/>
      <c r="AC56" s="2287"/>
      <c r="AD56" s="2287"/>
      <c r="AE56" s="2287"/>
      <c r="AF56" s="2287"/>
      <c r="AG56" s="2287"/>
      <c r="AH56" s="2287"/>
      <c r="AI56" s="2287"/>
      <c r="AJ56" s="2287"/>
      <c r="AK56" s="2287"/>
      <c r="AL56" s="2287"/>
      <c r="AM56" s="2287"/>
      <c r="AN56" s="2288"/>
      <c r="AO56" s="2287"/>
      <c r="AP56" s="2287"/>
      <c r="AQ56" s="2287"/>
      <c r="AR56" s="2287"/>
      <c r="AS56" s="2287"/>
      <c r="AT56" s="2287"/>
      <c r="AU56" s="2287"/>
      <c r="AV56" s="2287"/>
      <c r="AW56" s="2289"/>
      <c r="AX56" s="2289"/>
      <c r="AY56" s="2289"/>
    </row>
    <row r="57" spans="1:51" ht="49.5" customHeight="1" x14ac:dyDescent="0.4">
      <c r="A57" s="2287"/>
      <c r="N57" s="2287"/>
      <c r="AA57" s="2288"/>
      <c r="AB57" s="2287"/>
      <c r="AC57" s="2287"/>
      <c r="AD57" s="2287"/>
      <c r="AE57" s="2287"/>
      <c r="AF57" s="2287"/>
      <c r="AG57" s="2287"/>
      <c r="AH57" s="2287"/>
      <c r="AI57" s="2287"/>
      <c r="AJ57" s="2287"/>
      <c r="AK57" s="2287"/>
      <c r="AL57" s="2287"/>
      <c r="AM57" s="2287"/>
      <c r="AN57" s="2288"/>
      <c r="AO57" s="2287"/>
      <c r="AP57" s="2287"/>
      <c r="AQ57" s="2287"/>
      <c r="AR57" s="2287"/>
      <c r="AS57" s="2287"/>
      <c r="AT57" s="2287"/>
      <c r="AU57" s="2287"/>
      <c r="AV57" s="2287"/>
      <c r="AW57" s="2289"/>
      <c r="AX57" s="2289"/>
      <c r="AY57" s="2289"/>
    </row>
    <row r="58" spans="1:51" ht="49.5" customHeight="1" x14ac:dyDescent="0.3"/>
    <row r="59" spans="1:51" ht="49.5" customHeight="1" x14ac:dyDescent="0.3"/>
  </sheetData>
  <mergeCells count="19">
    <mergeCell ref="AF5:AI7"/>
    <mergeCell ref="AJ5:AM7"/>
    <mergeCell ref="AO5:AR7"/>
    <mergeCell ref="AS5:AV7"/>
    <mergeCell ref="W5:Z7"/>
    <mergeCell ref="AB5:AE7"/>
    <mergeCell ref="A2:M2"/>
    <mergeCell ref="N2:Z2"/>
    <mergeCell ref="AA2:AM2"/>
    <mergeCell ref="AN2:AV2"/>
    <mergeCell ref="A3:M3"/>
    <mergeCell ref="N3:Z3"/>
    <mergeCell ref="AA3:AM3"/>
    <mergeCell ref="AN3:AV3"/>
    <mergeCell ref="B5:E7"/>
    <mergeCell ref="F5:I7"/>
    <mergeCell ref="J5:M7"/>
    <mergeCell ref="O5:R7"/>
    <mergeCell ref="S5:V7"/>
  </mergeCells>
  <printOptions horizontalCentered="1" verticalCentered="1"/>
  <pageMargins left="0" right="0" top="0" bottom="0" header="0" footer="0"/>
  <pageSetup paperSize="9" scale="20" orientation="landscape" r:id="rId1"/>
  <headerFooter alignWithMargins="0">
    <oddHeader>&amp;R&amp;"Times New Roman CE,Félkövér"&amp;32 
&amp;36 6. melléklet a ....../2019. (........) önkormányzati rendelethez</oddHeader>
    <oddFooter xml:space="preserve">&amp;C &amp;R
&amp;36 &amp;10
</oddFooter>
  </headerFooter>
  <colBreaks count="3" manualBreakCount="3">
    <brk id="13" max="53" man="1"/>
    <brk id="26" max="53" man="1"/>
    <brk id="39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60"/>
  <sheetViews>
    <sheetView zoomScale="40" zoomScaleNormal="40" zoomScaleSheetLayoutView="40" workbookViewId="0">
      <selection activeCell="G23" sqref="G23"/>
    </sheetView>
  </sheetViews>
  <sheetFormatPr defaultColWidth="12" defaultRowHeight="33.75" x14ac:dyDescent="0.5"/>
  <cols>
    <col min="1" max="1" width="174.33203125" style="2029" customWidth="1"/>
    <col min="2" max="2" width="60.83203125" style="2033" customWidth="1"/>
    <col min="3" max="3" width="44.1640625" style="2033" customWidth="1"/>
    <col min="4" max="4" width="60.83203125" style="2033" customWidth="1"/>
    <col min="5" max="5" width="52.5" style="2033" customWidth="1"/>
    <col min="6" max="6" width="60.6640625" style="2033" customWidth="1"/>
    <col min="7" max="7" width="47.83203125" style="2033" customWidth="1"/>
    <col min="8" max="8" width="12" style="2033" customWidth="1"/>
    <col min="9" max="9" width="22.5" style="2034" customWidth="1"/>
    <col min="10" max="256" width="12" style="2033"/>
    <col min="257" max="257" width="151" style="2033" customWidth="1"/>
    <col min="258" max="258" width="60.83203125" style="2033" customWidth="1"/>
    <col min="259" max="259" width="50.5" style="2033" customWidth="1"/>
    <col min="260" max="261" width="60.83203125" style="2033" customWidth="1"/>
    <col min="262" max="262" width="60.6640625" style="2033" customWidth="1"/>
    <col min="263" max="263" width="60.83203125" style="2033" customWidth="1"/>
    <col min="264" max="264" width="12" style="2033" customWidth="1"/>
    <col min="265" max="265" width="22.5" style="2033" customWidth="1"/>
    <col min="266" max="512" width="12" style="2033"/>
    <col min="513" max="513" width="151" style="2033" customWidth="1"/>
    <col min="514" max="514" width="60.83203125" style="2033" customWidth="1"/>
    <col min="515" max="515" width="50.5" style="2033" customWidth="1"/>
    <col min="516" max="517" width="60.83203125" style="2033" customWidth="1"/>
    <col min="518" max="518" width="60.6640625" style="2033" customWidth="1"/>
    <col min="519" max="519" width="60.83203125" style="2033" customWidth="1"/>
    <col min="520" max="520" width="12" style="2033" customWidth="1"/>
    <col min="521" max="521" width="22.5" style="2033" customWidth="1"/>
    <col min="522" max="768" width="12" style="2033"/>
    <col min="769" max="769" width="151" style="2033" customWidth="1"/>
    <col min="770" max="770" width="60.83203125" style="2033" customWidth="1"/>
    <col min="771" max="771" width="50.5" style="2033" customWidth="1"/>
    <col min="772" max="773" width="60.83203125" style="2033" customWidth="1"/>
    <col min="774" max="774" width="60.6640625" style="2033" customWidth="1"/>
    <col min="775" max="775" width="60.83203125" style="2033" customWidth="1"/>
    <col min="776" max="776" width="12" style="2033" customWidth="1"/>
    <col min="777" max="777" width="22.5" style="2033" customWidth="1"/>
    <col min="778" max="1024" width="12" style="2033"/>
    <col min="1025" max="1025" width="151" style="2033" customWidth="1"/>
    <col min="1026" max="1026" width="60.83203125" style="2033" customWidth="1"/>
    <col min="1027" max="1027" width="50.5" style="2033" customWidth="1"/>
    <col min="1028" max="1029" width="60.83203125" style="2033" customWidth="1"/>
    <col min="1030" max="1030" width="60.6640625" style="2033" customWidth="1"/>
    <col min="1031" max="1031" width="60.83203125" style="2033" customWidth="1"/>
    <col min="1032" max="1032" width="12" style="2033" customWidth="1"/>
    <col min="1033" max="1033" width="22.5" style="2033" customWidth="1"/>
    <col min="1034" max="1280" width="12" style="2033"/>
    <col min="1281" max="1281" width="151" style="2033" customWidth="1"/>
    <col min="1282" max="1282" width="60.83203125" style="2033" customWidth="1"/>
    <col min="1283" max="1283" width="50.5" style="2033" customWidth="1"/>
    <col min="1284" max="1285" width="60.83203125" style="2033" customWidth="1"/>
    <col min="1286" max="1286" width="60.6640625" style="2033" customWidth="1"/>
    <col min="1287" max="1287" width="60.83203125" style="2033" customWidth="1"/>
    <col min="1288" max="1288" width="12" style="2033" customWidth="1"/>
    <col min="1289" max="1289" width="22.5" style="2033" customWidth="1"/>
    <col min="1290" max="1536" width="12" style="2033"/>
    <col min="1537" max="1537" width="151" style="2033" customWidth="1"/>
    <col min="1538" max="1538" width="60.83203125" style="2033" customWidth="1"/>
    <col min="1539" max="1539" width="50.5" style="2033" customWidth="1"/>
    <col min="1540" max="1541" width="60.83203125" style="2033" customWidth="1"/>
    <col min="1542" max="1542" width="60.6640625" style="2033" customWidth="1"/>
    <col min="1543" max="1543" width="60.83203125" style="2033" customWidth="1"/>
    <col min="1544" max="1544" width="12" style="2033" customWidth="1"/>
    <col min="1545" max="1545" width="22.5" style="2033" customWidth="1"/>
    <col min="1546" max="1792" width="12" style="2033"/>
    <col min="1793" max="1793" width="151" style="2033" customWidth="1"/>
    <col min="1794" max="1794" width="60.83203125" style="2033" customWidth="1"/>
    <col min="1795" max="1795" width="50.5" style="2033" customWidth="1"/>
    <col min="1796" max="1797" width="60.83203125" style="2033" customWidth="1"/>
    <col min="1798" max="1798" width="60.6640625" style="2033" customWidth="1"/>
    <col min="1799" max="1799" width="60.83203125" style="2033" customWidth="1"/>
    <col min="1800" max="1800" width="12" style="2033" customWidth="1"/>
    <col min="1801" max="1801" width="22.5" style="2033" customWidth="1"/>
    <col min="1802" max="2048" width="12" style="2033"/>
    <col min="2049" max="2049" width="151" style="2033" customWidth="1"/>
    <col min="2050" max="2050" width="60.83203125" style="2033" customWidth="1"/>
    <col min="2051" max="2051" width="50.5" style="2033" customWidth="1"/>
    <col min="2052" max="2053" width="60.83203125" style="2033" customWidth="1"/>
    <col min="2054" max="2054" width="60.6640625" style="2033" customWidth="1"/>
    <col min="2055" max="2055" width="60.83203125" style="2033" customWidth="1"/>
    <col min="2056" max="2056" width="12" style="2033" customWidth="1"/>
    <col min="2057" max="2057" width="22.5" style="2033" customWidth="1"/>
    <col min="2058" max="2304" width="12" style="2033"/>
    <col min="2305" max="2305" width="151" style="2033" customWidth="1"/>
    <col min="2306" max="2306" width="60.83203125" style="2033" customWidth="1"/>
    <col min="2307" max="2307" width="50.5" style="2033" customWidth="1"/>
    <col min="2308" max="2309" width="60.83203125" style="2033" customWidth="1"/>
    <col min="2310" max="2310" width="60.6640625" style="2033" customWidth="1"/>
    <col min="2311" max="2311" width="60.83203125" style="2033" customWidth="1"/>
    <col min="2312" max="2312" width="12" style="2033" customWidth="1"/>
    <col min="2313" max="2313" width="22.5" style="2033" customWidth="1"/>
    <col min="2314" max="2560" width="12" style="2033"/>
    <col min="2561" max="2561" width="151" style="2033" customWidth="1"/>
    <col min="2562" max="2562" width="60.83203125" style="2033" customWidth="1"/>
    <col min="2563" max="2563" width="50.5" style="2033" customWidth="1"/>
    <col min="2564" max="2565" width="60.83203125" style="2033" customWidth="1"/>
    <col min="2566" max="2566" width="60.6640625" style="2033" customWidth="1"/>
    <col min="2567" max="2567" width="60.83203125" style="2033" customWidth="1"/>
    <col min="2568" max="2568" width="12" style="2033" customWidth="1"/>
    <col min="2569" max="2569" width="22.5" style="2033" customWidth="1"/>
    <col min="2570" max="2816" width="12" style="2033"/>
    <col min="2817" max="2817" width="151" style="2033" customWidth="1"/>
    <col min="2818" max="2818" width="60.83203125" style="2033" customWidth="1"/>
    <col min="2819" max="2819" width="50.5" style="2033" customWidth="1"/>
    <col min="2820" max="2821" width="60.83203125" style="2033" customWidth="1"/>
    <col min="2822" max="2822" width="60.6640625" style="2033" customWidth="1"/>
    <col min="2823" max="2823" width="60.83203125" style="2033" customWidth="1"/>
    <col min="2824" max="2824" width="12" style="2033" customWidth="1"/>
    <col min="2825" max="2825" width="22.5" style="2033" customWidth="1"/>
    <col min="2826" max="3072" width="12" style="2033"/>
    <col min="3073" max="3073" width="151" style="2033" customWidth="1"/>
    <col min="3074" max="3074" width="60.83203125" style="2033" customWidth="1"/>
    <col min="3075" max="3075" width="50.5" style="2033" customWidth="1"/>
    <col min="3076" max="3077" width="60.83203125" style="2033" customWidth="1"/>
    <col min="3078" max="3078" width="60.6640625" style="2033" customWidth="1"/>
    <col min="3079" max="3079" width="60.83203125" style="2033" customWidth="1"/>
    <col min="3080" max="3080" width="12" style="2033" customWidth="1"/>
    <col min="3081" max="3081" width="22.5" style="2033" customWidth="1"/>
    <col min="3082" max="3328" width="12" style="2033"/>
    <col min="3329" max="3329" width="151" style="2033" customWidth="1"/>
    <col min="3330" max="3330" width="60.83203125" style="2033" customWidth="1"/>
    <col min="3331" max="3331" width="50.5" style="2033" customWidth="1"/>
    <col min="3332" max="3333" width="60.83203125" style="2033" customWidth="1"/>
    <col min="3334" max="3334" width="60.6640625" style="2033" customWidth="1"/>
    <col min="3335" max="3335" width="60.83203125" style="2033" customWidth="1"/>
    <col min="3336" max="3336" width="12" style="2033" customWidth="1"/>
    <col min="3337" max="3337" width="22.5" style="2033" customWidth="1"/>
    <col min="3338" max="3584" width="12" style="2033"/>
    <col min="3585" max="3585" width="151" style="2033" customWidth="1"/>
    <col min="3586" max="3586" width="60.83203125" style="2033" customWidth="1"/>
    <col min="3587" max="3587" width="50.5" style="2033" customWidth="1"/>
    <col min="3588" max="3589" width="60.83203125" style="2033" customWidth="1"/>
    <col min="3590" max="3590" width="60.6640625" style="2033" customWidth="1"/>
    <col min="3591" max="3591" width="60.83203125" style="2033" customWidth="1"/>
    <col min="3592" max="3592" width="12" style="2033" customWidth="1"/>
    <col min="3593" max="3593" width="22.5" style="2033" customWidth="1"/>
    <col min="3594" max="3840" width="12" style="2033"/>
    <col min="3841" max="3841" width="151" style="2033" customWidth="1"/>
    <col min="3842" max="3842" width="60.83203125" style="2033" customWidth="1"/>
    <col min="3843" max="3843" width="50.5" style="2033" customWidth="1"/>
    <col min="3844" max="3845" width="60.83203125" style="2033" customWidth="1"/>
    <col min="3846" max="3846" width="60.6640625" style="2033" customWidth="1"/>
    <col min="3847" max="3847" width="60.83203125" style="2033" customWidth="1"/>
    <col min="3848" max="3848" width="12" style="2033" customWidth="1"/>
    <col min="3849" max="3849" width="22.5" style="2033" customWidth="1"/>
    <col min="3850" max="4096" width="12" style="2033"/>
    <col min="4097" max="4097" width="151" style="2033" customWidth="1"/>
    <col min="4098" max="4098" width="60.83203125" style="2033" customWidth="1"/>
    <col min="4099" max="4099" width="50.5" style="2033" customWidth="1"/>
    <col min="4100" max="4101" width="60.83203125" style="2033" customWidth="1"/>
    <col min="4102" max="4102" width="60.6640625" style="2033" customWidth="1"/>
    <col min="4103" max="4103" width="60.83203125" style="2033" customWidth="1"/>
    <col min="4104" max="4104" width="12" style="2033" customWidth="1"/>
    <col min="4105" max="4105" width="22.5" style="2033" customWidth="1"/>
    <col min="4106" max="4352" width="12" style="2033"/>
    <col min="4353" max="4353" width="151" style="2033" customWidth="1"/>
    <col min="4354" max="4354" width="60.83203125" style="2033" customWidth="1"/>
    <col min="4355" max="4355" width="50.5" style="2033" customWidth="1"/>
    <col min="4356" max="4357" width="60.83203125" style="2033" customWidth="1"/>
    <col min="4358" max="4358" width="60.6640625" style="2033" customWidth="1"/>
    <col min="4359" max="4359" width="60.83203125" style="2033" customWidth="1"/>
    <col min="4360" max="4360" width="12" style="2033" customWidth="1"/>
    <col min="4361" max="4361" width="22.5" style="2033" customWidth="1"/>
    <col min="4362" max="4608" width="12" style="2033"/>
    <col min="4609" max="4609" width="151" style="2033" customWidth="1"/>
    <col min="4610" max="4610" width="60.83203125" style="2033" customWidth="1"/>
    <col min="4611" max="4611" width="50.5" style="2033" customWidth="1"/>
    <col min="4612" max="4613" width="60.83203125" style="2033" customWidth="1"/>
    <col min="4614" max="4614" width="60.6640625" style="2033" customWidth="1"/>
    <col min="4615" max="4615" width="60.83203125" style="2033" customWidth="1"/>
    <col min="4616" max="4616" width="12" style="2033" customWidth="1"/>
    <col min="4617" max="4617" width="22.5" style="2033" customWidth="1"/>
    <col min="4618" max="4864" width="12" style="2033"/>
    <col min="4865" max="4865" width="151" style="2033" customWidth="1"/>
    <col min="4866" max="4866" width="60.83203125" style="2033" customWidth="1"/>
    <col min="4867" max="4867" width="50.5" style="2033" customWidth="1"/>
    <col min="4868" max="4869" width="60.83203125" style="2033" customWidth="1"/>
    <col min="4870" max="4870" width="60.6640625" style="2033" customWidth="1"/>
    <col min="4871" max="4871" width="60.83203125" style="2033" customWidth="1"/>
    <col min="4872" max="4872" width="12" style="2033" customWidth="1"/>
    <col min="4873" max="4873" width="22.5" style="2033" customWidth="1"/>
    <col min="4874" max="5120" width="12" style="2033"/>
    <col min="5121" max="5121" width="151" style="2033" customWidth="1"/>
    <col min="5122" max="5122" width="60.83203125" style="2033" customWidth="1"/>
    <col min="5123" max="5123" width="50.5" style="2033" customWidth="1"/>
    <col min="5124" max="5125" width="60.83203125" style="2033" customWidth="1"/>
    <col min="5126" max="5126" width="60.6640625" style="2033" customWidth="1"/>
    <col min="5127" max="5127" width="60.83203125" style="2033" customWidth="1"/>
    <col min="5128" max="5128" width="12" style="2033" customWidth="1"/>
    <col min="5129" max="5129" width="22.5" style="2033" customWidth="1"/>
    <col min="5130" max="5376" width="12" style="2033"/>
    <col min="5377" max="5377" width="151" style="2033" customWidth="1"/>
    <col min="5378" max="5378" width="60.83203125" style="2033" customWidth="1"/>
    <col min="5379" max="5379" width="50.5" style="2033" customWidth="1"/>
    <col min="5380" max="5381" width="60.83203125" style="2033" customWidth="1"/>
    <col min="5382" max="5382" width="60.6640625" style="2033" customWidth="1"/>
    <col min="5383" max="5383" width="60.83203125" style="2033" customWidth="1"/>
    <col min="5384" max="5384" width="12" style="2033" customWidth="1"/>
    <col min="5385" max="5385" width="22.5" style="2033" customWidth="1"/>
    <col min="5386" max="5632" width="12" style="2033"/>
    <col min="5633" max="5633" width="151" style="2033" customWidth="1"/>
    <col min="5634" max="5634" width="60.83203125" style="2033" customWidth="1"/>
    <col min="5635" max="5635" width="50.5" style="2033" customWidth="1"/>
    <col min="5636" max="5637" width="60.83203125" style="2033" customWidth="1"/>
    <col min="5638" max="5638" width="60.6640625" style="2033" customWidth="1"/>
    <col min="5639" max="5639" width="60.83203125" style="2033" customWidth="1"/>
    <col min="5640" max="5640" width="12" style="2033" customWidth="1"/>
    <col min="5641" max="5641" width="22.5" style="2033" customWidth="1"/>
    <col min="5642" max="5888" width="12" style="2033"/>
    <col min="5889" max="5889" width="151" style="2033" customWidth="1"/>
    <col min="5890" max="5890" width="60.83203125" style="2033" customWidth="1"/>
    <col min="5891" max="5891" width="50.5" style="2033" customWidth="1"/>
    <col min="5892" max="5893" width="60.83203125" style="2033" customWidth="1"/>
    <col min="5894" max="5894" width="60.6640625" style="2033" customWidth="1"/>
    <col min="5895" max="5895" width="60.83203125" style="2033" customWidth="1"/>
    <col min="5896" max="5896" width="12" style="2033" customWidth="1"/>
    <col min="5897" max="5897" width="22.5" style="2033" customWidth="1"/>
    <col min="5898" max="6144" width="12" style="2033"/>
    <col min="6145" max="6145" width="151" style="2033" customWidth="1"/>
    <col min="6146" max="6146" width="60.83203125" style="2033" customWidth="1"/>
    <col min="6147" max="6147" width="50.5" style="2033" customWidth="1"/>
    <col min="6148" max="6149" width="60.83203125" style="2033" customWidth="1"/>
    <col min="6150" max="6150" width="60.6640625" style="2033" customWidth="1"/>
    <col min="6151" max="6151" width="60.83203125" style="2033" customWidth="1"/>
    <col min="6152" max="6152" width="12" style="2033" customWidth="1"/>
    <col min="6153" max="6153" width="22.5" style="2033" customWidth="1"/>
    <col min="6154" max="6400" width="12" style="2033"/>
    <col min="6401" max="6401" width="151" style="2033" customWidth="1"/>
    <col min="6402" max="6402" width="60.83203125" style="2033" customWidth="1"/>
    <col min="6403" max="6403" width="50.5" style="2033" customWidth="1"/>
    <col min="6404" max="6405" width="60.83203125" style="2033" customWidth="1"/>
    <col min="6406" max="6406" width="60.6640625" style="2033" customWidth="1"/>
    <col min="6407" max="6407" width="60.83203125" style="2033" customWidth="1"/>
    <col min="6408" max="6408" width="12" style="2033" customWidth="1"/>
    <col min="6409" max="6409" width="22.5" style="2033" customWidth="1"/>
    <col min="6410" max="6656" width="12" style="2033"/>
    <col min="6657" max="6657" width="151" style="2033" customWidth="1"/>
    <col min="6658" max="6658" width="60.83203125" style="2033" customWidth="1"/>
    <col min="6659" max="6659" width="50.5" style="2033" customWidth="1"/>
    <col min="6660" max="6661" width="60.83203125" style="2033" customWidth="1"/>
    <col min="6662" max="6662" width="60.6640625" style="2033" customWidth="1"/>
    <col min="6663" max="6663" width="60.83203125" style="2033" customWidth="1"/>
    <col min="6664" max="6664" width="12" style="2033" customWidth="1"/>
    <col min="6665" max="6665" width="22.5" style="2033" customWidth="1"/>
    <col min="6666" max="6912" width="12" style="2033"/>
    <col min="6913" max="6913" width="151" style="2033" customWidth="1"/>
    <col min="6914" max="6914" width="60.83203125" style="2033" customWidth="1"/>
    <col min="6915" max="6915" width="50.5" style="2033" customWidth="1"/>
    <col min="6916" max="6917" width="60.83203125" style="2033" customWidth="1"/>
    <col min="6918" max="6918" width="60.6640625" style="2033" customWidth="1"/>
    <col min="6919" max="6919" width="60.83203125" style="2033" customWidth="1"/>
    <col min="6920" max="6920" width="12" style="2033" customWidth="1"/>
    <col min="6921" max="6921" width="22.5" style="2033" customWidth="1"/>
    <col min="6922" max="7168" width="12" style="2033"/>
    <col min="7169" max="7169" width="151" style="2033" customWidth="1"/>
    <col min="7170" max="7170" width="60.83203125" style="2033" customWidth="1"/>
    <col min="7171" max="7171" width="50.5" style="2033" customWidth="1"/>
    <col min="7172" max="7173" width="60.83203125" style="2033" customWidth="1"/>
    <col min="7174" max="7174" width="60.6640625" style="2033" customWidth="1"/>
    <col min="7175" max="7175" width="60.83203125" style="2033" customWidth="1"/>
    <col min="7176" max="7176" width="12" style="2033" customWidth="1"/>
    <col min="7177" max="7177" width="22.5" style="2033" customWidth="1"/>
    <col min="7178" max="7424" width="12" style="2033"/>
    <col min="7425" max="7425" width="151" style="2033" customWidth="1"/>
    <col min="7426" max="7426" width="60.83203125" style="2033" customWidth="1"/>
    <col min="7427" max="7427" width="50.5" style="2033" customWidth="1"/>
    <col min="7428" max="7429" width="60.83203125" style="2033" customWidth="1"/>
    <col min="7430" max="7430" width="60.6640625" style="2033" customWidth="1"/>
    <col min="7431" max="7431" width="60.83203125" style="2033" customWidth="1"/>
    <col min="7432" max="7432" width="12" style="2033" customWidth="1"/>
    <col min="7433" max="7433" width="22.5" style="2033" customWidth="1"/>
    <col min="7434" max="7680" width="12" style="2033"/>
    <col min="7681" max="7681" width="151" style="2033" customWidth="1"/>
    <col min="7682" max="7682" width="60.83203125" style="2033" customWidth="1"/>
    <col min="7683" max="7683" width="50.5" style="2033" customWidth="1"/>
    <col min="7684" max="7685" width="60.83203125" style="2033" customWidth="1"/>
    <col min="7686" max="7686" width="60.6640625" style="2033" customWidth="1"/>
    <col min="7687" max="7687" width="60.83203125" style="2033" customWidth="1"/>
    <col min="7688" max="7688" width="12" style="2033" customWidth="1"/>
    <col min="7689" max="7689" width="22.5" style="2033" customWidth="1"/>
    <col min="7690" max="7936" width="12" style="2033"/>
    <col min="7937" max="7937" width="151" style="2033" customWidth="1"/>
    <col min="7938" max="7938" width="60.83203125" style="2033" customWidth="1"/>
    <col min="7939" max="7939" width="50.5" style="2033" customWidth="1"/>
    <col min="7940" max="7941" width="60.83203125" style="2033" customWidth="1"/>
    <col min="7942" max="7942" width="60.6640625" style="2033" customWidth="1"/>
    <col min="7943" max="7943" width="60.83203125" style="2033" customWidth="1"/>
    <col min="7944" max="7944" width="12" style="2033" customWidth="1"/>
    <col min="7945" max="7945" width="22.5" style="2033" customWidth="1"/>
    <col min="7946" max="8192" width="12" style="2033"/>
    <col min="8193" max="8193" width="151" style="2033" customWidth="1"/>
    <col min="8194" max="8194" width="60.83203125" style="2033" customWidth="1"/>
    <col min="8195" max="8195" width="50.5" style="2033" customWidth="1"/>
    <col min="8196" max="8197" width="60.83203125" style="2033" customWidth="1"/>
    <col min="8198" max="8198" width="60.6640625" style="2033" customWidth="1"/>
    <col min="8199" max="8199" width="60.83203125" style="2033" customWidth="1"/>
    <col min="8200" max="8200" width="12" style="2033" customWidth="1"/>
    <col min="8201" max="8201" width="22.5" style="2033" customWidth="1"/>
    <col min="8202" max="8448" width="12" style="2033"/>
    <col min="8449" max="8449" width="151" style="2033" customWidth="1"/>
    <col min="8450" max="8450" width="60.83203125" style="2033" customWidth="1"/>
    <col min="8451" max="8451" width="50.5" style="2033" customWidth="1"/>
    <col min="8452" max="8453" width="60.83203125" style="2033" customWidth="1"/>
    <col min="8454" max="8454" width="60.6640625" style="2033" customWidth="1"/>
    <col min="8455" max="8455" width="60.83203125" style="2033" customWidth="1"/>
    <col min="8456" max="8456" width="12" style="2033" customWidth="1"/>
    <col min="8457" max="8457" width="22.5" style="2033" customWidth="1"/>
    <col min="8458" max="8704" width="12" style="2033"/>
    <col min="8705" max="8705" width="151" style="2033" customWidth="1"/>
    <col min="8706" max="8706" width="60.83203125" style="2033" customWidth="1"/>
    <col min="8707" max="8707" width="50.5" style="2033" customWidth="1"/>
    <col min="8708" max="8709" width="60.83203125" style="2033" customWidth="1"/>
    <col min="8710" max="8710" width="60.6640625" style="2033" customWidth="1"/>
    <col min="8711" max="8711" width="60.83203125" style="2033" customWidth="1"/>
    <col min="8712" max="8712" width="12" style="2033" customWidth="1"/>
    <col min="8713" max="8713" width="22.5" style="2033" customWidth="1"/>
    <col min="8714" max="8960" width="12" style="2033"/>
    <col min="8961" max="8961" width="151" style="2033" customWidth="1"/>
    <col min="8962" max="8962" width="60.83203125" style="2033" customWidth="1"/>
    <col min="8963" max="8963" width="50.5" style="2033" customWidth="1"/>
    <col min="8964" max="8965" width="60.83203125" style="2033" customWidth="1"/>
    <col min="8966" max="8966" width="60.6640625" style="2033" customWidth="1"/>
    <col min="8967" max="8967" width="60.83203125" style="2033" customWidth="1"/>
    <col min="8968" max="8968" width="12" style="2033" customWidth="1"/>
    <col min="8969" max="8969" width="22.5" style="2033" customWidth="1"/>
    <col min="8970" max="9216" width="12" style="2033"/>
    <col min="9217" max="9217" width="151" style="2033" customWidth="1"/>
    <col min="9218" max="9218" width="60.83203125" style="2033" customWidth="1"/>
    <col min="9219" max="9219" width="50.5" style="2033" customWidth="1"/>
    <col min="9220" max="9221" width="60.83203125" style="2033" customWidth="1"/>
    <col min="9222" max="9222" width="60.6640625" style="2033" customWidth="1"/>
    <col min="9223" max="9223" width="60.83203125" style="2033" customWidth="1"/>
    <col min="9224" max="9224" width="12" style="2033" customWidth="1"/>
    <col min="9225" max="9225" width="22.5" style="2033" customWidth="1"/>
    <col min="9226" max="9472" width="12" style="2033"/>
    <col min="9473" max="9473" width="151" style="2033" customWidth="1"/>
    <col min="9474" max="9474" width="60.83203125" style="2033" customWidth="1"/>
    <col min="9475" max="9475" width="50.5" style="2033" customWidth="1"/>
    <col min="9476" max="9477" width="60.83203125" style="2033" customWidth="1"/>
    <col min="9478" max="9478" width="60.6640625" style="2033" customWidth="1"/>
    <col min="9479" max="9479" width="60.83203125" style="2033" customWidth="1"/>
    <col min="9480" max="9480" width="12" style="2033" customWidth="1"/>
    <col min="9481" max="9481" width="22.5" style="2033" customWidth="1"/>
    <col min="9482" max="9728" width="12" style="2033"/>
    <col min="9729" max="9729" width="151" style="2033" customWidth="1"/>
    <col min="9730" max="9730" width="60.83203125" style="2033" customWidth="1"/>
    <col min="9731" max="9731" width="50.5" style="2033" customWidth="1"/>
    <col min="9732" max="9733" width="60.83203125" style="2033" customWidth="1"/>
    <col min="9734" max="9734" width="60.6640625" style="2033" customWidth="1"/>
    <col min="9735" max="9735" width="60.83203125" style="2033" customWidth="1"/>
    <col min="9736" max="9736" width="12" style="2033" customWidth="1"/>
    <col min="9737" max="9737" width="22.5" style="2033" customWidth="1"/>
    <col min="9738" max="9984" width="12" style="2033"/>
    <col min="9985" max="9985" width="151" style="2033" customWidth="1"/>
    <col min="9986" max="9986" width="60.83203125" style="2033" customWidth="1"/>
    <col min="9987" max="9987" width="50.5" style="2033" customWidth="1"/>
    <col min="9988" max="9989" width="60.83203125" style="2033" customWidth="1"/>
    <col min="9990" max="9990" width="60.6640625" style="2033" customWidth="1"/>
    <col min="9991" max="9991" width="60.83203125" style="2033" customWidth="1"/>
    <col min="9992" max="9992" width="12" style="2033" customWidth="1"/>
    <col min="9993" max="9993" width="22.5" style="2033" customWidth="1"/>
    <col min="9994" max="10240" width="12" style="2033"/>
    <col min="10241" max="10241" width="151" style="2033" customWidth="1"/>
    <col min="10242" max="10242" width="60.83203125" style="2033" customWidth="1"/>
    <col min="10243" max="10243" width="50.5" style="2033" customWidth="1"/>
    <col min="10244" max="10245" width="60.83203125" style="2033" customWidth="1"/>
    <col min="10246" max="10246" width="60.6640625" style="2033" customWidth="1"/>
    <col min="10247" max="10247" width="60.83203125" style="2033" customWidth="1"/>
    <col min="10248" max="10248" width="12" style="2033" customWidth="1"/>
    <col min="10249" max="10249" width="22.5" style="2033" customWidth="1"/>
    <col min="10250" max="10496" width="12" style="2033"/>
    <col min="10497" max="10497" width="151" style="2033" customWidth="1"/>
    <col min="10498" max="10498" width="60.83203125" style="2033" customWidth="1"/>
    <col min="10499" max="10499" width="50.5" style="2033" customWidth="1"/>
    <col min="10500" max="10501" width="60.83203125" style="2033" customWidth="1"/>
    <col min="10502" max="10502" width="60.6640625" style="2033" customWidth="1"/>
    <col min="10503" max="10503" width="60.83203125" style="2033" customWidth="1"/>
    <col min="10504" max="10504" width="12" style="2033" customWidth="1"/>
    <col min="10505" max="10505" width="22.5" style="2033" customWidth="1"/>
    <col min="10506" max="10752" width="12" style="2033"/>
    <col min="10753" max="10753" width="151" style="2033" customWidth="1"/>
    <col min="10754" max="10754" width="60.83203125" style="2033" customWidth="1"/>
    <col min="10755" max="10755" width="50.5" style="2033" customWidth="1"/>
    <col min="10756" max="10757" width="60.83203125" style="2033" customWidth="1"/>
    <col min="10758" max="10758" width="60.6640625" style="2033" customWidth="1"/>
    <col min="10759" max="10759" width="60.83203125" style="2033" customWidth="1"/>
    <col min="10760" max="10760" width="12" style="2033" customWidth="1"/>
    <col min="10761" max="10761" width="22.5" style="2033" customWidth="1"/>
    <col min="10762" max="11008" width="12" style="2033"/>
    <col min="11009" max="11009" width="151" style="2033" customWidth="1"/>
    <col min="11010" max="11010" width="60.83203125" style="2033" customWidth="1"/>
    <col min="11011" max="11011" width="50.5" style="2033" customWidth="1"/>
    <col min="11012" max="11013" width="60.83203125" style="2033" customWidth="1"/>
    <col min="11014" max="11014" width="60.6640625" style="2033" customWidth="1"/>
    <col min="11015" max="11015" width="60.83203125" style="2033" customWidth="1"/>
    <col min="11016" max="11016" width="12" style="2033" customWidth="1"/>
    <col min="11017" max="11017" width="22.5" style="2033" customWidth="1"/>
    <col min="11018" max="11264" width="12" style="2033"/>
    <col min="11265" max="11265" width="151" style="2033" customWidth="1"/>
    <col min="11266" max="11266" width="60.83203125" style="2033" customWidth="1"/>
    <col min="11267" max="11267" width="50.5" style="2033" customWidth="1"/>
    <col min="11268" max="11269" width="60.83203125" style="2033" customWidth="1"/>
    <col min="11270" max="11270" width="60.6640625" style="2033" customWidth="1"/>
    <col min="11271" max="11271" width="60.83203125" style="2033" customWidth="1"/>
    <col min="11272" max="11272" width="12" style="2033" customWidth="1"/>
    <col min="11273" max="11273" width="22.5" style="2033" customWidth="1"/>
    <col min="11274" max="11520" width="12" style="2033"/>
    <col min="11521" max="11521" width="151" style="2033" customWidth="1"/>
    <col min="11522" max="11522" width="60.83203125" style="2033" customWidth="1"/>
    <col min="11523" max="11523" width="50.5" style="2033" customWidth="1"/>
    <col min="11524" max="11525" width="60.83203125" style="2033" customWidth="1"/>
    <col min="11526" max="11526" width="60.6640625" style="2033" customWidth="1"/>
    <col min="11527" max="11527" width="60.83203125" style="2033" customWidth="1"/>
    <col min="11528" max="11528" width="12" style="2033" customWidth="1"/>
    <col min="11529" max="11529" width="22.5" style="2033" customWidth="1"/>
    <col min="11530" max="11776" width="12" style="2033"/>
    <col min="11777" max="11777" width="151" style="2033" customWidth="1"/>
    <col min="11778" max="11778" width="60.83203125" style="2033" customWidth="1"/>
    <col min="11779" max="11779" width="50.5" style="2033" customWidth="1"/>
    <col min="11780" max="11781" width="60.83203125" style="2033" customWidth="1"/>
    <col min="11782" max="11782" width="60.6640625" style="2033" customWidth="1"/>
    <col min="11783" max="11783" width="60.83203125" style="2033" customWidth="1"/>
    <col min="11784" max="11784" width="12" style="2033" customWidth="1"/>
    <col min="11785" max="11785" width="22.5" style="2033" customWidth="1"/>
    <col min="11786" max="12032" width="12" style="2033"/>
    <col min="12033" max="12033" width="151" style="2033" customWidth="1"/>
    <col min="12034" max="12034" width="60.83203125" style="2033" customWidth="1"/>
    <col min="12035" max="12035" width="50.5" style="2033" customWidth="1"/>
    <col min="12036" max="12037" width="60.83203125" style="2033" customWidth="1"/>
    <col min="12038" max="12038" width="60.6640625" style="2033" customWidth="1"/>
    <col min="12039" max="12039" width="60.83203125" style="2033" customWidth="1"/>
    <col min="12040" max="12040" width="12" style="2033" customWidth="1"/>
    <col min="12041" max="12041" width="22.5" style="2033" customWidth="1"/>
    <col min="12042" max="12288" width="12" style="2033"/>
    <col min="12289" max="12289" width="151" style="2033" customWidth="1"/>
    <col min="12290" max="12290" width="60.83203125" style="2033" customWidth="1"/>
    <col min="12291" max="12291" width="50.5" style="2033" customWidth="1"/>
    <col min="12292" max="12293" width="60.83203125" style="2033" customWidth="1"/>
    <col min="12294" max="12294" width="60.6640625" style="2033" customWidth="1"/>
    <col min="12295" max="12295" width="60.83203125" style="2033" customWidth="1"/>
    <col min="12296" max="12296" width="12" style="2033" customWidth="1"/>
    <col min="12297" max="12297" width="22.5" style="2033" customWidth="1"/>
    <col min="12298" max="12544" width="12" style="2033"/>
    <col min="12545" max="12545" width="151" style="2033" customWidth="1"/>
    <col min="12546" max="12546" width="60.83203125" style="2033" customWidth="1"/>
    <col min="12547" max="12547" width="50.5" style="2033" customWidth="1"/>
    <col min="12548" max="12549" width="60.83203125" style="2033" customWidth="1"/>
    <col min="12550" max="12550" width="60.6640625" style="2033" customWidth="1"/>
    <col min="12551" max="12551" width="60.83203125" style="2033" customWidth="1"/>
    <col min="12552" max="12552" width="12" style="2033" customWidth="1"/>
    <col min="12553" max="12553" width="22.5" style="2033" customWidth="1"/>
    <col min="12554" max="12800" width="12" style="2033"/>
    <col min="12801" max="12801" width="151" style="2033" customWidth="1"/>
    <col min="12802" max="12802" width="60.83203125" style="2033" customWidth="1"/>
    <col min="12803" max="12803" width="50.5" style="2033" customWidth="1"/>
    <col min="12804" max="12805" width="60.83203125" style="2033" customWidth="1"/>
    <col min="12806" max="12806" width="60.6640625" style="2033" customWidth="1"/>
    <col min="12807" max="12807" width="60.83203125" style="2033" customWidth="1"/>
    <col min="12808" max="12808" width="12" style="2033" customWidth="1"/>
    <col min="12809" max="12809" width="22.5" style="2033" customWidth="1"/>
    <col min="12810" max="13056" width="12" style="2033"/>
    <col min="13057" max="13057" width="151" style="2033" customWidth="1"/>
    <col min="13058" max="13058" width="60.83203125" style="2033" customWidth="1"/>
    <col min="13059" max="13059" width="50.5" style="2033" customWidth="1"/>
    <col min="13060" max="13061" width="60.83203125" style="2033" customWidth="1"/>
    <col min="13062" max="13062" width="60.6640625" style="2033" customWidth="1"/>
    <col min="13063" max="13063" width="60.83203125" style="2033" customWidth="1"/>
    <col min="13064" max="13064" width="12" style="2033" customWidth="1"/>
    <col min="13065" max="13065" width="22.5" style="2033" customWidth="1"/>
    <col min="13066" max="13312" width="12" style="2033"/>
    <col min="13313" max="13313" width="151" style="2033" customWidth="1"/>
    <col min="13314" max="13314" width="60.83203125" style="2033" customWidth="1"/>
    <col min="13315" max="13315" width="50.5" style="2033" customWidth="1"/>
    <col min="13316" max="13317" width="60.83203125" style="2033" customWidth="1"/>
    <col min="13318" max="13318" width="60.6640625" style="2033" customWidth="1"/>
    <col min="13319" max="13319" width="60.83203125" style="2033" customWidth="1"/>
    <col min="13320" max="13320" width="12" style="2033" customWidth="1"/>
    <col min="13321" max="13321" width="22.5" style="2033" customWidth="1"/>
    <col min="13322" max="13568" width="12" style="2033"/>
    <col min="13569" max="13569" width="151" style="2033" customWidth="1"/>
    <col min="13570" max="13570" width="60.83203125" style="2033" customWidth="1"/>
    <col min="13571" max="13571" width="50.5" style="2033" customWidth="1"/>
    <col min="13572" max="13573" width="60.83203125" style="2033" customWidth="1"/>
    <col min="13574" max="13574" width="60.6640625" style="2033" customWidth="1"/>
    <col min="13575" max="13575" width="60.83203125" style="2033" customWidth="1"/>
    <col min="13576" max="13576" width="12" style="2033" customWidth="1"/>
    <col min="13577" max="13577" width="22.5" style="2033" customWidth="1"/>
    <col min="13578" max="13824" width="12" style="2033"/>
    <col min="13825" max="13825" width="151" style="2033" customWidth="1"/>
    <col min="13826" max="13826" width="60.83203125" style="2033" customWidth="1"/>
    <col min="13827" max="13827" width="50.5" style="2033" customWidth="1"/>
    <col min="13828" max="13829" width="60.83203125" style="2033" customWidth="1"/>
    <col min="13830" max="13830" width="60.6640625" style="2033" customWidth="1"/>
    <col min="13831" max="13831" width="60.83203125" style="2033" customWidth="1"/>
    <col min="13832" max="13832" width="12" style="2033" customWidth="1"/>
    <col min="13833" max="13833" width="22.5" style="2033" customWidth="1"/>
    <col min="13834" max="14080" width="12" style="2033"/>
    <col min="14081" max="14081" width="151" style="2033" customWidth="1"/>
    <col min="14082" max="14082" width="60.83203125" style="2033" customWidth="1"/>
    <col min="14083" max="14083" width="50.5" style="2033" customWidth="1"/>
    <col min="14084" max="14085" width="60.83203125" style="2033" customWidth="1"/>
    <col min="14086" max="14086" width="60.6640625" style="2033" customWidth="1"/>
    <col min="14087" max="14087" width="60.83203125" style="2033" customWidth="1"/>
    <col min="14088" max="14088" width="12" style="2033" customWidth="1"/>
    <col min="14089" max="14089" width="22.5" style="2033" customWidth="1"/>
    <col min="14090" max="14336" width="12" style="2033"/>
    <col min="14337" max="14337" width="151" style="2033" customWidth="1"/>
    <col min="14338" max="14338" width="60.83203125" style="2033" customWidth="1"/>
    <col min="14339" max="14339" width="50.5" style="2033" customWidth="1"/>
    <col min="14340" max="14341" width="60.83203125" style="2033" customWidth="1"/>
    <col min="14342" max="14342" width="60.6640625" style="2033" customWidth="1"/>
    <col min="14343" max="14343" width="60.83203125" style="2033" customWidth="1"/>
    <col min="14344" max="14344" width="12" style="2033" customWidth="1"/>
    <col min="14345" max="14345" width="22.5" style="2033" customWidth="1"/>
    <col min="14346" max="14592" width="12" style="2033"/>
    <col min="14593" max="14593" width="151" style="2033" customWidth="1"/>
    <col min="14594" max="14594" width="60.83203125" style="2033" customWidth="1"/>
    <col min="14595" max="14595" width="50.5" style="2033" customWidth="1"/>
    <col min="14596" max="14597" width="60.83203125" style="2033" customWidth="1"/>
    <col min="14598" max="14598" width="60.6640625" style="2033" customWidth="1"/>
    <col min="14599" max="14599" width="60.83203125" style="2033" customWidth="1"/>
    <col min="14600" max="14600" width="12" style="2033" customWidth="1"/>
    <col min="14601" max="14601" width="22.5" style="2033" customWidth="1"/>
    <col min="14602" max="14848" width="12" style="2033"/>
    <col min="14849" max="14849" width="151" style="2033" customWidth="1"/>
    <col min="14850" max="14850" width="60.83203125" style="2033" customWidth="1"/>
    <col min="14851" max="14851" width="50.5" style="2033" customWidth="1"/>
    <col min="14852" max="14853" width="60.83203125" style="2033" customWidth="1"/>
    <col min="14854" max="14854" width="60.6640625" style="2033" customWidth="1"/>
    <col min="14855" max="14855" width="60.83203125" style="2033" customWidth="1"/>
    <col min="14856" max="14856" width="12" style="2033" customWidth="1"/>
    <col min="14857" max="14857" width="22.5" style="2033" customWidth="1"/>
    <col min="14858" max="15104" width="12" style="2033"/>
    <col min="15105" max="15105" width="151" style="2033" customWidth="1"/>
    <col min="15106" max="15106" width="60.83203125" style="2033" customWidth="1"/>
    <col min="15107" max="15107" width="50.5" style="2033" customWidth="1"/>
    <col min="15108" max="15109" width="60.83203125" style="2033" customWidth="1"/>
    <col min="15110" max="15110" width="60.6640625" style="2033" customWidth="1"/>
    <col min="15111" max="15111" width="60.83203125" style="2033" customWidth="1"/>
    <col min="15112" max="15112" width="12" style="2033" customWidth="1"/>
    <col min="15113" max="15113" width="22.5" style="2033" customWidth="1"/>
    <col min="15114" max="15360" width="12" style="2033"/>
    <col min="15361" max="15361" width="151" style="2033" customWidth="1"/>
    <col min="15362" max="15362" width="60.83203125" style="2033" customWidth="1"/>
    <col min="15363" max="15363" width="50.5" style="2033" customWidth="1"/>
    <col min="15364" max="15365" width="60.83203125" style="2033" customWidth="1"/>
    <col min="15366" max="15366" width="60.6640625" style="2033" customWidth="1"/>
    <col min="15367" max="15367" width="60.83203125" style="2033" customWidth="1"/>
    <col min="15368" max="15368" width="12" style="2033" customWidth="1"/>
    <col min="15369" max="15369" width="22.5" style="2033" customWidth="1"/>
    <col min="15370" max="15616" width="12" style="2033"/>
    <col min="15617" max="15617" width="151" style="2033" customWidth="1"/>
    <col min="15618" max="15618" width="60.83203125" style="2033" customWidth="1"/>
    <col min="15619" max="15619" width="50.5" style="2033" customWidth="1"/>
    <col min="15620" max="15621" width="60.83203125" style="2033" customWidth="1"/>
    <col min="15622" max="15622" width="60.6640625" style="2033" customWidth="1"/>
    <col min="15623" max="15623" width="60.83203125" style="2033" customWidth="1"/>
    <col min="15624" max="15624" width="12" style="2033" customWidth="1"/>
    <col min="15625" max="15625" width="22.5" style="2033" customWidth="1"/>
    <col min="15626" max="15872" width="12" style="2033"/>
    <col min="15873" max="15873" width="151" style="2033" customWidth="1"/>
    <col min="15874" max="15874" width="60.83203125" style="2033" customWidth="1"/>
    <col min="15875" max="15875" width="50.5" style="2033" customWidth="1"/>
    <col min="15876" max="15877" width="60.83203125" style="2033" customWidth="1"/>
    <col min="15878" max="15878" width="60.6640625" style="2033" customWidth="1"/>
    <col min="15879" max="15879" width="60.83203125" style="2033" customWidth="1"/>
    <col min="15880" max="15880" width="12" style="2033" customWidth="1"/>
    <col min="15881" max="15881" width="22.5" style="2033" customWidth="1"/>
    <col min="15882" max="16128" width="12" style="2033"/>
    <col min="16129" max="16129" width="151" style="2033" customWidth="1"/>
    <col min="16130" max="16130" width="60.83203125" style="2033" customWidth="1"/>
    <col min="16131" max="16131" width="50.5" style="2033" customWidth="1"/>
    <col min="16132" max="16133" width="60.83203125" style="2033" customWidth="1"/>
    <col min="16134" max="16134" width="60.6640625" style="2033" customWidth="1"/>
    <col min="16135" max="16135" width="60.83203125" style="2033" customWidth="1"/>
    <col min="16136" max="16136" width="12" style="2033" customWidth="1"/>
    <col min="16137" max="16137" width="22.5" style="2033" customWidth="1"/>
    <col min="16138" max="16384" width="12" style="2033"/>
  </cols>
  <sheetData>
    <row r="1" spans="1:9" s="2029" customFormat="1" ht="45" customHeight="1" x14ac:dyDescent="0.5">
      <c r="A1" s="2662" t="s">
        <v>1295</v>
      </c>
      <c r="B1" s="2662"/>
      <c r="C1" s="2662"/>
      <c r="D1" s="2662"/>
      <c r="E1" s="2662"/>
      <c r="F1" s="2662"/>
      <c r="G1" s="2662"/>
      <c r="I1" s="2030"/>
    </row>
    <row r="2" spans="1:9" s="2029" customFormat="1" ht="44.25" customHeight="1" x14ac:dyDescent="0.5">
      <c r="A2" s="2662" t="s">
        <v>1296</v>
      </c>
      <c r="B2" s="2662"/>
      <c r="C2" s="2662"/>
      <c r="D2" s="2662"/>
      <c r="E2" s="2662"/>
      <c r="F2" s="2662"/>
      <c r="G2" s="2662"/>
      <c r="I2" s="2030"/>
    </row>
    <row r="3" spans="1:9" ht="44.25" customHeight="1" thickBot="1" x14ac:dyDescent="0.55000000000000004">
      <c r="A3" s="2031"/>
      <c r="B3" s="2663"/>
      <c r="C3" s="2663"/>
      <c r="D3" s="2663"/>
      <c r="E3" s="2663"/>
      <c r="F3" s="2032"/>
      <c r="G3" s="2032"/>
    </row>
    <row r="4" spans="1:9" s="2029" customFormat="1" ht="108.75" customHeight="1" thickBot="1" x14ac:dyDescent="0.55000000000000004">
      <c r="A4" s="2035"/>
      <c r="B4" s="2664" t="s">
        <v>1297</v>
      </c>
      <c r="C4" s="2665"/>
      <c r="D4" s="2665"/>
      <c r="E4" s="2666"/>
      <c r="F4" s="2667" t="s">
        <v>1298</v>
      </c>
      <c r="G4" s="2668"/>
      <c r="I4" s="2036"/>
    </row>
    <row r="5" spans="1:9" s="2029" customFormat="1" ht="45.75" customHeight="1" thickBot="1" x14ac:dyDescent="0.55000000000000004">
      <c r="A5" s="2083" t="s">
        <v>1299</v>
      </c>
      <c r="B5" s="2671" t="s">
        <v>1300</v>
      </c>
      <c r="C5" s="2672"/>
      <c r="D5" s="2673" t="s">
        <v>1301</v>
      </c>
      <c r="E5" s="2674"/>
      <c r="F5" s="2669"/>
      <c r="G5" s="2670"/>
      <c r="I5" s="2036"/>
    </row>
    <row r="6" spans="1:9" s="2029" customFormat="1" ht="42" customHeight="1" thickBot="1" x14ac:dyDescent="0.55000000000000004">
      <c r="A6" s="2037"/>
      <c r="B6" s="2660" t="s">
        <v>1302</v>
      </c>
      <c r="C6" s="2661"/>
      <c r="D6" s="2660" t="s">
        <v>1302</v>
      </c>
      <c r="E6" s="2661"/>
      <c r="F6" s="2038"/>
      <c r="G6" s="2038"/>
      <c r="I6" s="2036"/>
    </row>
    <row r="7" spans="1:9" s="2029" customFormat="1" ht="44.25" customHeight="1" thickBot="1" x14ac:dyDescent="0.55000000000000004">
      <c r="A7" s="2039"/>
      <c r="B7" s="2084" t="s">
        <v>1303</v>
      </c>
      <c r="C7" s="2085" t="s">
        <v>1304</v>
      </c>
      <c r="D7" s="2084" t="s">
        <v>1303</v>
      </c>
      <c r="E7" s="2085" t="s">
        <v>1304</v>
      </c>
      <c r="F7" s="2038" t="s">
        <v>1303</v>
      </c>
      <c r="G7" s="2038" t="s">
        <v>1305</v>
      </c>
      <c r="I7" s="2036"/>
    </row>
    <row r="8" spans="1:9" s="2042" customFormat="1" ht="90.75" customHeight="1" x14ac:dyDescent="0.5">
      <c r="A8" s="2086" t="s">
        <v>1306</v>
      </c>
      <c r="B8" s="2040"/>
      <c r="C8" s="2041"/>
      <c r="D8" s="2041"/>
      <c r="E8" s="2041"/>
      <c r="F8" s="2041"/>
      <c r="G8" s="2041"/>
      <c r="I8" s="2043"/>
    </row>
    <row r="9" spans="1:9" s="2047" customFormat="1" ht="45.75" customHeight="1" x14ac:dyDescent="0.5">
      <c r="A9" s="2087" t="s">
        <v>1307</v>
      </c>
      <c r="B9" s="2044">
        <v>33</v>
      </c>
      <c r="C9" s="2045">
        <v>33</v>
      </c>
      <c r="D9" s="2046">
        <v>1</v>
      </c>
      <c r="E9" s="2045">
        <v>1</v>
      </c>
      <c r="F9" s="2046">
        <f t="shared" ref="F9:G26" si="0">B9+D9</f>
        <v>34</v>
      </c>
      <c r="G9" s="2045">
        <f t="shared" si="0"/>
        <v>34</v>
      </c>
      <c r="I9" s="2034"/>
    </row>
    <row r="10" spans="1:9" s="2047" customFormat="1" ht="45.75" customHeight="1" x14ac:dyDescent="0.5">
      <c r="A10" s="2088" t="s">
        <v>1308</v>
      </c>
      <c r="B10" s="2048">
        <v>22</v>
      </c>
      <c r="C10" s="2049">
        <v>22</v>
      </c>
      <c r="D10" s="2048">
        <v>1</v>
      </c>
      <c r="E10" s="2049">
        <v>1</v>
      </c>
      <c r="F10" s="2048">
        <f t="shared" si="0"/>
        <v>23</v>
      </c>
      <c r="G10" s="2049">
        <f t="shared" si="0"/>
        <v>23</v>
      </c>
      <c r="I10" s="2034"/>
    </row>
    <row r="11" spans="1:9" s="2047" customFormat="1" ht="45.75" customHeight="1" x14ac:dyDescent="0.5">
      <c r="A11" s="2088" t="s">
        <v>1309</v>
      </c>
      <c r="B11" s="2044">
        <v>22</v>
      </c>
      <c r="C11" s="2045">
        <v>22</v>
      </c>
      <c r="D11" s="2046">
        <v>1</v>
      </c>
      <c r="E11" s="2045">
        <v>1</v>
      </c>
      <c r="F11" s="2046">
        <f t="shared" si="0"/>
        <v>23</v>
      </c>
      <c r="G11" s="2045">
        <f t="shared" si="0"/>
        <v>23</v>
      </c>
      <c r="I11" s="2034"/>
    </row>
    <row r="12" spans="1:9" s="2047" customFormat="1" ht="45.75" customHeight="1" x14ac:dyDescent="0.5">
      <c r="A12" s="2088" t="s">
        <v>1310</v>
      </c>
      <c r="B12" s="2048">
        <v>27</v>
      </c>
      <c r="C12" s="2049">
        <v>27</v>
      </c>
      <c r="D12" s="2048">
        <v>1</v>
      </c>
      <c r="E12" s="2049">
        <v>1</v>
      </c>
      <c r="F12" s="2048">
        <f t="shared" si="0"/>
        <v>28</v>
      </c>
      <c r="G12" s="2049">
        <f t="shared" si="0"/>
        <v>28</v>
      </c>
      <c r="I12" s="2034"/>
    </row>
    <row r="13" spans="1:9" s="2047" customFormat="1" ht="45.75" customHeight="1" x14ac:dyDescent="0.5">
      <c r="A13" s="2088" t="s">
        <v>1311</v>
      </c>
      <c r="B13" s="2048">
        <v>25.5</v>
      </c>
      <c r="C13" s="2049">
        <v>26</v>
      </c>
      <c r="D13" s="2048">
        <v>1</v>
      </c>
      <c r="E13" s="2049">
        <v>1</v>
      </c>
      <c r="F13" s="2048">
        <f t="shared" si="0"/>
        <v>26.5</v>
      </c>
      <c r="G13" s="2049">
        <f t="shared" si="0"/>
        <v>27</v>
      </c>
      <c r="I13" s="2034"/>
    </row>
    <row r="14" spans="1:9" s="2047" customFormat="1" ht="45.75" customHeight="1" x14ac:dyDescent="0.5">
      <c r="A14" s="2088" t="s">
        <v>1312</v>
      </c>
      <c r="B14" s="2048">
        <v>22</v>
      </c>
      <c r="C14" s="2049">
        <v>22</v>
      </c>
      <c r="D14" s="2048">
        <v>1</v>
      </c>
      <c r="E14" s="2049">
        <v>1</v>
      </c>
      <c r="F14" s="2048">
        <f t="shared" si="0"/>
        <v>23</v>
      </c>
      <c r="G14" s="2049">
        <f t="shared" si="0"/>
        <v>23</v>
      </c>
      <c r="I14" s="2034"/>
    </row>
    <row r="15" spans="1:9" s="2047" customFormat="1" ht="45.75" customHeight="1" x14ac:dyDescent="0.5">
      <c r="A15" s="2088" t="s">
        <v>1313</v>
      </c>
      <c r="B15" s="2048">
        <v>18</v>
      </c>
      <c r="C15" s="2049">
        <v>18</v>
      </c>
      <c r="D15" s="2048">
        <v>1</v>
      </c>
      <c r="E15" s="2049">
        <v>1</v>
      </c>
      <c r="F15" s="2048">
        <f t="shared" si="0"/>
        <v>19</v>
      </c>
      <c r="G15" s="2049">
        <f t="shared" si="0"/>
        <v>19</v>
      </c>
      <c r="I15" s="2034"/>
    </row>
    <row r="16" spans="1:9" s="2047" customFormat="1" ht="45.75" customHeight="1" x14ac:dyDescent="0.5">
      <c r="A16" s="2088" t="s">
        <v>1314</v>
      </c>
      <c r="B16" s="2048">
        <v>18</v>
      </c>
      <c r="C16" s="2049">
        <v>18</v>
      </c>
      <c r="D16" s="2048">
        <v>1</v>
      </c>
      <c r="E16" s="2049">
        <v>1</v>
      </c>
      <c r="F16" s="2048">
        <f t="shared" si="0"/>
        <v>19</v>
      </c>
      <c r="G16" s="2049">
        <f t="shared" si="0"/>
        <v>19</v>
      </c>
      <c r="I16" s="2034"/>
    </row>
    <row r="17" spans="1:9" s="2047" customFormat="1" ht="45.75" customHeight="1" x14ac:dyDescent="0.5">
      <c r="A17" s="2088" t="s">
        <v>1315</v>
      </c>
      <c r="B17" s="2048">
        <v>25</v>
      </c>
      <c r="C17" s="2049">
        <v>25</v>
      </c>
      <c r="D17" s="2048">
        <v>1</v>
      </c>
      <c r="E17" s="2049">
        <v>1</v>
      </c>
      <c r="F17" s="2048">
        <f t="shared" si="0"/>
        <v>26</v>
      </c>
      <c r="G17" s="2049">
        <f t="shared" si="0"/>
        <v>26</v>
      </c>
      <c r="I17" s="2034"/>
    </row>
    <row r="18" spans="1:9" s="2047" customFormat="1" ht="45.75" customHeight="1" x14ac:dyDescent="0.5">
      <c r="A18" s="2088" t="s">
        <v>1316</v>
      </c>
      <c r="B18" s="2048">
        <v>28</v>
      </c>
      <c r="C18" s="2049">
        <v>28</v>
      </c>
      <c r="D18" s="2048">
        <v>1</v>
      </c>
      <c r="E18" s="2049">
        <v>1</v>
      </c>
      <c r="F18" s="2048">
        <f t="shared" si="0"/>
        <v>29</v>
      </c>
      <c r="G18" s="2049">
        <f t="shared" si="0"/>
        <v>29</v>
      </c>
      <c r="I18" s="2034"/>
    </row>
    <row r="19" spans="1:9" s="2047" customFormat="1" ht="45.75" customHeight="1" x14ac:dyDescent="0.5">
      <c r="A19" s="2088" t="s">
        <v>1317</v>
      </c>
      <c r="B19" s="2048">
        <v>15</v>
      </c>
      <c r="C19" s="2049">
        <v>15</v>
      </c>
      <c r="D19" s="2048">
        <v>1</v>
      </c>
      <c r="E19" s="2049">
        <v>1</v>
      </c>
      <c r="F19" s="2048">
        <f t="shared" si="0"/>
        <v>16</v>
      </c>
      <c r="G19" s="2049">
        <f t="shared" si="0"/>
        <v>16</v>
      </c>
      <c r="I19" s="2034"/>
    </row>
    <row r="20" spans="1:9" s="2047" customFormat="1" ht="45.75" customHeight="1" x14ac:dyDescent="0.5">
      <c r="A20" s="2088" t="s">
        <v>1318</v>
      </c>
      <c r="B20" s="2048">
        <v>11.5</v>
      </c>
      <c r="C20" s="2049">
        <v>11</v>
      </c>
      <c r="D20" s="2048">
        <v>1</v>
      </c>
      <c r="E20" s="2049">
        <v>1</v>
      </c>
      <c r="F20" s="2048">
        <f t="shared" si="0"/>
        <v>12.5</v>
      </c>
      <c r="G20" s="2049">
        <f t="shared" si="0"/>
        <v>12</v>
      </c>
      <c r="I20" s="2034"/>
    </row>
    <row r="21" spans="1:9" s="2047" customFormat="1" ht="45.75" customHeight="1" x14ac:dyDescent="0.5">
      <c r="A21" s="2088" t="s">
        <v>1319</v>
      </c>
      <c r="B21" s="2048">
        <v>15</v>
      </c>
      <c r="C21" s="2049">
        <v>15</v>
      </c>
      <c r="D21" s="2048">
        <v>1</v>
      </c>
      <c r="E21" s="2049">
        <v>1</v>
      </c>
      <c r="F21" s="2048">
        <f t="shared" si="0"/>
        <v>16</v>
      </c>
      <c r="G21" s="2049">
        <f t="shared" si="0"/>
        <v>16</v>
      </c>
      <c r="I21" s="2034"/>
    </row>
    <row r="22" spans="1:9" s="2047" customFormat="1" ht="45.75" customHeight="1" x14ac:dyDescent="0.5">
      <c r="A22" s="2088" t="s">
        <v>1320</v>
      </c>
      <c r="B22" s="2048">
        <v>20</v>
      </c>
      <c r="C22" s="2049">
        <v>20</v>
      </c>
      <c r="D22" s="2048">
        <v>1</v>
      </c>
      <c r="E22" s="2049">
        <v>1</v>
      </c>
      <c r="F22" s="2048">
        <f t="shared" si="0"/>
        <v>21</v>
      </c>
      <c r="G22" s="2049">
        <f t="shared" si="0"/>
        <v>21</v>
      </c>
      <c r="I22" s="2034"/>
    </row>
    <row r="23" spans="1:9" s="2047" customFormat="1" ht="45.75" customHeight="1" x14ac:dyDescent="0.5">
      <c r="A23" s="2088" t="s">
        <v>1321</v>
      </c>
      <c r="B23" s="2048">
        <v>28</v>
      </c>
      <c r="C23" s="2049">
        <v>28</v>
      </c>
      <c r="D23" s="2048">
        <v>1</v>
      </c>
      <c r="E23" s="2049">
        <v>1</v>
      </c>
      <c r="F23" s="2048">
        <f t="shared" si="0"/>
        <v>29</v>
      </c>
      <c r="G23" s="2049">
        <f t="shared" si="0"/>
        <v>29</v>
      </c>
      <c r="I23" s="2034"/>
    </row>
    <row r="24" spans="1:9" s="2047" customFormat="1" ht="45.75" customHeight="1" x14ac:dyDescent="0.5">
      <c r="A24" s="2088" t="s">
        <v>1322</v>
      </c>
      <c r="B24" s="2048">
        <v>22</v>
      </c>
      <c r="C24" s="2049">
        <v>22</v>
      </c>
      <c r="D24" s="2048">
        <v>1</v>
      </c>
      <c r="E24" s="2049">
        <v>1</v>
      </c>
      <c r="F24" s="2048">
        <f t="shared" si="0"/>
        <v>23</v>
      </c>
      <c r="G24" s="2049">
        <f t="shared" si="0"/>
        <v>23</v>
      </c>
      <c r="I24" s="2034"/>
    </row>
    <row r="25" spans="1:9" s="2047" customFormat="1" ht="45.75" customHeight="1" x14ac:dyDescent="0.5">
      <c r="A25" s="2087" t="s">
        <v>1323</v>
      </c>
      <c r="B25" s="2048">
        <v>16</v>
      </c>
      <c r="C25" s="2049">
        <v>16</v>
      </c>
      <c r="D25" s="2048">
        <v>1</v>
      </c>
      <c r="E25" s="2049">
        <v>1</v>
      </c>
      <c r="F25" s="2048">
        <f t="shared" si="0"/>
        <v>17</v>
      </c>
      <c r="G25" s="2049">
        <f t="shared" si="0"/>
        <v>17</v>
      </c>
      <c r="I25" s="2034"/>
    </row>
    <row r="26" spans="1:9" s="2047" customFormat="1" ht="45.75" customHeight="1" thickBot="1" x14ac:dyDescent="0.55000000000000004">
      <c r="A26" s="2089" t="s">
        <v>1324</v>
      </c>
      <c r="B26" s="2044">
        <v>11.5</v>
      </c>
      <c r="C26" s="2045">
        <v>12</v>
      </c>
      <c r="D26" s="2046">
        <v>1.5</v>
      </c>
      <c r="E26" s="2045">
        <v>1</v>
      </c>
      <c r="F26" s="2046">
        <f t="shared" si="0"/>
        <v>13</v>
      </c>
      <c r="G26" s="2045">
        <f t="shared" si="0"/>
        <v>13</v>
      </c>
      <c r="I26" s="2034"/>
    </row>
    <row r="27" spans="1:9" s="2047" customFormat="1" ht="45.75" customHeight="1" thickBot="1" x14ac:dyDescent="0.55000000000000004">
      <c r="A27" s="2090" t="s">
        <v>1325</v>
      </c>
      <c r="B27" s="2050">
        <f t="shared" ref="B27:G27" si="1">SUM(B9:B26)</f>
        <v>379.5</v>
      </c>
      <c r="C27" s="2051">
        <f t="shared" si="1"/>
        <v>380</v>
      </c>
      <c r="D27" s="2050">
        <f t="shared" si="1"/>
        <v>18.5</v>
      </c>
      <c r="E27" s="2051">
        <f t="shared" si="1"/>
        <v>18</v>
      </c>
      <c r="F27" s="2050">
        <f t="shared" si="1"/>
        <v>398</v>
      </c>
      <c r="G27" s="2051">
        <f t="shared" si="1"/>
        <v>398</v>
      </c>
      <c r="I27" s="2034"/>
    </row>
    <row r="28" spans="1:9" s="2052" customFormat="1" ht="44.25" customHeight="1" thickBot="1" x14ac:dyDescent="0.55000000000000004">
      <c r="A28" s="2091" t="s">
        <v>214</v>
      </c>
      <c r="B28" s="2044">
        <f>'[7]létszám ei mód RM V. '!H28</f>
        <v>0</v>
      </c>
      <c r="C28" s="2045">
        <f>'[7]létszám ei mód RM V. '!I28</f>
        <v>0</v>
      </c>
      <c r="D28" s="2046">
        <f>'[7]létszám ei mód RM V. '!N28</f>
        <v>44</v>
      </c>
      <c r="E28" s="2045">
        <f>'[7]létszám ei mód RM V. '!O28</f>
        <v>44</v>
      </c>
      <c r="F28" s="2046">
        <f>B28+D28</f>
        <v>44</v>
      </c>
      <c r="G28" s="2045">
        <f>C28+E28</f>
        <v>44</v>
      </c>
      <c r="I28" s="2053"/>
    </row>
    <row r="29" spans="1:9" s="2047" customFormat="1" ht="42.75" customHeight="1" thickBot="1" x14ac:dyDescent="0.55000000000000004">
      <c r="A29" s="2090" t="s">
        <v>1326</v>
      </c>
      <c r="B29" s="2050">
        <f t="shared" ref="B29:G29" si="2">SUM(B27:B28)</f>
        <v>379.5</v>
      </c>
      <c r="C29" s="2054">
        <f t="shared" si="2"/>
        <v>380</v>
      </c>
      <c r="D29" s="2050">
        <f t="shared" si="2"/>
        <v>62.5</v>
      </c>
      <c r="E29" s="2054">
        <f t="shared" si="2"/>
        <v>62</v>
      </c>
      <c r="F29" s="2050">
        <f t="shared" si="2"/>
        <v>442</v>
      </c>
      <c r="G29" s="2054">
        <f t="shared" si="2"/>
        <v>442</v>
      </c>
      <c r="I29" s="2034"/>
    </row>
    <row r="30" spans="1:9" s="2047" customFormat="1" ht="42.75" customHeight="1" x14ac:dyDescent="0.5">
      <c r="A30" s="2092" t="s">
        <v>1327</v>
      </c>
      <c r="B30" s="2046"/>
      <c r="C30" s="2046"/>
      <c r="D30" s="2046"/>
      <c r="E30" s="2046"/>
      <c r="F30" s="2046"/>
      <c r="G30" s="2046"/>
      <c r="I30" s="2034"/>
    </row>
    <row r="31" spans="1:9" s="2047" customFormat="1" ht="45.75" customHeight="1" x14ac:dyDescent="0.5">
      <c r="A31" s="2086" t="s">
        <v>1328</v>
      </c>
      <c r="B31" s="2046"/>
      <c r="C31" s="2046"/>
      <c r="D31" s="2046"/>
      <c r="E31" s="2046"/>
      <c r="F31" s="2046"/>
      <c r="G31" s="2046"/>
      <c r="I31" s="2034"/>
    </row>
    <row r="32" spans="1:9" s="2047" customFormat="1" ht="44.25" customHeight="1" x14ac:dyDescent="0.5">
      <c r="A32" s="2087" t="s">
        <v>1329</v>
      </c>
      <c r="B32" s="2055">
        <v>21</v>
      </c>
      <c r="C32" s="2056">
        <v>21</v>
      </c>
      <c r="D32" s="2055">
        <v>15.5</v>
      </c>
      <c r="E32" s="2056">
        <v>16</v>
      </c>
      <c r="F32" s="2055">
        <f t="shared" ref="F32:G36" si="3">B32+D32</f>
        <v>36.5</v>
      </c>
      <c r="G32" s="2056">
        <f t="shared" si="3"/>
        <v>37</v>
      </c>
      <c r="I32" s="2034"/>
    </row>
    <row r="33" spans="1:9" s="2047" customFormat="1" ht="44.25" customHeight="1" x14ac:dyDescent="0.5">
      <c r="A33" s="2088" t="s">
        <v>373</v>
      </c>
      <c r="B33" s="2046">
        <v>18</v>
      </c>
      <c r="C33" s="2045">
        <v>18</v>
      </c>
      <c r="D33" s="2046">
        <v>1</v>
      </c>
      <c r="E33" s="2045">
        <v>1</v>
      </c>
      <c r="F33" s="2046">
        <f t="shared" si="3"/>
        <v>19</v>
      </c>
      <c r="G33" s="2045">
        <f t="shared" si="3"/>
        <v>19</v>
      </c>
      <c r="I33" s="2034"/>
    </row>
    <row r="34" spans="1:9" s="2047" customFormat="1" ht="44.25" customHeight="1" x14ac:dyDescent="0.5">
      <c r="A34" s="2088" t="s">
        <v>1330</v>
      </c>
      <c r="B34" s="2057">
        <v>77</v>
      </c>
      <c r="C34" s="2049">
        <v>77</v>
      </c>
      <c r="D34" s="2048">
        <v>7.5</v>
      </c>
      <c r="E34" s="2049">
        <v>7</v>
      </c>
      <c r="F34" s="2048">
        <f t="shared" si="3"/>
        <v>84.5</v>
      </c>
      <c r="G34" s="2049">
        <f t="shared" si="3"/>
        <v>84</v>
      </c>
      <c r="I34" s="2034"/>
    </row>
    <row r="35" spans="1:9" s="2047" customFormat="1" ht="81.75" customHeight="1" x14ac:dyDescent="0.5">
      <c r="A35" s="2099" t="s">
        <v>1331</v>
      </c>
      <c r="B35" s="2057">
        <v>35</v>
      </c>
      <c r="C35" s="2049">
        <v>35</v>
      </c>
      <c r="D35" s="2048">
        <v>11</v>
      </c>
      <c r="E35" s="2049">
        <v>11</v>
      </c>
      <c r="F35" s="2048">
        <f t="shared" si="3"/>
        <v>46</v>
      </c>
      <c r="G35" s="2049">
        <f t="shared" si="3"/>
        <v>46</v>
      </c>
      <c r="I35" s="2034"/>
    </row>
    <row r="36" spans="1:9" s="2047" customFormat="1" ht="44.25" customHeight="1" thickBot="1" x14ac:dyDescent="0.55000000000000004">
      <c r="A36" s="2093" t="s">
        <v>1332</v>
      </c>
      <c r="B36" s="2046">
        <v>64.5</v>
      </c>
      <c r="C36" s="2045">
        <v>65</v>
      </c>
      <c r="D36" s="2046">
        <v>30.25</v>
      </c>
      <c r="E36" s="2045">
        <v>30</v>
      </c>
      <c r="F36" s="2046">
        <f t="shared" si="3"/>
        <v>94.75</v>
      </c>
      <c r="G36" s="2045">
        <f t="shared" si="3"/>
        <v>95</v>
      </c>
      <c r="I36" s="2034"/>
    </row>
    <row r="37" spans="1:9" s="2047" customFormat="1" ht="44.25" customHeight="1" thickBot="1" x14ac:dyDescent="0.55000000000000004">
      <c r="A37" s="2090" t="s">
        <v>1333</v>
      </c>
      <c r="B37" s="2058">
        <f t="shared" ref="B37:G37" si="4">SUM(B32:B36)</f>
        <v>215.5</v>
      </c>
      <c r="C37" s="2054">
        <f t="shared" si="4"/>
        <v>216</v>
      </c>
      <c r="D37" s="2058">
        <f t="shared" si="4"/>
        <v>65.25</v>
      </c>
      <c r="E37" s="2054">
        <f t="shared" si="4"/>
        <v>65</v>
      </c>
      <c r="F37" s="2058">
        <f t="shared" si="4"/>
        <v>280.75</v>
      </c>
      <c r="G37" s="2054">
        <f t="shared" si="4"/>
        <v>281</v>
      </c>
      <c r="I37" s="2034"/>
    </row>
    <row r="38" spans="1:9" s="2047" customFormat="1" ht="45.75" customHeight="1" x14ac:dyDescent="0.5">
      <c r="A38" s="2092" t="s">
        <v>1334</v>
      </c>
      <c r="B38" s="2059"/>
      <c r="C38" s="2059"/>
      <c r="D38" s="2059"/>
      <c r="E38" s="2059"/>
      <c r="F38" s="2059"/>
      <c r="G38" s="2059"/>
      <c r="I38" s="2034"/>
    </row>
    <row r="39" spans="1:9" s="2047" customFormat="1" ht="75.75" thickBot="1" x14ac:dyDescent="0.55000000000000004">
      <c r="A39" s="2094" t="s">
        <v>1335</v>
      </c>
      <c r="B39" s="2044">
        <v>165.5</v>
      </c>
      <c r="C39" s="2045">
        <v>165</v>
      </c>
      <c r="D39" s="2046">
        <v>19</v>
      </c>
      <c r="E39" s="2045">
        <v>19</v>
      </c>
      <c r="F39" s="2046">
        <f>B39+D39</f>
        <v>184.5</v>
      </c>
      <c r="G39" s="2045">
        <f>C39+E39</f>
        <v>184</v>
      </c>
      <c r="I39" s="2034"/>
    </row>
    <row r="40" spans="1:9" s="2047" customFormat="1" ht="44.25" customHeight="1" x14ac:dyDescent="0.5">
      <c r="A40" s="2092" t="s">
        <v>1336</v>
      </c>
      <c r="B40" s="2059"/>
      <c r="C40" s="2059"/>
      <c r="D40" s="2059"/>
      <c r="E40" s="2059"/>
      <c r="F40" s="2059"/>
      <c r="G40" s="2059"/>
      <c r="I40" s="2034"/>
    </row>
    <row r="41" spans="1:9" s="2047" customFormat="1" ht="45.75" customHeight="1" thickBot="1" x14ac:dyDescent="0.55000000000000004">
      <c r="A41" s="2095" t="s">
        <v>1337</v>
      </c>
      <c r="B41" s="2044">
        <v>64</v>
      </c>
      <c r="C41" s="2045">
        <v>64</v>
      </c>
      <c r="D41" s="2046">
        <v>34</v>
      </c>
      <c r="E41" s="2045">
        <v>34</v>
      </c>
      <c r="F41" s="2046">
        <f>B41+D41</f>
        <v>98</v>
      </c>
      <c r="G41" s="2045">
        <f>C41+E41</f>
        <v>98</v>
      </c>
      <c r="I41" s="2034"/>
    </row>
    <row r="42" spans="1:9" s="2047" customFormat="1" ht="45" customHeight="1" x14ac:dyDescent="0.5">
      <c r="A42" s="2092" t="s">
        <v>1338</v>
      </c>
      <c r="B42" s="2059"/>
      <c r="C42" s="2059"/>
      <c r="D42" s="2059"/>
      <c r="E42" s="2059"/>
      <c r="F42" s="2059"/>
      <c r="G42" s="2059"/>
      <c r="I42" s="2034"/>
    </row>
    <row r="43" spans="1:9" s="2047" customFormat="1" ht="44.25" customHeight="1" thickBot="1" x14ac:dyDescent="0.55000000000000004">
      <c r="A43" s="2095" t="s">
        <v>1339</v>
      </c>
      <c r="B43" s="2044">
        <v>132.76</v>
      </c>
      <c r="C43" s="2045">
        <v>133</v>
      </c>
      <c r="D43" s="2046">
        <v>40.99499999999999</v>
      </c>
      <c r="E43" s="2045">
        <v>41</v>
      </c>
      <c r="F43" s="2046">
        <f>B43+D43</f>
        <v>173.755</v>
      </c>
      <c r="G43" s="2045">
        <f>C43+E43</f>
        <v>174</v>
      </c>
      <c r="I43" s="2034"/>
    </row>
    <row r="44" spans="1:9" s="2047" customFormat="1" ht="45.75" customHeight="1" x14ac:dyDescent="0.5">
      <c r="A44" s="2092" t="s">
        <v>1340</v>
      </c>
      <c r="B44" s="2059"/>
      <c r="C44" s="2059"/>
      <c r="D44" s="2059"/>
      <c r="E44" s="2059"/>
      <c r="F44" s="2059"/>
      <c r="G44" s="2059"/>
      <c r="I44" s="2034"/>
    </row>
    <row r="45" spans="1:9" s="2047" customFormat="1" ht="44.25" customHeight="1" x14ac:dyDescent="0.5">
      <c r="A45" s="2095" t="s">
        <v>1341</v>
      </c>
      <c r="B45" s="2044">
        <v>1</v>
      </c>
      <c r="C45" s="2045">
        <v>1</v>
      </c>
      <c r="D45" s="2060">
        <v>15</v>
      </c>
      <c r="E45" s="2056">
        <v>15</v>
      </c>
      <c r="F45" s="2055">
        <f t="shared" ref="F45:G47" si="5">B45+D45</f>
        <v>16</v>
      </c>
      <c r="G45" s="2056">
        <f t="shared" si="5"/>
        <v>16</v>
      </c>
      <c r="I45" s="2034"/>
    </row>
    <row r="46" spans="1:9" s="2047" customFormat="1" ht="45" customHeight="1" x14ac:dyDescent="0.5">
      <c r="A46" s="2096" t="s">
        <v>75</v>
      </c>
      <c r="B46" s="2048">
        <v>234.5</v>
      </c>
      <c r="C46" s="2049">
        <v>235</v>
      </c>
      <c r="D46" s="2057">
        <v>0</v>
      </c>
      <c r="E46" s="2049">
        <v>0</v>
      </c>
      <c r="F46" s="2057">
        <f t="shared" si="5"/>
        <v>234.5</v>
      </c>
      <c r="G46" s="2049">
        <f t="shared" si="5"/>
        <v>235</v>
      </c>
      <c r="I46" s="2034"/>
    </row>
    <row r="47" spans="1:9" s="2047" customFormat="1" ht="45" customHeight="1" thickBot="1" x14ac:dyDescent="0.55000000000000004">
      <c r="A47" s="2087" t="s">
        <v>1342</v>
      </c>
      <c r="B47" s="2061">
        <v>30</v>
      </c>
      <c r="C47" s="2062">
        <v>30</v>
      </c>
      <c r="D47" s="2061">
        <v>0</v>
      </c>
      <c r="E47" s="2062">
        <v>0</v>
      </c>
      <c r="F47" s="2061">
        <f t="shared" si="5"/>
        <v>30</v>
      </c>
      <c r="G47" s="2062">
        <f t="shared" si="5"/>
        <v>30</v>
      </c>
      <c r="I47" s="2034"/>
    </row>
    <row r="48" spans="1:9" s="2047" customFormat="1" ht="44.25" customHeight="1" thickBot="1" x14ac:dyDescent="0.55000000000000004">
      <c r="A48" s="2090" t="s">
        <v>1333</v>
      </c>
      <c r="B48" s="2061">
        <f t="shared" ref="B48:G48" si="6">SUM(B45:B47)</f>
        <v>265.5</v>
      </c>
      <c r="C48" s="2062">
        <f t="shared" si="6"/>
        <v>266</v>
      </c>
      <c r="D48" s="2061">
        <f t="shared" si="6"/>
        <v>15</v>
      </c>
      <c r="E48" s="2062">
        <f t="shared" si="6"/>
        <v>15</v>
      </c>
      <c r="F48" s="2061">
        <f t="shared" si="6"/>
        <v>280.5</v>
      </c>
      <c r="G48" s="2062">
        <f t="shared" si="6"/>
        <v>281</v>
      </c>
      <c r="I48" s="2034"/>
    </row>
    <row r="49" spans="1:22" s="2047" customFormat="1" ht="44.25" customHeight="1" thickBot="1" x14ac:dyDescent="0.55000000000000004">
      <c r="A49" s="2097" t="s">
        <v>1343</v>
      </c>
      <c r="B49" s="2061">
        <f t="shared" ref="B49:G49" si="7">B37+B39+B41+B43+B48</f>
        <v>843.26</v>
      </c>
      <c r="C49" s="2062">
        <f t="shared" si="7"/>
        <v>844</v>
      </c>
      <c r="D49" s="2061">
        <f t="shared" si="7"/>
        <v>174.245</v>
      </c>
      <c r="E49" s="2062">
        <f t="shared" si="7"/>
        <v>174</v>
      </c>
      <c r="F49" s="2061">
        <f t="shared" si="7"/>
        <v>1017.505</v>
      </c>
      <c r="G49" s="2062">
        <f t="shared" si="7"/>
        <v>1018</v>
      </c>
      <c r="I49" s="2034"/>
    </row>
    <row r="50" spans="1:22" s="2047" customFormat="1" ht="44.25" customHeight="1" thickBot="1" x14ac:dyDescent="0.55000000000000004">
      <c r="A50" s="2098" t="s">
        <v>1344</v>
      </c>
      <c r="B50" s="2061">
        <f t="shared" ref="B50:G50" si="8">B29+B49</f>
        <v>1222.76</v>
      </c>
      <c r="C50" s="2062">
        <f t="shared" si="8"/>
        <v>1224</v>
      </c>
      <c r="D50" s="2061">
        <f t="shared" si="8"/>
        <v>236.745</v>
      </c>
      <c r="E50" s="2062">
        <f t="shared" si="8"/>
        <v>236</v>
      </c>
      <c r="F50" s="2061">
        <f t="shared" si="8"/>
        <v>1459.5050000000001</v>
      </c>
      <c r="G50" s="2062">
        <f t="shared" si="8"/>
        <v>1460</v>
      </c>
      <c r="I50" s="2034"/>
    </row>
    <row r="51" spans="1:22" s="2066" customFormat="1" x14ac:dyDescent="0.5">
      <c r="A51" s="2063"/>
      <c r="B51" s="2064"/>
      <c r="C51" s="2065"/>
      <c r="I51" s="2067"/>
    </row>
    <row r="52" spans="1:22" s="2047" customFormat="1" x14ac:dyDescent="0.5">
      <c r="A52" s="2068"/>
      <c r="E52" s="2052"/>
      <c r="F52" s="2069"/>
      <c r="G52" s="2069"/>
      <c r="I52" s="2070"/>
    </row>
    <row r="53" spans="1:22" s="2047" customFormat="1" x14ac:dyDescent="0.5">
      <c r="A53" s="2068"/>
      <c r="E53" s="2052"/>
      <c r="F53" s="2052"/>
      <c r="G53" s="2052"/>
      <c r="I53" s="2070"/>
    </row>
    <row r="54" spans="1:22" s="2066" customFormat="1" ht="35.25" x14ac:dyDescent="0.5">
      <c r="A54" s="2071"/>
      <c r="B54" s="2072"/>
      <c r="C54" s="2073"/>
      <c r="E54" s="2074"/>
      <c r="F54" s="2074"/>
      <c r="G54" s="2075"/>
      <c r="I54" s="2067"/>
    </row>
    <row r="55" spans="1:22" x14ac:dyDescent="0.5">
      <c r="B55" s="2076"/>
      <c r="C55" s="2077"/>
    </row>
    <row r="57" spans="1:22" s="2047" customFormat="1" ht="35.25" x14ac:dyDescent="0.5">
      <c r="A57" s="2078"/>
      <c r="B57" s="2072"/>
      <c r="C57" s="2073"/>
      <c r="D57" s="2073"/>
      <c r="E57" s="2079"/>
      <c r="F57" s="2079"/>
      <c r="G57" s="2079"/>
      <c r="H57" s="2079"/>
      <c r="I57" s="2080"/>
      <c r="O57" s="2052"/>
      <c r="P57" s="2052"/>
      <c r="Q57" s="2052"/>
      <c r="V57" s="2070"/>
    </row>
    <row r="58" spans="1:22" s="2047" customFormat="1" ht="35.25" x14ac:dyDescent="0.5">
      <c r="A58" s="2071"/>
      <c r="B58" s="2072"/>
      <c r="C58" s="2081"/>
      <c r="D58" s="2073"/>
      <c r="E58" s="2079"/>
      <c r="F58" s="2079"/>
      <c r="G58" s="2079"/>
      <c r="H58" s="2079"/>
      <c r="I58" s="2080"/>
      <c r="O58" s="2052"/>
      <c r="P58" s="2052"/>
      <c r="Q58" s="2052"/>
      <c r="V58" s="2070"/>
    </row>
    <row r="59" spans="1:22" s="2047" customFormat="1" ht="35.25" x14ac:dyDescent="0.5">
      <c r="A59" s="2071"/>
      <c r="B59" s="2072"/>
      <c r="C59" s="2081"/>
      <c r="D59" s="2073"/>
      <c r="E59" s="2079"/>
      <c r="F59" s="2079"/>
      <c r="G59" s="2079"/>
      <c r="H59" s="2079"/>
      <c r="I59" s="2082"/>
      <c r="O59" s="2052"/>
      <c r="P59" s="2052"/>
      <c r="Q59" s="2052"/>
      <c r="V59" s="2070"/>
    </row>
    <row r="60" spans="1:22" s="2047" customFormat="1" ht="35.25" x14ac:dyDescent="0.5">
      <c r="A60" s="2073"/>
      <c r="B60" s="2072"/>
      <c r="C60" s="2073"/>
      <c r="D60" s="2073"/>
      <c r="E60" s="2079"/>
      <c r="F60" s="2079"/>
      <c r="G60" s="2079"/>
      <c r="H60" s="2079"/>
      <c r="I60" s="2080"/>
      <c r="O60" s="2052"/>
      <c r="P60" s="2052"/>
      <c r="Q60" s="2052"/>
      <c r="V60" s="2070"/>
    </row>
  </sheetData>
  <mergeCells count="9">
    <mergeCell ref="B6:C6"/>
    <mergeCell ref="D6:E6"/>
    <mergeCell ref="A1:G1"/>
    <mergeCell ref="A2:G2"/>
    <mergeCell ref="B3:E3"/>
    <mergeCell ref="B4:E4"/>
    <mergeCell ref="F4:G5"/>
    <mergeCell ref="B5:C5"/>
    <mergeCell ref="D5:E5"/>
  </mergeCells>
  <printOptions horizontalCentered="1" verticalCentered="1"/>
  <pageMargins left="0.59055118110236227" right="0.59055118110236227" top="0" bottom="0" header="0.59055118110236227" footer="0"/>
  <pageSetup paperSize="9" scale="24" orientation="portrait" r:id="rId1"/>
  <headerFooter alignWithMargins="0">
    <oddHeader xml:space="preserve">&amp;R&amp;"Times New Roman CE,Félkövér"&amp;32 7.  melléklet a .../2019.(.....) önkormányzati rendelethez
</oddHeader>
  </headerFooter>
  <rowBreaks count="1" manualBreakCount="1">
    <brk id="50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8"/>
  <dimension ref="B1:J49"/>
  <sheetViews>
    <sheetView topLeftCell="A34" zoomScaleNormal="100" zoomScaleSheetLayoutView="75" workbookViewId="0">
      <selection activeCell="B47" sqref="B47:B48"/>
    </sheetView>
  </sheetViews>
  <sheetFormatPr defaultColWidth="9.33203125" defaultRowHeight="15" customHeight="1" x14ac:dyDescent="0.2"/>
  <cols>
    <col min="1" max="1" width="9.33203125" style="11"/>
    <col min="2" max="2" width="112" style="11" customWidth="1"/>
    <col min="3" max="6" width="22.1640625" style="11" customWidth="1"/>
    <col min="7" max="9" width="9.33203125" style="11"/>
    <col min="10" max="10" width="19.83203125" style="11" customWidth="1"/>
    <col min="11" max="16384" width="9.33203125" style="11"/>
  </cols>
  <sheetData>
    <row r="1" spans="2:10" ht="15" customHeight="1" x14ac:dyDescent="0.25">
      <c r="B1" s="2675"/>
      <c r="C1" s="2675"/>
    </row>
    <row r="2" spans="2:10" ht="24.75" customHeight="1" x14ac:dyDescent="0.35">
      <c r="B2" s="2678" t="s">
        <v>38</v>
      </c>
      <c r="C2" s="2678"/>
      <c r="D2" s="2678"/>
      <c r="E2" s="2678"/>
      <c r="F2" s="2678"/>
    </row>
    <row r="3" spans="2:10" ht="15" customHeight="1" x14ac:dyDescent="0.25">
      <c r="B3" s="488"/>
      <c r="C3" s="488"/>
    </row>
    <row r="4" spans="2:10" ht="24.75" customHeight="1" thickBot="1" x14ac:dyDescent="0.25">
      <c r="B4" s="222" t="s">
        <v>237</v>
      </c>
      <c r="C4" s="29"/>
      <c r="D4" s="29"/>
      <c r="E4" s="29"/>
      <c r="F4" s="29" t="s">
        <v>34</v>
      </c>
    </row>
    <row r="5" spans="2:10" ht="24.75" customHeight="1" x14ac:dyDescent="0.25">
      <c r="B5" s="42" t="s">
        <v>51</v>
      </c>
      <c r="C5" s="2676" t="s">
        <v>622</v>
      </c>
      <c r="D5" s="2677"/>
      <c r="E5" s="487" t="s">
        <v>602</v>
      </c>
      <c r="F5" s="43" t="s">
        <v>166</v>
      </c>
    </row>
    <row r="6" spans="2:10" ht="24.75" customHeight="1" thickBot="1" x14ac:dyDescent="0.3">
      <c r="B6" s="216"/>
      <c r="C6" s="57" t="s">
        <v>325</v>
      </c>
      <c r="D6" s="57" t="s">
        <v>164</v>
      </c>
      <c r="E6" s="70" t="s">
        <v>165</v>
      </c>
      <c r="F6" s="44" t="s">
        <v>167</v>
      </c>
    </row>
    <row r="7" spans="2:10" ht="24.75" customHeight="1" x14ac:dyDescent="0.2">
      <c r="B7" s="425" t="s">
        <v>132</v>
      </c>
      <c r="C7" s="375">
        <v>1706030</v>
      </c>
      <c r="D7" s="375">
        <v>1749620</v>
      </c>
      <c r="E7" s="326">
        <v>1698573</v>
      </c>
      <c r="F7" s="229">
        <f t="shared" ref="F7:F11" si="0">+E7/D7*100</f>
        <v>97.082395034350313</v>
      </c>
      <c r="J7" s="6"/>
    </row>
    <row r="8" spans="2:10" ht="24.75" customHeight="1" x14ac:dyDescent="0.2">
      <c r="B8" s="232" t="s">
        <v>214</v>
      </c>
      <c r="C8" s="227">
        <v>1481168</v>
      </c>
      <c r="D8" s="227">
        <v>1535883</v>
      </c>
      <c r="E8" s="218">
        <v>1376670</v>
      </c>
      <c r="F8" s="229">
        <f t="shared" si="0"/>
        <v>89.63378069813912</v>
      </c>
      <c r="J8" s="6"/>
    </row>
    <row r="9" spans="2:10" ht="24.75" customHeight="1" thickBot="1" x14ac:dyDescent="0.3">
      <c r="B9" s="24" t="s">
        <v>20</v>
      </c>
      <c r="C9" s="58">
        <f>SUM(C7:C8)</f>
        <v>3187198</v>
      </c>
      <c r="D9" s="58">
        <f>SUM(D7:D8)</f>
        <v>3285503</v>
      </c>
      <c r="E9" s="58">
        <f>SUM(E7:E8)</f>
        <v>3075243</v>
      </c>
      <c r="F9" s="85">
        <f t="shared" si="0"/>
        <v>93.600371084731933</v>
      </c>
      <c r="J9" s="6"/>
    </row>
    <row r="10" spans="2:10" ht="24.75" customHeight="1" x14ac:dyDescent="0.2">
      <c r="B10" s="423" t="s">
        <v>514</v>
      </c>
      <c r="C10" s="409">
        <v>45000</v>
      </c>
      <c r="D10" s="409">
        <v>3416</v>
      </c>
      <c r="E10" s="409">
        <v>3416</v>
      </c>
      <c r="F10" s="424">
        <f t="shared" si="0"/>
        <v>100</v>
      </c>
      <c r="J10" s="6"/>
    </row>
    <row r="11" spans="2:10" ht="33" customHeight="1" x14ac:dyDescent="0.2">
      <c r="B11" s="334" t="s">
        <v>515</v>
      </c>
      <c r="C11" s="326">
        <v>28000</v>
      </c>
      <c r="D11" s="326">
        <v>51862</v>
      </c>
      <c r="E11" s="326">
        <f>20441-1</f>
        <v>20440</v>
      </c>
      <c r="F11" s="229">
        <f t="shared" si="0"/>
        <v>39.412286452508582</v>
      </c>
      <c r="J11" s="6"/>
    </row>
    <row r="12" spans="2:10" ht="24.75" customHeight="1" x14ac:dyDescent="0.2">
      <c r="B12" s="454" t="s">
        <v>1265</v>
      </c>
      <c r="C12" s="326">
        <v>800</v>
      </c>
      <c r="D12" s="326"/>
      <c r="E12" s="326"/>
      <c r="F12" s="229"/>
      <c r="J12" s="6"/>
    </row>
    <row r="13" spans="2:10" ht="24.75" customHeight="1" x14ac:dyDescent="0.2">
      <c r="B13" s="328" t="s">
        <v>516</v>
      </c>
      <c r="C13" s="52">
        <v>4000</v>
      </c>
      <c r="D13" s="52"/>
      <c r="E13" s="74"/>
      <c r="F13" s="88"/>
      <c r="J13" s="6"/>
    </row>
    <row r="14" spans="2:10" ht="24.75" customHeight="1" x14ac:dyDescent="0.2">
      <c r="B14" s="328" t="s">
        <v>197</v>
      </c>
      <c r="C14" s="52">
        <v>3400</v>
      </c>
      <c r="D14" s="52">
        <v>6818</v>
      </c>
      <c r="E14" s="74">
        <v>6602</v>
      </c>
      <c r="F14" s="88">
        <f t="shared" ref="F14:F33" si="1">+E14/D14*100</f>
        <v>96.831915517747134</v>
      </c>
      <c r="J14" s="6"/>
    </row>
    <row r="15" spans="2:10" ht="24.75" customHeight="1" x14ac:dyDescent="0.2">
      <c r="B15" s="328" t="s">
        <v>1</v>
      </c>
      <c r="C15" s="52">
        <v>13500</v>
      </c>
      <c r="D15" s="52">
        <v>6191</v>
      </c>
      <c r="E15" s="74">
        <v>1983</v>
      </c>
      <c r="F15" s="88">
        <f t="shared" si="1"/>
        <v>32.030366661282507</v>
      </c>
      <c r="J15" s="6"/>
    </row>
    <row r="16" spans="2:10" ht="24.75" customHeight="1" x14ac:dyDescent="0.2">
      <c r="B16" s="328" t="s">
        <v>209</v>
      </c>
      <c r="C16" s="52">
        <v>500</v>
      </c>
      <c r="D16" s="52">
        <v>956</v>
      </c>
      <c r="E16" s="74">
        <v>956</v>
      </c>
      <c r="F16" s="88">
        <f t="shared" si="1"/>
        <v>100</v>
      </c>
      <c r="J16" s="6"/>
    </row>
    <row r="17" spans="2:10" ht="41.25" customHeight="1" x14ac:dyDescent="0.2">
      <c r="B17" s="333" t="s">
        <v>517</v>
      </c>
      <c r="C17" s="52">
        <v>2000</v>
      </c>
      <c r="D17" s="52">
        <v>1356</v>
      </c>
      <c r="E17" s="74">
        <v>1356</v>
      </c>
      <c r="F17" s="88">
        <f t="shared" si="1"/>
        <v>100</v>
      </c>
      <c r="J17" s="6"/>
    </row>
    <row r="18" spans="2:10" ht="24.75" customHeight="1" x14ac:dyDescent="0.2">
      <c r="B18" s="56" t="s">
        <v>375</v>
      </c>
      <c r="C18" s="52">
        <v>5000</v>
      </c>
      <c r="D18" s="52"/>
      <c r="E18" s="74"/>
      <c r="F18" s="88"/>
      <c r="J18" s="6"/>
    </row>
    <row r="19" spans="2:10" ht="24.75" customHeight="1" x14ac:dyDescent="0.2">
      <c r="B19" s="328" t="s">
        <v>112</v>
      </c>
      <c r="C19" s="52">
        <v>5000</v>
      </c>
      <c r="D19" s="52">
        <v>4948</v>
      </c>
      <c r="E19" s="74">
        <v>4947</v>
      </c>
      <c r="F19" s="88">
        <f t="shared" si="1"/>
        <v>99.979789814066294</v>
      </c>
      <c r="J19" s="6"/>
    </row>
    <row r="20" spans="2:10" ht="24.75" customHeight="1" x14ac:dyDescent="0.2">
      <c r="B20" s="328" t="s">
        <v>158</v>
      </c>
      <c r="C20" s="52">
        <v>1250</v>
      </c>
      <c r="D20" s="52">
        <v>1250</v>
      </c>
      <c r="E20" s="74">
        <v>450</v>
      </c>
      <c r="F20" s="88">
        <f t="shared" si="1"/>
        <v>36</v>
      </c>
      <c r="J20" s="6"/>
    </row>
    <row r="21" spans="2:10" ht="24.75" customHeight="1" x14ac:dyDescent="0.2">
      <c r="B21" s="328" t="s">
        <v>169</v>
      </c>
      <c r="C21" s="52">
        <v>15000</v>
      </c>
      <c r="D21" s="52">
        <v>13511</v>
      </c>
      <c r="E21" s="74">
        <v>10030</v>
      </c>
      <c r="F21" s="88">
        <f t="shared" si="1"/>
        <v>74.235807860262</v>
      </c>
      <c r="J21" s="6"/>
    </row>
    <row r="22" spans="2:10" ht="24.75" customHeight="1" x14ac:dyDescent="0.2">
      <c r="B22" s="328" t="s">
        <v>2</v>
      </c>
      <c r="C22" s="52">
        <v>200</v>
      </c>
      <c r="D22" s="52">
        <v>400</v>
      </c>
      <c r="E22" s="52">
        <v>400</v>
      </c>
      <c r="F22" s="88">
        <f t="shared" si="1"/>
        <v>100</v>
      </c>
      <c r="J22" s="6"/>
    </row>
    <row r="23" spans="2:10" ht="24.75" customHeight="1" x14ac:dyDescent="0.2">
      <c r="B23" s="55" t="s">
        <v>32</v>
      </c>
      <c r="C23" s="52">
        <v>1500</v>
      </c>
      <c r="D23" s="52">
        <v>654</v>
      </c>
      <c r="E23" s="74">
        <v>653</v>
      </c>
      <c r="F23" s="88">
        <f t="shared" si="1"/>
        <v>99.84709480122325</v>
      </c>
      <c r="J23" s="6"/>
    </row>
    <row r="24" spans="2:10" ht="24.75" customHeight="1" x14ac:dyDescent="0.2">
      <c r="B24" s="56" t="s">
        <v>50</v>
      </c>
      <c r="C24" s="52">
        <v>6200</v>
      </c>
      <c r="D24" s="52">
        <v>6677</v>
      </c>
      <c r="E24" s="52">
        <v>5251</v>
      </c>
      <c r="F24" s="88">
        <f t="shared" si="1"/>
        <v>78.643103190055413</v>
      </c>
      <c r="J24" s="6"/>
    </row>
    <row r="25" spans="2:10" ht="24.75" customHeight="1" x14ac:dyDescent="0.2">
      <c r="B25" s="127" t="s">
        <v>146</v>
      </c>
      <c r="C25" s="52">
        <v>21000</v>
      </c>
      <c r="D25" s="52">
        <v>21000</v>
      </c>
      <c r="E25" s="79">
        <v>21000</v>
      </c>
      <c r="F25" s="88">
        <f t="shared" si="1"/>
        <v>100</v>
      </c>
      <c r="J25" s="6"/>
    </row>
    <row r="26" spans="2:10" ht="24.75" customHeight="1" x14ac:dyDescent="0.2">
      <c r="B26" s="55" t="s">
        <v>79</v>
      </c>
      <c r="C26" s="79">
        <v>2300</v>
      </c>
      <c r="D26" s="79">
        <v>2300</v>
      </c>
      <c r="E26" s="79">
        <v>2300</v>
      </c>
      <c r="F26" s="88">
        <f t="shared" si="1"/>
        <v>100</v>
      </c>
      <c r="J26" s="6"/>
    </row>
    <row r="27" spans="2:10" ht="24.75" customHeight="1" x14ac:dyDescent="0.2">
      <c r="B27" s="72" t="s">
        <v>16</v>
      </c>
      <c r="C27" s="79">
        <v>800</v>
      </c>
      <c r="D27" s="79">
        <v>413</v>
      </c>
      <c r="E27" s="79">
        <v>295</v>
      </c>
      <c r="F27" s="88">
        <f t="shared" si="1"/>
        <v>71.428571428571431</v>
      </c>
      <c r="J27" s="6"/>
    </row>
    <row r="28" spans="2:10" ht="41.25" customHeight="1" x14ac:dyDescent="0.2">
      <c r="B28" s="330" t="s">
        <v>147</v>
      </c>
      <c r="C28" s="79">
        <v>11550</v>
      </c>
      <c r="D28" s="79"/>
      <c r="E28" s="79"/>
      <c r="F28" s="88"/>
      <c r="J28" s="6"/>
    </row>
    <row r="29" spans="2:10" ht="24.75" customHeight="1" x14ac:dyDescent="0.2">
      <c r="B29" s="333" t="s">
        <v>496</v>
      </c>
      <c r="C29" s="79">
        <v>7000</v>
      </c>
      <c r="D29" s="79"/>
      <c r="E29" s="79"/>
      <c r="F29" s="88"/>
      <c r="J29" s="6"/>
    </row>
    <row r="30" spans="2:10" ht="25.5" customHeight="1" x14ac:dyDescent="0.2">
      <c r="B30" s="330" t="s">
        <v>518</v>
      </c>
      <c r="C30" s="79">
        <v>4290</v>
      </c>
      <c r="D30" s="79"/>
      <c r="E30" s="79"/>
      <c r="F30" s="88"/>
      <c r="J30" s="6"/>
    </row>
    <row r="31" spans="2:10" ht="41.25" customHeight="1" x14ac:dyDescent="0.2">
      <c r="B31" s="330" t="s">
        <v>707</v>
      </c>
      <c r="C31" s="79">
        <v>0</v>
      </c>
      <c r="D31" s="79">
        <v>4095</v>
      </c>
      <c r="E31" s="79">
        <v>4095</v>
      </c>
      <c r="F31" s="88">
        <f t="shared" si="1"/>
        <v>100</v>
      </c>
      <c r="J31" s="6"/>
    </row>
    <row r="32" spans="2:10" ht="25.5" customHeight="1" x14ac:dyDescent="0.2">
      <c r="B32" s="1990" t="s">
        <v>220</v>
      </c>
      <c r="C32" s="52">
        <v>11000</v>
      </c>
      <c r="D32" s="52">
        <v>4656</v>
      </c>
      <c r="E32" s="74">
        <v>4254</v>
      </c>
      <c r="F32" s="88">
        <f t="shared" si="1"/>
        <v>91.365979381443296</v>
      </c>
      <c r="J32" s="6"/>
    </row>
    <row r="33" spans="2:10" ht="24.75" customHeight="1" x14ac:dyDescent="0.2">
      <c r="B33" s="379" t="s">
        <v>689</v>
      </c>
      <c r="C33" s="45"/>
      <c r="D33" s="45">
        <v>6840</v>
      </c>
      <c r="E33" s="45">
        <v>4443</v>
      </c>
      <c r="F33" s="86">
        <f t="shared" si="1"/>
        <v>64.956140350877192</v>
      </c>
      <c r="J33" s="6"/>
    </row>
    <row r="34" spans="2:10" ht="24.75" customHeight="1" thickBot="1" x14ac:dyDescent="0.3">
      <c r="B34" s="30" t="s">
        <v>519</v>
      </c>
      <c r="C34" s="58">
        <f>SUM(C10:C33)</f>
        <v>189290</v>
      </c>
      <c r="D34" s="58">
        <f t="shared" ref="D34:E34" si="2">SUM(D10:D33)</f>
        <v>137343</v>
      </c>
      <c r="E34" s="58">
        <f t="shared" si="2"/>
        <v>92871</v>
      </c>
      <c r="F34" s="136">
        <f>+E34/D34*100</f>
        <v>67.619754920163388</v>
      </c>
      <c r="J34" s="6"/>
    </row>
    <row r="35" spans="2:10" s="27" customFormat="1" ht="24.75" customHeight="1" thickBot="1" x14ac:dyDescent="0.3">
      <c r="B35" s="31" t="s">
        <v>520</v>
      </c>
      <c r="C35" s="26">
        <f>C9+C34</f>
        <v>3376488</v>
      </c>
      <c r="D35" s="26">
        <f>D9+D34</f>
        <v>3422846</v>
      </c>
      <c r="E35" s="26">
        <f>E9+E34</f>
        <v>3168114</v>
      </c>
      <c r="F35" s="137">
        <f>+E35/D35*100</f>
        <v>92.557888961408139</v>
      </c>
      <c r="J35" s="6"/>
    </row>
    <row r="36" spans="2:10" ht="24.75" customHeight="1" x14ac:dyDescent="0.2">
      <c r="B36" s="28"/>
      <c r="C36" s="6"/>
      <c r="J36" s="6"/>
    </row>
    <row r="37" spans="2:10" ht="24.75" customHeight="1" x14ac:dyDescent="0.2">
      <c r="C37" s="6"/>
      <c r="D37" s="6"/>
      <c r="E37" s="6"/>
      <c r="J37" s="6"/>
    </row>
    <row r="38" spans="2:10" ht="24.75" customHeight="1" thickBot="1" x14ac:dyDescent="0.35">
      <c r="B38" s="196" t="s">
        <v>35</v>
      </c>
      <c r="C38" s="132"/>
      <c r="D38" s="132"/>
      <c r="F38" s="132" t="s">
        <v>34</v>
      </c>
      <c r="J38" s="6"/>
    </row>
    <row r="39" spans="2:10" ht="24.75" customHeight="1" x14ac:dyDescent="0.25">
      <c r="B39" s="489" t="s">
        <v>51</v>
      </c>
      <c r="C39" s="2676" t="s">
        <v>622</v>
      </c>
      <c r="D39" s="2677"/>
      <c r="E39" s="487" t="s">
        <v>602</v>
      </c>
      <c r="F39" s="102" t="s">
        <v>166</v>
      </c>
      <c r="J39" s="6"/>
    </row>
    <row r="40" spans="2:10" ht="24.75" customHeight="1" thickBot="1" x14ac:dyDescent="0.3">
      <c r="B40" s="89"/>
      <c r="C40" s="57" t="s">
        <v>325</v>
      </c>
      <c r="D40" s="57" t="s">
        <v>164</v>
      </c>
      <c r="E40" s="70" t="s">
        <v>165</v>
      </c>
      <c r="F40" s="493" t="s">
        <v>167</v>
      </c>
      <c r="J40" s="6"/>
    </row>
    <row r="41" spans="2:10" ht="24.75" customHeight="1" x14ac:dyDescent="0.2">
      <c r="B41" s="426" t="s">
        <v>132</v>
      </c>
      <c r="C41" s="409"/>
      <c r="D41" s="231">
        <v>123107</v>
      </c>
      <c r="E41" s="428">
        <v>90731</v>
      </c>
      <c r="F41" s="429">
        <f>E41/D41*100</f>
        <v>73.700926836004456</v>
      </c>
      <c r="J41" s="6"/>
    </row>
    <row r="42" spans="2:10" ht="24.75" customHeight="1" x14ac:dyDescent="0.2">
      <c r="B42" s="232" t="s">
        <v>214</v>
      </c>
      <c r="C42" s="431"/>
      <c r="D42" s="427">
        <v>83420</v>
      </c>
      <c r="E42" s="427">
        <v>75308</v>
      </c>
      <c r="F42" s="430">
        <f>E42/D42*100</f>
        <v>90.275713258211468</v>
      </c>
      <c r="J42" s="6"/>
    </row>
    <row r="43" spans="2:10" ht="24.75" customHeight="1" thickBot="1" x14ac:dyDescent="0.3">
      <c r="B43" s="24" t="s">
        <v>3</v>
      </c>
      <c r="C43" s="238">
        <f>SUM(C41:C42)</f>
        <v>0</v>
      </c>
      <c r="D43" s="238">
        <f>SUM(D41:D42)</f>
        <v>206527</v>
      </c>
      <c r="E43" s="238">
        <f>SUM(E41:E42)</f>
        <v>166039</v>
      </c>
      <c r="F43" s="306">
        <f>E43/D43*100</f>
        <v>80.395783602144036</v>
      </c>
      <c r="J43" s="6"/>
    </row>
    <row r="44" spans="2:10" ht="15" customHeight="1" thickBot="1" x14ac:dyDescent="0.3">
      <c r="B44" s="197"/>
      <c r="C44" s="198"/>
      <c r="D44" s="198"/>
      <c r="E44" s="27"/>
      <c r="F44" s="307"/>
      <c r="J44" s="6"/>
    </row>
    <row r="45" spans="2:10" ht="24.75" customHeight="1" thickBot="1" x14ac:dyDescent="0.3">
      <c r="B45" s="199" t="s">
        <v>25</v>
      </c>
      <c r="C45" s="200">
        <f>+C35+C43</f>
        <v>3376488</v>
      </c>
      <c r="D45" s="200">
        <f>+D35+D43</f>
        <v>3629373</v>
      </c>
      <c r="E45" s="200">
        <f>+E43+E35</f>
        <v>3334153</v>
      </c>
      <c r="F45" s="308">
        <f>+E45/D45*100</f>
        <v>91.865812634854564</v>
      </c>
      <c r="J45" s="6"/>
    </row>
    <row r="46" spans="2:10" ht="15" customHeight="1" x14ac:dyDescent="0.2">
      <c r="J46" s="6"/>
    </row>
    <row r="47" spans="2:10" ht="15" customHeight="1" x14ac:dyDescent="0.2">
      <c r="E47" s="6"/>
      <c r="J47" s="6"/>
    </row>
    <row r="48" spans="2:10" ht="15" customHeight="1" x14ac:dyDescent="0.2">
      <c r="D48" s="23"/>
      <c r="E48" s="6"/>
      <c r="J48" s="6"/>
    </row>
    <row r="49" spans="5:5" ht="15" customHeight="1" x14ac:dyDescent="0.2">
      <c r="E49" s="6"/>
    </row>
  </sheetData>
  <mergeCells count="4">
    <mergeCell ref="B1:C1"/>
    <mergeCell ref="C5:D5"/>
    <mergeCell ref="B2:F2"/>
    <mergeCell ref="C39:D39"/>
  </mergeCells>
  <phoneticPr fontId="0" type="noConversion"/>
  <printOptions horizontalCentered="1" verticalCentered="1"/>
  <pageMargins left="0.39370078740157483" right="0.39370078740157483" top="0.59055118110236227" bottom="0.39370078740157483" header="0.31496062992125984" footer="0.31496062992125984"/>
  <pageSetup paperSize="9" scale="55" orientation="portrait" r:id="rId1"/>
  <headerFooter alignWithMargins="0">
    <oddHeader xml:space="preserve">&amp;C&amp;"Times New Roman CE,Félkövér"&amp;14
&amp;R&amp;"Arial,Félkövér"&amp;14 8. melléklet a ...../2019. (........) önkormányzati rendelethez
&amp;"Arial,Normál"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3"/>
  <dimension ref="B1:H124"/>
  <sheetViews>
    <sheetView zoomScaleNormal="100" zoomScaleSheetLayoutView="75" workbookViewId="0">
      <selection activeCell="B81" sqref="B81"/>
    </sheetView>
  </sheetViews>
  <sheetFormatPr defaultColWidth="9.33203125" defaultRowHeight="15" customHeight="1" x14ac:dyDescent="0.2"/>
  <cols>
    <col min="1" max="1" width="12.5" style="11" bestFit="1" customWidth="1"/>
    <col min="2" max="2" width="103.33203125" style="11" customWidth="1"/>
    <col min="3" max="6" width="20.6640625" style="11" customWidth="1"/>
    <col min="7" max="7" width="59" style="11" customWidth="1"/>
    <col min="8" max="8" width="18.83203125" style="11" bestFit="1" customWidth="1"/>
    <col min="9" max="16384" width="9.33203125" style="11"/>
  </cols>
  <sheetData>
    <row r="1" spans="2:7" ht="15" customHeight="1" x14ac:dyDescent="0.25">
      <c r="B1" s="22"/>
    </row>
    <row r="2" spans="2:7" ht="15" customHeight="1" x14ac:dyDescent="0.25">
      <c r="B2" s="2392"/>
    </row>
    <row r="3" spans="2:7" ht="24" customHeight="1" x14ac:dyDescent="0.35">
      <c r="B3" s="2678" t="s">
        <v>650</v>
      </c>
      <c r="C3" s="2678"/>
      <c r="D3" s="2678"/>
      <c r="E3" s="2678"/>
      <c r="F3" s="2678"/>
    </row>
    <row r="4" spans="2:7" ht="11.25" customHeight="1" x14ac:dyDescent="0.25">
      <c r="B4" s="22"/>
      <c r="C4" s="22"/>
    </row>
    <row r="5" spans="2:7" ht="24.75" customHeight="1" thickBot="1" x14ac:dyDescent="0.35">
      <c r="B5" s="624" t="s">
        <v>237</v>
      </c>
      <c r="C5" s="625"/>
      <c r="D5" s="395"/>
      <c r="E5" s="395"/>
      <c r="F5" s="625" t="s">
        <v>34</v>
      </c>
    </row>
    <row r="6" spans="2:7" ht="24.75" customHeight="1" x14ac:dyDescent="0.25">
      <c r="B6" s="949" t="s">
        <v>51</v>
      </c>
      <c r="C6" s="2679" t="s">
        <v>622</v>
      </c>
      <c r="D6" s="2679"/>
      <c r="E6" s="943" t="s">
        <v>602</v>
      </c>
      <c r="F6" s="944" t="s">
        <v>166</v>
      </c>
    </row>
    <row r="7" spans="2:7" ht="24.75" customHeight="1" thickBot="1" x14ac:dyDescent="0.3">
      <c r="B7" s="626"/>
      <c r="C7" s="945" t="s">
        <v>325</v>
      </c>
      <c r="D7" s="946" t="s">
        <v>164</v>
      </c>
      <c r="E7" s="947" t="s">
        <v>165</v>
      </c>
      <c r="F7" s="948" t="s">
        <v>167</v>
      </c>
    </row>
    <row r="8" spans="2:7" s="28" customFormat="1" ht="17.100000000000001" customHeight="1" x14ac:dyDescent="0.25">
      <c r="B8" s="143" t="s">
        <v>120</v>
      </c>
      <c r="C8" s="144"/>
      <c r="D8" s="144"/>
      <c r="E8" s="144"/>
      <c r="F8" s="144"/>
    </row>
    <row r="9" spans="2:7" ht="24.95" customHeight="1" x14ac:dyDescent="0.25">
      <c r="B9" s="145" t="s">
        <v>121</v>
      </c>
      <c r="C9" s="146"/>
      <c r="D9" s="146"/>
      <c r="E9" s="146"/>
      <c r="F9" s="160"/>
    </row>
    <row r="10" spans="2:7" ht="38.25" customHeight="1" x14ac:dyDescent="0.2">
      <c r="B10" s="483" t="s">
        <v>400</v>
      </c>
      <c r="C10" s="412">
        <v>105000</v>
      </c>
      <c r="D10" s="412">
        <v>141257</v>
      </c>
      <c r="E10" s="412">
        <f>470913-E12-E11</f>
        <v>122847</v>
      </c>
      <c r="F10" s="432">
        <f t="shared" ref="F10:F40" si="0">+E10/D10*100</f>
        <v>86.967017563731346</v>
      </c>
      <c r="G10" s="6"/>
    </row>
    <row r="11" spans="2:7" ht="24.95" customHeight="1" x14ac:dyDescent="0.2">
      <c r="B11" s="433" t="s">
        <v>401</v>
      </c>
      <c r="C11" s="201">
        <v>267832</v>
      </c>
      <c r="D11" s="201">
        <v>322623</v>
      </c>
      <c r="E11" s="201">
        <v>322623</v>
      </c>
      <c r="F11" s="432">
        <f t="shared" si="0"/>
        <v>100</v>
      </c>
      <c r="G11" s="6"/>
    </row>
    <row r="12" spans="2:7" ht="40.5" customHeight="1" thickBot="1" x14ac:dyDescent="0.25">
      <c r="B12" s="484" t="s">
        <v>623</v>
      </c>
      <c r="C12" s="201"/>
      <c r="D12" s="201">
        <v>25443</v>
      </c>
      <c r="E12" s="201">
        <v>25443</v>
      </c>
      <c r="F12" s="432">
        <f t="shared" si="0"/>
        <v>100</v>
      </c>
      <c r="G12" s="6"/>
    </row>
    <row r="13" spans="2:7" ht="24.95" customHeight="1" thickBot="1" x14ac:dyDescent="0.3">
      <c r="B13" s="148" t="s">
        <v>521</v>
      </c>
      <c r="C13" s="149">
        <f>SUM(C10:C12)</f>
        <v>372832</v>
      </c>
      <c r="D13" s="149">
        <f>SUM(D10:D12)</f>
        <v>489323</v>
      </c>
      <c r="E13" s="149">
        <f>SUM(E10:E12)</f>
        <v>470913</v>
      </c>
      <c r="F13" s="161">
        <f t="shared" si="0"/>
        <v>96.237658969637636</v>
      </c>
      <c r="G13" s="6"/>
    </row>
    <row r="14" spans="2:7" ht="24.95" customHeight="1" x14ac:dyDescent="0.2">
      <c r="B14" s="434" t="s">
        <v>402</v>
      </c>
      <c r="C14" s="124">
        <v>18000</v>
      </c>
      <c r="D14" s="124">
        <v>22807</v>
      </c>
      <c r="E14" s="124">
        <f>137195-E15-E16-E18-E17</f>
        <v>2073</v>
      </c>
      <c r="F14" s="162">
        <f t="shared" si="0"/>
        <v>9.0893146840882189</v>
      </c>
      <c r="G14" s="6"/>
    </row>
    <row r="15" spans="2:7" ht="24.95" customHeight="1" x14ac:dyDescent="0.2">
      <c r="B15" s="434" t="s">
        <v>404</v>
      </c>
      <c r="C15" s="124">
        <v>40600</v>
      </c>
      <c r="D15" s="124">
        <v>40600</v>
      </c>
      <c r="E15" s="124">
        <v>40600</v>
      </c>
      <c r="F15" s="162">
        <f t="shared" si="0"/>
        <v>100</v>
      </c>
      <c r="G15" s="6"/>
    </row>
    <row r="16" spans="2:7" ht="24.95" customHeight="1" x14ac:dyDescent="0.2">
      <c r="B16" s="434" t="s">
        <v>405</v>
      </c>
      <c r="C16" s="124">
        <v>27000</v>
      </c>
      <c r="D16" s="124">
        <v>27000</v>
      </c>
      <c r="E16" s="124">
        <v>27000</v>
      </c>
      <c r="F16" s="162">
        <f t="shared" si="0"/>
        <v>100</v>
      </c>
      <c r="G16" s="6"/>
    </row>
    <row r="17" spans="2:7" ht="24.95" customHeight="1" x14ac:dyDescent="0.2">
      <c r="B17" s="434" t="s">
        <v>449</v>
      </c>
      <c r="C17" s="124">
        <v>33830</v>
      </c>
      <c r="D17" s="124">
        <v>50033</v>
      </c>
      <c r="E17" s="124">
        <v>50033</v>
      </c>
      <c r="F17" s="162">
        <f t="shared" si="0"/>
        <v>100</v>
      </c>
      <c r="G17" s="6"/>
    </row>
    <row r="18" spans="2:7" ht="24.95" customHeight="1" thickBot="1" x14ac:dyDescent="0.25">
      <c r="B18" s="435" t="s">
        <v>627</v>
      </c>
      <c r="C18" s="131"/>
      <c r="D18" s="131">
        <v>17489</v>
      </c>
      <c r="E18" s="131">
        <v>17489</v>
      </c>
      <c r="F18" s="162">
        <f t="shared" si="0"/>
        <v>100</v>
      </c>
      <c r="G18" s="6"/>
    </row>
    <row r="19" spans="2:7" ht="24.95" customHeight="1" thickBot="1" x14ac:dyDescent="0.3">
      <c r="B19" s="150" t="s">
        <v>380</v>
      </c>
      <c r="C19" s="149">
        <f>SUM(C14:C17)</f>
        <v>119430</v>
      </c>
      <c r="D19" s="149">
        <f>SUM(D14:D18)</f>
        <v>157929</v>
      </c>
      <c r="E19" s="149">
        <f>SUM(E14:E18)</f>
        <v>137195</v>
      </c>
      <c r="F19" s="161">
        <f t="shared" si="0"/>
        <v>86.871315591183389</v>
      </c>
      <c r="G19" s="6"/>
    </row>
    <row r="20" spans="2:7" ht="36" customHeight="1" x14ac:dyDescent="0.2">
      <c r="B20" s="436" t="s">
        <v>406</v>
      </c>
      <c r="C20" s="344">
        <v>107753</v>
      </c>
      <c r="D20" s="344">
        <v>146536</v>
      </c>
      <c r="E20" s="344">
        <f>521423-E21-E22-E23</f>
        <v>57871</v>
      </c>
      <c r="F20" s="345">
        <f t="shared" si="0"/>
        <v>39.492684391548835</v>
      </c>
      <c r="G20" s="6"/>
    </row>
    <row r="21" spans="2:7" ht="24.95" customHeight="1" x14ac:dyDescent="0.2">
      <c r="B21" s="437" t="s">
        <v>407</v>
      </c>
      <c r="C21" s="104">
        <v>254400</v>
      </c>
      <c r="D21" s="104">
        <v>254400</v>
      </c>
      <c r="E21" s="104">
        <v>254400</v>
      </c>
      <c r="F21" s="390">
        <f t="shared" si="0"/>
        <v>100</v>
      </c>
      <c r="G21" s="6"/>
    </row>
    <row r="22" spans="2:7" ht="24.95" customHeight="1" x14ac:dyDescent="0.2">
      <c r="B22" s="437" t="s">
        <v>408</v>
      </c>
      <c r="C22" s="104">
        <v>111000</v>
      </c>
      <c r="D22" s="104">
        <v>123493</v>
      </c>
      <c r="E22" s="104">
        <v>123493</v>
      </c>
      <c r="F22" s="390">
        <f t="shared" si="0"/>
        <v>100</v>
      </c>
      <c r="G22" s="6"/>
    </row>
    <row r="23" spans="2:7" ht="24.95" customHeight="1" thickBot="1" x14ac:dyDescent="0.25">
      <c r="B23" s="435" t="s">
        <v>626</v>
      </c>
      <c r="C23" s="131"/>
      <c r="D23" s="131">
        <v>85659</v>
      </c>
      <c r="E23" s="131">
        <v>85659</v>
      </c>
      <c r="F23" s="471">
        <f t="shared" si="0"/>
        <v>100</v>
      </c>
      <c r="G23" s="6"/>
    </row>
    <row r="24" spans="2:7" ht="24.95" customHeight="1" thickBot="1" x14ac:dyDescent="0.3">
      <c r="B24" s="202" t="s">
        <v>381</v>
      </c>
      <c r="C24" s="203">
        <f>SUM(C20:C22)</f>
        <v>473153</v>
      </c>
      <c r="D24" s="203">
        <f>SUM(D20:D23)</f>
        <v>610088</v>
      </c>
      <c r="E24" s="203">
        <f>SUM(E20:E23)</f>
        <v>521423</v>
      </c>
      <c r="F24" s="161">
        <f t="shared" si="0"/>
        <v>85.466850683835773</v>
      </c>
      <c r="G24" s="6"/>
    </row>
    <row r="25" spans="2:7" ht="24.95" customHeight="1" x14ac:dyDescent="0.25">
      <c r="B25" s="438" t="s">
        <v>412</v>
      </c>
      <c r="C25" s="410">
        <v>59334</v>
      </c>
      <c r="D25" s="410">
        <v>197284</v>
      </c>
      <c r="E25" s="410">
        <f>374386-E26-E28-E27</f>
        <v>154483</v>
      </c>
      <c r="F25" s="439">
        <f>+E25/D25*100</f>
        <v>78.304880274122596</v>
      </c>
      <c r="G25" s="6"/>
    </row>
    <row r="26" spans="2:7" ht="24.95" customHeight="1" x14ac:dyDescent="0.2">
      <c r="B26" s="440" t="s">
        <v>5</v>
      </c>
      <c r="C26" s="204">
        <v>150000</v>
      </c>
      <c r="D26" s="204">
        <v>150000</v>
      </c>
      <c r="E26" s="204">
        <v>150000</v>
      </c>
      <c r="F26" s="441">
        <f>+E26/D26*100</f>
        <v>100</v>
      </c>
      <c r="G26" s="6"/>
    </row>
    <row r="27" spans="2:7" ht="24.95" customHeight="1" x14ac:dyDescent="0.2">
      <c r="B27" s="433" t="s">
        <v>413</v>
      </c>
      <c r="C27" s="201">
        <v>24000</v>
      </c>
      <c r="D27" s="201">
        <v>37652</v>
      </c>
      <c r="E27" s="201">
        <v>37652</v>
      </c>
      <c r="F27" s="442">
        <f>+E27/D27*100</f>
        <v>100</v>
      </c>
      <c r="G27" s="6"/>
    </row>
    <row r="28" spans="2:7" ht="24.95" customHeight="1" thickBot="1" x14ac:dyDescent="0.25">
      <c r="B28" s="433" t="s">
        <v>624</v>
      </c>
      <c r="C28" s="204"/>
      <c r="D28" s="204">
        <v>32251</v>
      </c>
      <c r="E28" s="204">
        <v>32251</v>
      </c>
      <c r="F28" s="441">
        <f>+E28/D28*100</f>
        <v>100</v>
      </c>
      <c r="G28" s="6"/>
    </row>
    <row r="29" spans="2:7" ht="24.95" customHeight="1" thickBot="1" x14ac:dyDescent="0.3">
      <c r="B29" s="148" t="s">
        <v>250</v>
      </c>
      <c r="C29" s="149">
        <f>+C27+C25+C26+C28</f>
        <v>233334</v>
      </c>
      <c r="D29" s="149">
        <f>+D27+D25+D26+D28</f>
        <v>417187</v>
      </c>
      <c r="E29" s="149">
        <f>+E27+E25+E26+E28</f>
        <v>374386</v>
      </c>
      <c r="F29" s="161">
        <f>+E29/D29*100</f>
        <v>89.740571973719213</v>
      </c>
      <c r="G29" s="6"/>
    </row>
    <row r="30" spans="2:7" ht="24.95" customHeight="1" x14ac:dyDescent="0.2">
      <c r="B30" s="343" t="s">
        <v>409</v>
      </c>
      <c r="C30" s="344">
        <v>205000</v>
      </c>
      <c r="D30" s="344">
        <v>228614</v>
      </c>
      <c r="E30" s="344">
        <f>720269-E31-E33-E32</f>
        <v>175043</v>
      </c>
      <c r="F30" s="344">
        <f>SUM(F17:F24)</f>
        <v>711.83085066656793</v>
      </c>
      <c r="G30" s="6"/>
    </row>
    <row r="31" spans="2:7" ht="24.95" customHeight="1" x14ac:dyDescent="0.2">
      <c r="B31" s="377" t="s">
        <v>410</v>
      </c>
      <c r="C31" s="104">
        <v>148000</v>
      </c>
      <c r="D31" s="104">
        <v>149350</v>
      </c>
      <c r="E31" s="104">
        <v>148000</v>
      </c>
      <c r="F31" s="390">
        <f t="shared" si="0"/>
        <v>99.096083026447943</v>
      </c>
      <c r="G31" s="6"/>
    </row>
    <row r="32" spans="2:7" ht="24.95" customHeight="1" x14ac:dyDescent="0.2">
      <c r="B32" s="377" t="s">
        <v>411</v>
      </c>
      <c r="C32" s="104">
        <v>148850</v>
      </c>
      <c r="D32" s="104">
        <v>344441</v>
      </c>
      <c r="E32" s="104">
        <v>344441</v>
      </c>
      <c r="F32" s="162">
        <f>+E32/D32*100</f>
        <v>100</v>
      </c>
      <c r="G32" s="6"/>
    </row>
    <row r="33" spans="2:8" ht="24.95" customHeight="1" thickBot="1" x14ac:dyDescent="0.25">
      <c r="B33" s="147" t="s">
        <v>625</v>
      </c>
      <c r="C33" s="131"/>
      <c r="D33" s="131">
        <v>52785</v>
      </c>
      <c r="E33" s="131">
        <v>52785</v>
      </c>
      <c r="F33" s="162">
        <f t="shared" si="0"/>
        <v>100</v>
      </c>
      <c r="G33" s="6"/>
    </row>
    <row r="34" spans="2:8" ht="24.95" customHeight="1" thickBot="1" x14ac:dyDescent="0.3">
      <c r="B34" s="148" t="s">
        <v>4</v>
      </c>
      <c r="C34" s="149">
        <f>SUM(C30:C33)</f>
        <v>501850</v>
      </c>
      <c r="D34" s="149">
        <f>+D32+D30+D31+D33</f>
        <v>775190</v>
      </c>
      <c r="E34" s="149">
        <f>+E32+E30+E31+E33</f>
        <v>720269</v>
      </c>
      <c r="F34" s="161">
        <f t="shared" si="0"/>
        <v>92.915156284265791</v>
      </c>
      <c r="G34" s="6"/>
    </row>
    <row r="35" spans="2:8" ht="24.95" customHeight="1" thickBot="1" x14ac:dyDescent="0.3">
      <c r="B35" s="148" t="s">
        <v>651</v>
      </c>
      <c r="C35" s="149">
        <f>+C13+C19+C24+C29+C34</f>
        <v>1700599</v>
      </c>
      <c r="D35" s="149">
        <f t="shared" ref="D35:E35" si="1">+D13+D19+D24+D29+D34</f>
        <v>2449717</v>
      </c>
      <c r="E35" s="149">
        <f t="shared" si="1"/>
        <v>2224186</v>
      </c>
      <c r="F35" s="161"/>
      <c r="G35" s="6"/>
    </row>
    <row r="36" spans="2:8" ht="27" customHeight="1" x14ac:dyDescent="0.3">
      <c r="B36" s="961" t="s">
        <v>384</v>
      </c>
      <c r="C36" s="124">
        <v>178800</v>
      </c>
      <c r="D36" s="124">
        <v>178800</v>
      </c>
      <c r="E36" s="124">
        <f>387200-E37-E38</f>
        <v>178800</v>
      </c>
      <c r="F36" s="162">
        <f t="shared" si="0"/>
        <v>100</v>
      </c>
      <c r="G36" s="6"/>
      <c r="H36" s="469"/>
    </row>
    <row r="37" spans="2:8" ht="39" customHeight="1" x14ac:dyDescent="0.3">
      <c r="B37" s="151" t="s">
        <v>450</v>
      </c>
      <c r="C37" s="131">
        <v>125000</v>
      </c>
      <c r="D37" s="131">
        <v>125000</v>
      </c>
      <c r="E37" s="131">
        <f>+'3 bev.részl'!I18</f>
        <v>125000</v>
      </c>
      <c r="F37" s="162">
        <f t="shared" si="0"/>
        <v>100</v>
      </c>
      <c r="G37" s="6"/>
      <c r="H37" s="469"/>
    </row>
    <row r="38" spans="2:8" ht="46.5" customHeight="1" thickBot="1" x14ac:dyDescent="0.35">
      <c r="B38" s="335" t="s">
        <v>451</v>
      </c>
      <c r="C38" s="142">
        <v>83400</v>
      </c>
      <c r="D38" s="142">
        <v>83400</v>
      </c>
      <c r="E38" s="142">
        <f>+'3 bev.részl'!I19</f>
        <v>83400</v>
      </c>
      <c r="F38" s="162">
        <f t="shared" si="0"/>
        <v>100</v>
      </c>
      <c r="G38" s="6"/>
      <c r="H38" s="469"/>
    </row>
    <row r="39" spans="2:8" s="99" customFormat="1" ht="24.95" customHeight="1" thickBot="1" x14ac:dyDescent="0.35">
      <c r="B39" s="148" t="s">
        <v>122</v>
      </c>
      <c r="C39" s="152">
        <f>SUM(C36:C38)</f>
        <v>387200</v>
      </c>
      <c r="D39" s="152">
        <f>SUM(D36:D38)</f>
        <v>387200</v>
      </c>
      <c r="E39" s="152">
        <f>SUM(E36:E38)</f>
        <v>387200</v>
      </c>
      <c r="F39" s="161">
        <f t="shared" si="0"/>
        <v>100</v>
      </c>
      <c r="G39" s="6"/>
      <c r="H39" s="469"/>
    </row>
    <row r="40" spans="2:8" ht="24.95" customHeight="1" thickBot="1" x14ac:dyDescent="0.35">
      <c r="B40" s="205" t="s">
        <v>123</v>
      </c>
      <c r="C40" s="140">
        <f>+C35+C39</f>
        <v>2087799</v>
      </c>
      <c r="D40" s="140">
        <f t="shared" ref="D40:E40" si="2">+D35+D39</f>
        <v>2836917</v>
      </c>
      <c r="E40" s="140">
        <f t="shared" si="2"/>
        <v>2611386</v>
      </c>
      <c r="F40" s="161">
        <f t="shared" si="0"/>
        <v>92.050137526053817</v>
      </c>
      <c r="G40" s="6"/>
      <c r="H40" s="469"/>
    </row>
    <row r="41" spans="2:8" ht="24.95" customHeight="1" x14ac:dyDescent="0.3">
      <c r="B41" s="153" t="s">
        <v>522</v>
      </c>
      <c r="C41" s="344"/>
      <c r="D41" s="344"/>
      <c r="E41" s="344"/>
      <c r="F41" s="345"/>
      <c r="G41" s="6"/>
      <c r="H41" s="469"/>
    </row>
    <row r="42" spans="2:8" ht="24.95" customHeight="1" x14ac:dyDescent="0.3">
      <c r="B42" s="356" t="s">
        <v>388</v>
      </c>
      <c r="C42" s="347">
        <v>2000</v>
      </c>
      <c r="D42" s="347">
        <v>2000</v>
      </c>
      <c r="E42" s="347">
        <v>2000</v>
      </c>
      <c r="F42" s="348">
        <f t="shared" ref="F42:F56" si="3">+E42/D42*100</f>
        <v>100</v>
      </c>
      <c r="G42" s="6"/>
      <c r="H42" s="469"/>
    </row>
    <row r="43" spans="2:8" s="28" customFormat="1" ht="24.95" customHeight="1" x14ac:dyDescent="0.3">
      <c r="B43" s="158" t="s">
        <v>6</v>
      </c>
      <c r="C43" s="349">
        <v>1200</v>
      </c>
      <c r="D43" s="349">
        <v>1200</v>
      </c>
      <c r="E43" s="349">
        <v>1200</v>
      </c>
      <c r="F43" s="348">
        <f t="shared" si="3"/>
        <v>100</v>
      </c>
      <c r="G43" s="6"/>
      <c r="H43" s="469"/>
    </row>
    <row r="44" spans="2:8" ht="24.95" customHeight="1" x14ac:dyDescent="0.3">
      <c r="B44" s="357" t="s">
        <v>198</v>
      </c>
      <c r="C44" s="212">
        <v>2000</v>
      </c>
      <c r="D44" s="212">
        <v>2000</v>
      </c>
      <c r="E44" s="212">
        <v>2000</v>
      </c>
      <c r="F44" s="348">
        <f t="shared" si="3"/>
        <v>100</v>
      </c>
      <c r="G44" s="6"/>
      <c r="H44" s="469"/>
    </row>
    <row r="45" spans="2:8" s="28" customFormat="1" ht="24.95" customHeight="1" x14ac:dyDescent="0.3">
      <c r="B45" s="158" t="s">
        <v>199</v>
      </c>
      <c r="C45" s="349">
        <v>3000</v>
      </c>
      <c r="D45" s="349">
        <v>3000</v>
      </c>
      <c r="E45" s="349">
        <v>3000</v>
      </c>
      <c r="F45" s="348">
        <f t="shared" si="3"/>
        <v>100</v>
      </c>
      <c r="G45" s="6"/>
      <c r="H45" s="469"/>
    </row>
    <row r="46" spans="2:8" ht="24.95" customHeight="1" x14ac:dyDescent="0.3">
      <c r="B46" s="356" t="s">
        <v>200</v>
      </c>
      <c r="C46" s="212">
        <v>17000</v>
      </c>
      <c r="D46" s="212">
        <v>17000</v>
      </c>
      <c r="E46" s="212">
        <v>17000</v>
      </c>
      <c r="F46" s="348">
        <f t="shared" si="3"/>
        <v>100</v>
      </c>
      <c r="G46" s="6"/>
      <c r="H46" s="469"/>
    </row>
    <row r="47" spans="2:8" s="28" customFormat="1" ht="24.95" customHeight="1" x14ac:dyDescent="0.3">
      <c r="B47" s="158" t="s">
        <v>201</v>
      </c>
      <c r="C47" s="349">
        <v>1000</v>
      </c>
      <c r="D47" s="349">
        <v>1000</v>
      </c>
      <c r="E47" s="349">
        <v>1000</v>
      </c>
      <c r="F47" s="348">
        <f t="shared" si="3"/>
        <v>100</v>
      </c>
      <c r="G47" s="6"/>
      <c r="H47" s="469"/>
    </row>
    <row r="48" spans="2:8" ht="24.95" customHeight="1" x14ac:dyDescent="0.3">
      <c r="B48" s="357" t="s">
        <v>202</v>
      </c>
      <c r="C48" s="212">
        <v>1000</v>
      </c>
      <c r="D48" s="212">
        <v>1000</v>
      </c>
      <c r="E48" s="212">
        <v>1000</v>
      </c>
      <c r="F48" s="348">
        <f t="shared" si="3"/>
        <v>100</v>
      </c>
      <c r="G48" s="6"/>
      <c r="H48" s="469"/>
    </row>
    <row r="49" spans="2:8" ht="24.95" customHeight="1" x14ac:dyDescent="0.3">
      <c r="B49" s="356" t="s">
        <v>7</v>
      </c>
      <c r="C49" s="350">
        <v>650</v>
      </c>
      <c r="D49" s="350">
        <v>650</v>
      </c>
      <c r="E49" s="350">
        <v>650</v>
      </c>
      <c r="F49" s="351">
        <f t="shared" si="3"/>
        <v>100</v>
      </c>
      <c r="G49" s="6"/>
      <c r="H49" s="469"/>
    </row>
    <row r="50" spans="2:8" ht="24.95" customHeight="1" x14ac:dyDescent="0.3">
      <c r="B50" s="356" t="s">
        <v>33</v>
      </c>
      <c r="C50" s="352">
        <v>1000</v>
      </c>
      <c r="D50" s="352">
        <v>1000</v>
      </c>
      <c r="E50" s="352">
        <v>1000</v>
      </c>
      <c r="F50" s="351">
        <f t="shared" si="3"/>
        <v>100</v>
      </c>
      <c r="G50" s="6"/>
      <c r="H50" s="469"/>
    </row>
    <row r="51" spans="2:8" ht="24.95" customHeight="1" x14ac:dyDescent="0.3">
      <c r="B51" s="356" t="s">
        <v>12</v>
      </c>
      <c r="C51" s="350">
        <v>1000</v>
      </c>
      <c r="D51" s="350">
        <v>1000</v>
      </c>
      <c r="E51" s="350">
        <v>1000</v>
      </c>
      <c r="F51" s="351">
        <f t="shared" si="3"/>
        <v>100</v>
      </c>
      <c r="G51" s="6"/>
      <c r="H51" s="469"/>
    </row>
    <row r="52" spans="2:8" ht="24.95" customHeight="1" x14ac:dyDescent="0.3">
      <c r="B52" s="380" t="s">
        <v>221</v>
      </c>
      <c r="C52" s="350">
        <v>400</v>
      </c>
      <c r="D52" s="350">
        <v>400</v>
      </c>
      <c r="E52" s="350">
        <v>400</v>
      </c>
      <c r="F52" s="351">
        <f t="shared" si="3"/>
        <v>100</v>
      </c>
      <c r="G52" s="6"/>
      <c r="H52" s="469"/>
    </row>
    <row r="53" spans="2:8" ht="24.95" customHeight="1" x14ac:dyDescent="0.3">
      <c r="B53" s="357" t="s">
        <v>222</v>
      </c>
      <c r="C53" s="212">
        <v>1500</v>
      </c>
      <c r="D53" s="212">
        <v>1500</v>
      </c>
      <c r="E53" s="212">
        <v>1500</v>
      </c>
      <c r="F53" s="348">
        <f t="shared" si="3"/>
        <v>100</v>
      </c>
      <c r="G53" s="6"/>
      <c r="H53" s="469"/>
    </row>
    <row r="54" spans="2:8" ht="24.95" customHeight="1" x14ac:dyDescent="0.3">
      <c r="B54" s="380" t="s">
        <v>348</v>
      </c>
      <c r="C54" s="350">
        <v>1600</v>
      </c>
      <c r="D54" s="350">
        <v>1600</v>
      </c>
      <c r="E54" s="350">
        <v>1600</v>
      </c>
      <c r="F54" s="348">
        <f t="shared" si="3"/>
        <v>100</v>
      </c>
      <c r="G54" s="6"/>
      <c r="H54" s="469"/>
    </row>
    <row r="55" spans="2:8" ht="36" customHeight="1" x14ac:dyDescent="0.3">
      <c r="B55" s="762" t="s">
        <v>44</v>
      </c>
      <c r="C55" s="352">
        <v>1000</v>
      </c>
      <c r="D55" s="352">
        <v>1600</v>
      </c>
      <c r="E55" s="352">
        <v>1600</v>
      </c>
      <c r="F55" s="763">
        <f t="shared" si="3"/>
        <v>100</v>
      </c>
      <c r="G55" s="6"/>
      <c r="H55" s="469"/>
    </row>
    <row r="56" spans="2:8" ht="36" customHeight="1" x14ac:dyDescent="0.3">
      <c r="B56" s="393" t="s">
        <v>664</v>
      </c>
      <c r="C56" s="764">
        <v>4000</v>
      </c>
      <c r="D56" s="764">
        <v>4000</v>
      </c>
      <c r="E56" s="764">
        <v>4000</v>
      </c>
      <c r="F56" s="392">
        <f t="shared" si="3"/>
        <v>100</v>
      </c>
      <c r="G56" s="6"/>
      <c r="H56" s="469"/>
    </row>
    <row r="57" spans="2:8" ht="24.95" customHeight="1" thickBot="1" x14ac:dyDescent="0.35">
      <c r="B57" s="325" t="s">
        <v>523</v>
      </c>
      <c r="C57" s="353">
        <f>SUM(C42:C56)</f>
        <v>38350</v>
      </c>
      <c r="D57" s="353">
        <f>SUM(D42:D56)</f>
        <v>38950</v>
      </c>
      <c r="E57" s="353">
        <f t="shared" ref="E57" si="4">SUM(E42:E56)</f>
        <v>38950</v>
      </c>
      <c r="F57" s="354">
        <f t="shared" ref="F57:F58" si="5">+E57/D57*100</f>
        <v>100</v>
      </c>
      <c r="G57" s="6"/>
      <c r="H57" s="469"/>
    </row>
    <row r="58" spans="2:8" ht="33" customHeight="1" thickBot="1" x14ac:dyDescent="0.35">
      <c r="B58" s="206" t="s">
        <v>124</v>
      </c>
      <c r="C58" s="105">
        <f>C40+C57</f>
        <v>2126149</v>
      </c>
      <c r="D58" s="105">
        <f>D40+D57</f>
        <v>2875867</v>
      </c>
      <c r="E58" s="105">
        <f>E40+E57</f>
        <v>2650336</v>
      </c>
      <c r="F58" s="161">
        <f t="shared" si="5"/>
        <v>92.157808410472384</v>
      </c>
      <c r="G58" s="6"/>
      <c r="H58" s="470"/>
    </row>
    <row r="59" spans="2:8" s="28" customFormat="1" ht="18.75" customHeight="1" x14ac:dyDescent="0.3">
      <c r="B59" s="154" t="s">
        <v>382</v>
      </c>
      <c r="C59" s="155"/>
      <c r="D59" s="155"/>
      <c r="E59" s="155"/>
      <c r="F59" s="163"/>
      <c r="G59" s="6"/>
      <c r="H59" s="470"/>
    </row>
    <row r="60" spans="2:8" s="28" customFormat="1" ht="9.75" customHeight="1" x14ac:dyDescent="0.3">
      <c r="B60" s="169"/>
      <c r="C60" s="156"/>
      <c r="D60" s="156"/>
      <c r="E60" s="156"/>
      <c r="F60" s="164"/>
      <c r="G60" s="6"/>
      <c r="H60" s="470"/>
    </row>
    <row r="61" spans="2:8" ht="24.75" customHeight="1" thickBot="1" x14ac:dyDescent="0.35">
      <c r="B61" s="206" t="s">
        <v>148</v>
      </c>
      <c r="C61" s="105">
        <v>15000</v>
      </c>
      <c r="D61" s="105">
        <v>15526</v>
      </c>
      <c r="E61" s="105">
        <v>15247</v>
      </c>
      <c r="F61" s="214">
        <f>+E61/D61*100</f>
        <v>98.203014298595903</v>
      </c>
      <c r="G61" s="6"/>
      <c r="H61" s="470"/>
    </row>
    <row r="62" spans="2:8" s="28" customFormat="1" ht="24.75" customHeight="1" x14ac:dyDescent="0.3">
      <c r="B62" s="154" t="s">
        <v>125</v>
      </c>
      <c r="C62" s="155"/>
      <c r="D62" s="155"/>
      <c r="E62" s="155"/>
      <c r="F62" s="163"/>
      <c r="G62" s="6"/>
      <c r="H62" s="470"/>
    </row>
    <row r="63" spans="2:8" ht="8.25" customHeight="1" thickBot="1" x14ac:dyDescent="0.35">
      <c r="B63" s="209"/>
      <c r="C63" s="207"/>
      <c r="D63" s="207"/>
      <c r="E63" s="207"/>
      <c r="F63" s="208"/>
      <c r="G63" s="6"/>
      <c r="H63" s="470"/>
    </row>
    <row r="64" spans="2:8" ht="24.75" customHeight="1" thickBot="1" x14ac:dyDescent="0.35">
      <c r="B64" s="210" t="s">
        <v>497</v>
      </c>
      <c r="C64" s="140">
        <v>7500</v>
      </c>
      <c r="D64" s="140">
        <v>0</v>
      </c>
      <c r="E64" s="140">
        <v>0</v>
      </c>
      <c r="F64" s="161">
        <v>0</v>
      </c>
      <c r="G64" s="6"/>
      <c r="H64" s="469"/>
    </row>
    <row r="65" spans="2:8" s="28" customFormat="1" ht="24.75" customHeight="1" x14ac:dyDescent="0.3">
      <c r="B65" s="157" t="s">
        <v>126</v>
      </c>
      <c r="C65" s="155"/>
      <c r="D65" s="155"/>
      <c r="E65" s="155"/>
      <c r="F65" s="163"/>
      <c r="G65" s="6"/>
      <c r="H65" s="469"/>
    </row>
    <row r="66" spans="2:8" ht="24.95" customHeight="1" x14ac:dyDescent="0.3">
      <c r="B66" s="211" t="s">
        <v>261</v>
      </c>
      <c r="C66" s="212">
        <v>2000</v>
      </c>
      <c r="D66" s="212">
        <v>2000</v>
      </c>
      <c r="E66" s="212">
        <v>2000</v>
      </c>
      <c r="F66" s="162">
        <f>+E66/D66*100</f>
        <v>100</v>
      </c>
      <c r="G66" s="6"/>
      <c r="H66" s="469"/>
    </row>
    <row r="67" spans="2:8" ht="24.95" customHeight="1" x14ac:dyDescent="0.3">
      <c r="B67" s="211" t="s">
        <v>498</v>
      </c>
      <c r="C67" s="212">
        <v>30000</v>
      </c>
      <c r="D67" s="212"/>
      <c r="E67" s="212"/>
      <c r="F67" s="162"/>
      <c r="G67" s="6"/>
      <c r="H67" s="469"/>
    </row>
    <row r="68" spans="2:8" ht="24.95" customHeight="1" x14ac:dyDescent="0.3">
      <c r="B68" s="211" t="s">
        <v>560</v>
      </c>
      <c r="C68" s="212">
        <v>10000</v>
      </c>
      <c r="D68" s="212">
        <v>10000</v>
      </c>
      <c r="E68" s="212">
        <v>10000</v>
      </c>
      <c r="F68" s="162">
        <f t="shared" ref="F68" si="6">+E68/D68*100</f>
        <v>100</v>
      </c>
      <c r="G68" s="6"/>
      <c r="H68" s="469"/>
    </row>
    <row r="69" spans="2:8" ht="24.95" customHeight="1" thickBot="1" x14ac:dyDescent="0.35">
      <c r="B69" s="206" t="s">
        <v>127</v>
      </c>
      <c r="C69" s="105">
        <f>SUM(C66:C68)</f>
        <v>42000</v>
      </c>
      <c r="D69" s="105">
        <f>SUM(D66:D68)</f>
        <v>12000</v>
      </c>
      <c r="E69" s="105">
        <f>SUM(E66:E68)</f>
        <v>12000</v>
      </c>
      <c r="F69" s="214">
        <f>+E69/D69*100</f>
        <v>100</v>
      </c>
      <c r="G69" s="6"/>
      <c r="H69" s="470"/>
    </row>
    <row r="70" spans="2:8" ht="24.95" customHeight="1" thickBot="1" x14ac:dyDescent="0.35">
      <c r="B70" s="206" t="s">
        <v>128</v>
      </c>
      <c r="C70" s="105">
        <f>C64+C69</f>
        <v>49500</v>
      </c>
      <c r="D70" s="105">
        <f>D64+D69</f>
        <v>12000</v>
      </c>
      <c r="E70" s="105">
        <f>E64+E69</f>
        <v>12000</v>
      </c>
      <c r="F70" s="161">
        <f>+E70/D70*100</f>
        <v>100</v>
      </c>
      <c r="G70" s="6"/>
      <c r="H70" s="470"/>
    </row>
    <row r="71" spans="2:8" s="28" customFormat="1" ht="24.95" customHeight="1" x14ac:dyDescent="0.3">
      <c r="B71" s="154" t="s">
        <v>129</v>
      </c>
      <c r="C71" s="155"/>
      <c r="D71" s="155"/>
      <c r="E71" s="155"/>
      <c r="F71" s="163"/>
      <c r="G71" s="6"/>
      <c r="H71" s="470"/>
    </row>
    <row r="72" spans="2:8" s="28" customFormat="1" ht="40.5" customHeight="1" x14ac:dyDescent="0.3">
      <c r="B72" s="482" t="s">
        <v>383</v>
      </c>
      <c r="C72" s="156"/>
      <c r="D72" s="156"/>
      <c r="E72" s="156"/>
      <c r="F72" s="164"/>
      <c r="G72" s="6"/>
      <c r="H72" s="470"/>
    </row>
    <row r="73" spans="2:8" ht="24.95" customHeight="1" x14ac:dyDescent="0.3">
      <c r="B73" s="158" t="s">
        <v>524</v>
      </c>
      <c r="C73" s="212">
        <v>2400</v>
      </c>
      <c r="D73" s="212">
        <v>2887</v>
      </c>
      <c r="E73" s="212">
        <f>1726-1</f>
        <v>1725</v>
      </c>
      <c r="F73" s="348">
        <f t="shared" ref="F73:F82" si="7">+E73/D73*100</f>
        <v>59.750606165569799</v>
      </c>
      <c r="G73" s="6"/>
      <c r="H73" s="470"/>
    </row>
    <row r="74" spans="2:8" s="28" customFormat="1" ht="24.95" customHeight="1" x14ac:dyDescent="0.3">
      <c r="B74" s="158" t="s">
        <v>10</v>
      </c>
      <c r="C74" s="349">
        <v>25218</v>
      </c>
      <c r="D74" s="349">
        <v>25218</v>
      </c>
      <c r="E74" s="349">
        <v>25218</v>
      </c>
      <c r="F74" s="348">
        <f t="shared" si="7"/>
        <v>100</v>
      </c>
      <c r="G74" s="6"/>
      <c r="H74" s="470"/>
    </row>
    <row r="75" spans="2:8" s="28" customFormat="1" ht="24.95" customHeight="1" x14ac:dyDescent="0.3">
      <c r="B75" s="158" t="s">
        <v>499</v>
      </c>
      <c r="C75" s="349">
        <v>35000</v>
      </c>
      <c r="D75" s="349">
        <v>37500</v>
      </c>
      <c r="E75" s="349">
        <v>37500</v>
      </c>
      <c r="F75" s="348">
        <f t="shared" si="7"/>
        <v>100</v>
      </c>
      <c r="G75" s="6"/>
      <c r="H75" s="470"/>
    </row>
    <row r="76" spans="2:8" s="28" customFormat="1" ht="36.75" customHeight="1" x14ac:dyDescent="0.3">
      <c r="B76" s="2584" t="s">
        <v>603</v>
      </c>
      <c r="C76" s="349"/>
      <c r="D76" s="349">
        <v>3565</v>
      </c>
      <c r="E76" s="349">
        <v>2798</v>
      </c>
      <c r="F76" s="348">
        <f t="shared" si="7"/>
        <v>78.485273492286112</v>
      </c>
      <c r="G76" s="6"/>
      <c r="H76" s="470"/>
    </row>
    <row r="77" spans="2:8" s="28" customFormat="1" ht="24.95" customHeight="1" x14ac:dyDescent="0.3">
      <c r="B77" s="158" t="s">
        <v>500</v>
      </c>
      <c r="C77" s="349">
        <v>13000</v>
      </c>
      <c r="D77" s="349">
        <v>13000</v>
      </c>
      <c r="E77" s="349">
        <v>13000</v>
      </c>
      <c r="F77" s="348">
        <f t="shared" si="7"/>
        <v>100</v>
      </c>
      <c r="G77" s="6"/>
      <c r="H77" s="470"/>
    </row>
    <row r="78" spans="2:8" s="28" customFormat="1" ht="24.95" customHeight="1" x14ac:dyDescent="0.3">
      <c r="B78" s="158" t="s">
        <v>424</v>
      </c>
      <c r="C78" s="349">
        <v>10000</v>
      </c>
      <c r="D78" s="349">
        <v>10000</v>
      </c>
      <c r="E78" s="349">
        <v>10000</v>
      </c>
      <c r="F78" s="348">
        <f t="shared" si="7"/>
        <v>100</v>
      </c>
      <c r="G78" s="6"/>
      <c r="H78" s="470"/>
    </row>
    <row r="79" spans="2:8" ht="24.95" customHeight="1" x14ac:dyDescent="0.3">
      <c r="B79" s="1023" t="s">
        <v>690</v>
      </c>
      <c r="C79" s="766">
        <v>3000</v>
      </c>
      <c r="D79" s="766">
        <v>5377</v>
      </c>
      <c r="E79" s="766">
        <v>1975</v>
      </c>
      <c r="F79" s="351">
        <f t="shared" si="7"/>
        <v>36.73051887669704</v>
      </c>
      <c r="G79" s="6"/>
      <c r="H79" s="470"/>
    </row>
    <row r="80" spans="2:8" ht="24.95" customHeight="1" x14ac:dyDescent="0.3">
      <c r="B80" s="765" t="s">
        <v>691</v>
      </c>
      <c r="C80" s="766"/>
      <c r="D80" s="766">
        <v>14000</v>
      </c>
      <c r="E80" s="766">
        <v>254</v>
      </c>
      <c r="F80" s="761">
        <f t="shared" si="7"/>
        <v>1.8142857142857141</v>
      </c>
      <c r="G80" s="6"/>
      <c r="H80" s="470"/>
    </row>
    <row r="81" spans="2:8" ht="38.25" customHeight="1" x14ac:dyDescent="0.3">
      <c r="B81" s="393" t="s">
        <v>180</v>
      </c>
      <c r="C81" s="627">
        <v>1000</v>
      </c>
      <c r="D81" s="627">
        <v>1000</v>
      </c>
      <c r="E81" s="627">
        <v>1000</v>
      </c>
      <c r="F81" s="392">
        <f t="shared" si="7"/>
        <v>100</v>
      </c>
      <c r="G81" s="6"/>
      <c r="H81" s="470"/>
    </row>
    <row r="82" spans="2:8" ht="24.95" customHeight="1" thickBot="1" x14ac:dyDescent="0.35">
      <c r="B82" s="206" t="s">
        <v>130</v>
      </c>
      <c r="C82" s="213">
        <f>SUM(C72:C81)</f>
        <v>89618</v>
      </c>
      <c r="D82" s="213">
        <f>SUM(D72:D81)</f>
        <v>112547</v>
      </c>
      <c r="E82" s="213">
        <f>SUM(E72:E81)</f>
        <v>93470</v>
      </c>
      <c r="F82" s="355">
        <f t="shared" si="7"/>
        <v>83.049748105236034</v>
      </c>
      <c r="G82" s="6"/>
      <c r="H82" s="470"/>
    </row>
    <row r="83" spans="2:8" s="28" customFormat="1" ht="24.95" customHeight="1" x14ac:dyDescent="0.3">
      <c r="B83" s="157" t="s">
        <v>294</v>
      </c>
      <c r="C83" s="155"/>
      <c r="D83" s="155"/>
      <c r="E83" s="155"/>
      <c r="F83" s="163"/>
      <c r="G83" s="6"/>
      <c r="H83" s="470"/>
    </row>
    <row r="84" spans="2:8" ht="24.95" customHeight="1" x14ac:dyDescent="0.3">
      <c r="B84" s="358" t="s">
        <v>235</v>
      </c>
      <c r="C84" s="212"/>
      <c r="D84" s="212">
        <v>500</v>
      </c>
      <c r="E84" s="212">
        <v>500</v>
      </c>
      <c r="F84" s="348">
        <f>+E84/D84*100</f>
        <v>100</v>
      </c>
      <c r="G84" s="6"/>
      <c r="H84" s="470"/>
    </row>
    <row r="85" spans="2:8" ht="24.95" customHeight="1" x14ac:dyDescent="0.3">
      <c r="B85" s="358" t="s">
        <v>501</v>
      </c>
      <c r="C85" s="212"/>
      <c r="D85" s="212">
        <v>251</v>
      </c>
      <c r="E85" s="212">
        <v>29</v>
      </c>
      <c r="F85" s="348">
        <f>+E85/D85*100</f>
        <v>11.553784860557768</v>
      </c>
      <c r="G85" s="6"/>
      <c r="H85" s="470"/>
    </row>
    <row r="86" spans="2:8" ht="24.95" customHeight="1" thickBot="1" x14ac:dyDescent="0.35">
      <c r="B86" s="206" t="s">
        <v>312</v>
      </c>
      <c r="C86" s="105">
        <f>SUM(C84:C85)</f>
        <v>0</v>
      </c>
      <c r="D86" s="105">
        <f>SUM(D84:D85)</f>
        <v>751</v>
      </c>
      <c r="E86" s="105">
        <f>SUM(E84:E85)</f>
        <v>529</v>
      </c>
      <c r="F86" s="214">
        <f>+E86/D86*100</f>
        <v>70.43941411451398</v>
      </c>
      <c r="G86" s="6"/>
      <c r="H86" s="470"/>
    </row>
    <row r="87" spans="2:8" ht="24.75" customHeight="1" thickBot="1" x14ac:dyDescent="0.35">
      <c r="B87" s="206" t="s">
        <v>313</v>
      </c>
      <c r="C87" s="105">
        <f>C82+C86</f>
        <v>89618</v>
      </c>
      <c r="D87" s="105">
        <f>D82+D86</f>
        <v>113298</v>
      </c>
      <c r="E87" s="105">
        <f>E82+E86</f>
        <v>93999</v>
      </c>
      <c r="F87" s="161">
        <f>+E87/D87*100</f>
        <v>82.96616003812953</v>
      </c>
      <c r="G87" s="6"/>
      <c r="H87" s="470"/>
    </row>
    <row r="88" spans="2:8" ht="24.75" customHeight="1" x14ac:dyDescent="0.3">
      <c r="B88" s="159" t="s">
        <v>314</v>
      </c>
      <c r="C88" s="155"/>
      <c r="D88" s="155"/>
      <c r="E88" s="155"/>
      <c r="F88" s="163"/>
      <c r="G88" s="6"/>
      <c r="H88" s="470"/>
    </row>
    <row r="89" spans="2:8" ht="24.75" customHeight="1" x14ac:dyDescent="0.3">
      <c r="B89" s="377" t="s">
        <v>502</v>
      </c>
      <c r="C89" s="104">
        <v>84000</v>
      </c>
      <c r="D89" s="104">
        <v>84000</v>
      </c>
      <c r="E89" s="104">
        <v>84000</v>
      </c>
      <c r="F89" s="390">
        <f t="shared" ref="F89:F96" si="8">+E89/D89*100</f>
        <v>100</v>
      </c>
      <c r="G89" s="6"/>
      <c r="H89" s="470"/>
    </row>
    <row r="90" spans="2:8" ht="24.75" customHeight="1" x14ac:dyDescent="0.3">
      <c r="B90" s="377" t="s">
        <v>203</v>
      </c>
      <c r="C90" s="104">
        <v>10000</v>
      </c>
      <c r="D90" s="104">
        <v>10000</v>
      </c>
      <c r="E90" s="104">
        <v>8730</v>
      </c>
      <c r="F90" s="390">
        <f t="shared" si="8"/>
        <v>87.3</v>
      </c>
      <c r="G90" s="6"/>
      <c r="H90" s="470"/>
    </row>
    <row r="91" spans="2:8" ht="24.75" customHeight="1" x14ac:dyDescent="0.3">
      <c r="B91" s="377" t="s">
        <v>584</v>
      </c>
      <c r="C91" s="104"/>
      <c r="D91" s="104">
        <v>9259</v>
      </c>
      <c r="E91" s="104">
        <v>8992</v>
      </c>
      <c r="F91" s="390">
        <f t="shared" si="8"/>
        <v>97.116319256939192</v>
      </c>
      <c r="G91" s="6"/>
      <c r="H91" s="470"/>
    </row>
    <row r="92" spans="2:8" ht="24.75" customHeight="1" x14ac:dyDescent="0.3">
      <c r="B92" s="377" t="s">
        <v>652</v>
      </c>
      <c r="C92" s="104"/>
      <c r="D92" s="104">
        <v>10000</v>
      </c>
      <c r="E92" s="104">
        <v>5450</v>
      </c>
      <c r="F92" s="390">
        <f t="shared" si="8"/>
        <v>54.500000000000007</v>
      </c>
      <c r="G92" s="6"/>
      <c r="H92" s="470"/>
    </row>
    <row r="93" spans="2:8" ht="24.75" customHeight="1" x14ac:dyDescent="0.3">
      <c r="B93" s="377" t="s">
        <v>692</v>
      </c>
      <c r="C93" s="104"/>
      <c r="D93" s="104">
        <v>4500</v>
      </c>
      <c r="E93" s="104"/>
      <c r="F93" s="390">
        <f t="shared" si="8"/>
        <v>0</v>
      </c>
      <c r="G93" s="6"/>
      <c r="H93" s="470"/>
    </row>
    <row r="94" spans="2:8" ht="24.95" customHeight="1" thickBot="1" x14ac:dyDescent="0.35">
      <c r="B94" s="206" t="s">
        <v>315</v>
      </c>
      <c r="C94" s="105">
        <f>SUM(C89:C93)</f>
        <v>94000</v>
      </c>
      <c r="D94" s="105">
        <f>SUM(D89:D93)</f>
        <v>117759</v>
      </c>
      <c r="E94" s="105">
        <f>SUM(E89:E93)</f>
        <v>107172</v>
      </c>
      <c r="F94" s="214">
        <f t="shared" si="8"/>
        <v>91.009604361450087</v>
      </c>
      <c r="G94" s="6"/>
      <c r="H94" s="470"/>
    </row>
    <row r="95" spans="2:8" ht="24.95" customHeight="1" thickBot="1" x14ac:dyDescent="0.35">
      <c r="B95" s="206" t="s">
        <v>316</v>
      </c>
      <c r="C95" s="105">
        <f>C94</f>
        <v>94000</v>
      </c>
      <c r="D95" s="105">
        <f>D94</f>
        <v>117759</v>
      </c>
      <c r="E95" s="105">
        <f>E94</f>
        <v>107172</v>
      </c>
      <c r="F95" s="161">
        <f t="shared" si="8"/>
        <v>91.009604361450087</v>
      </c>
      <c r="G95" s="6"/>
      <c r="H95" s="469"/>
    </row>
    <row r="96" spans="2:8" ht="24.95" customHeight="1" thickBot="1" x14ac:dyDescent="0.35">
      <c r="B96" s="206" t="s">
        <v>525</v>
      </c>
      <c r="C96" s="213">
        <f>+C70+C87+C95+C61</f>
        <v>248118</v>
      </c>
      <c r="D96" s="213">
        <f>+D70+D87+D95+D61</f>
        <v>258583</v>
      </c>
      <c r="E96" s="213">
        <f>+E70+E87+E95+E61</f>
        <v>228418</v>
      </c>
      <c r="F96" s="161">
        <f t="shared" si="8"/>
        <v>88.334499947792395</v>
      </c>
      <c r="G96" s="6"/>
      <c r="H96" s="469"/>
    </row>
    <row r="97" spans="2:7" ht="24.95" customHeight="1" thickBot="1" x14ac:dyDescent="0.3">
      <c r="B97" s="206" t="s">
        <v>80</v>
      </c>
      <c r="C97" s="105">
        <f>+C58+C96</f>
        <v>2374267</v>
      </c>
      <c r="D97" s="105">
        <f>+D58+D96</f>
        <v>3134450</v>
      </c>
      <c r="E97" s="105">
        <f>+E58+E96</f>
        <v>2878754</v>
      </c>
      <c r="F97" s="161">
        <f>+E97/D97*100</f>
        <v>91.842396592703665</v>
      </c>
      <c r="G97" s="6"/>
    </row>
    <row r="98" spans="2:7" ht="15" customHeight="1" x14ac:dyDescent="0.2">
      <c r="B98" s="16"/>
      <c r="C98" s="28"/>
      <c r="D98" s="28"/>
      <c r="E98" s="28"/>
      <c r="F98" s="621"/>
      <c r="G98" s="6"/>
    </row>
    <row r="99" spans="2:7" ht="15" customHeight="1" x14ac:dyDescent="0.2">
      <c r="B99" s="16"/>
      <c r="C99" s="28"/>
      <c r="D99" s="28"/>
      <c r="E99" s="106"/>
      <c r="F99" s="621"/>
      <c r="G99" s="6"/>
    </row>
    <row r="100" spans="2:7" ht="24.75" customHeight="1" thickBot="1" x14ac:dyDescent="0.35">
      <c r="B100" s="622" t="s">
        <v>35</v>
      </c>
      <c r="C100" s="132"/>
      <c r="D100" s="132"/>
      <c r="E100" s="132"/>
      <c r="F100" s="132" t="s">
        <v>34</v>
      </c>
      <c r="G100" s="6"/>
    </row>
    <row r="101" spans="2:7" ht="24.75" customHeight="1" x14ac:dyDescent="0.25">
      <c r="B101" s="628" t="s">
        <v>51</v>
      </c>
      <c r="C101" s="2680" t="s">
        <v>622</v>
      </c>
      <c r="D101" s="2680"/>
      <c r="E101" s="217" t="s">
        <v>602</v>
      </c>
      <c r="F101" s="217" t="s">
        <v>166</v>
      </c>
      <c r="G101" s="6"/>
    </row>
    <row r="102" spans="2:7" ht="24.75" customHeight="1" thickBot="1" x14ac:dyDescent="0.3">
      <c r="B102" s="629"/>
      <c r="C102" s="942" t="s">
        <v>325</v>
      </c>
      <c r="D102" s="486" t="s">
        <v>164</v>
      </c>
      <c r="E102" s="103" t="s">
        <v>165</v>
      </c>
      <c r="F102" s="103" t="s">
        <v>167</v>
      </c>
      <c r="G102" s="6"/>
    </row>
    <row r="103" spans="2:7" ht="42.75" customHeight="1" x14ac:dyDescent="0.2">
      <c r="B103" s="836" t="s">
        <v>547</v>
      </c>
      <c r="C103" s="124"/>
      <c r="D103" s="347">
        <v>3826</v>
      </c>
      <c r="E103" s="347">
        <f>7670-E104</f>
        <v>3823</v>
      </c>
      <c r="F103" s="390">
        <f t="shared" ref="F103:F113" si="9">+E103/D103*100</f>
        <v>99.921589127025612</v>
      </c>
      <c r="G103" s="6"/>
    </row>
    <row r="104" spans="2:7" ht="24.75" customHeight="1" thickBot="1" x14ac:dyDescent="0.25">
      <c r="B104" s="377" t="s">
        <v>548</v>
      </c>
      <c r="C104" s="124"/>
      <c r="D104" s="347">
        <v>3847</v>
      </c>
      <c r="E104" s="347">
        <v>3847</v>
      </c>
      <c r="F104" s="390">
        <f t="shared" si="9"/>
        <v>100</v>
      </c>
      <c r="G104" s="6"/>
    </row>
    <row r="105" spans="2:7" ht="24.75" customHeight="1" thickBot="1" x14ac:dyDescent="0.3">
      <c r="B105" s="148" t="s">
        <v>521</v>
      </c>
      <c r="C105" s="149">
        <f>SUM(C103:C104)</f>
        <v>0</v>
      </c>
      <c r="D105" s="149">
        <f>SUM(D103:D104)</f>
        <v>7673</v>
      </c>
      <c r="E105" s="149">
        <f>SUM(E103:E104)</f>
        <v>7670</v>
      </c>
      <c r="F105" s="161">
        <f>SUM(F103:F104)</f>
        <v>199.92158912702561</v>
      </c>
      <c r="G105" s="6"/>
    </row>
    <row r="106" spans="2:7" ht="24.75" customHeight="1" thickBot="1" x14ac:dyDescent="0.25">
      <c r="B106" s="437" t="s">
        <v>549</v>
      </c>
      <c r="C106" s="819"/>
      <c r="D106" s="188">
        <v>156</v>
      </c>
      <c r="E106" s="188">
        <v>155</v>
      </c>
      <c r="F106" s="390">
        <f t="shared" si="9"/>
        <v>99.358974358974365</v>
      </c>
      <c r="G106" s="6"/>
    </row>
    <row r="107" spans="2:7" ht="24.75" customHeight="1" thickBot="1" x14ac:dyDescent="0.3">
      <c r="B107" s="820" t="s">
        <v>380</v>
      </c>
      <c r="C107" s="149">
        <f>SUM(C106:C106)</f>
        <v>0</v>
      </c>
      <c r="D107" s="149">
        <f>SUM(D106:D106)</f>
        <v>156</v>
      </c>
      <c r="E107" s="149">
        <f>SUM(E106:E106)</f>
        <v>155</v>
      </c>
      <c r="F107" s="161">
        <f>SUM(F106:F106)</f>
        <v>99.358974358974365</v>
      </c>
      <c r="G107" s="6"/>
    </row>
    <row r="108" spans="2:7" ht="35.25" customHeight="1" thickBot="1" x14ac:dyDescent="0.25">
      <c r="B108" s="437" t="s">
        <v>406</v>
      </c>
      <c r="C108" s="188"/>
      <c r="D108" s="188">
        <v>18781</v>
      </c>
      <c r="E108" s="188">
        <v>14454</v>
      </c>
      <c r="F108" s="390">
        <f t="shared" si="9"/>
        <v>76.960758213087701</v>
      </c>
      <c r="G108" s="6"/>
    </row>
    <row r="109" spans="2:7" ht="24.75" customHeight="1" thickBot="1" x14ac:dyDescent="0.3">
      <c r="B109" s="820" t="s">
        <v>550</v>
      </c>
      <c r="C109" s="821">
        <f>SUM(C108:C108)</f>
        <v>0</v>
      </c>
      <c r="D109" s="149">
        <f>SUM(D108:D108)</f>
        <v>18781</v>
      </c>
      <c r="E109" s="149">
        <f>SUM(E108:E108)</f>
        <v>14454</v>
      </c>
      <c r="F109" s="161">
        <f>SUM(F108:F108)</f>
        <v>76.960758213087701</v>
      </c>
      <c r="G109" s="6"/>
    </row>
    <row r="110" spans="2:7" ht="24.75" customHeight="1" thickBot="1" x14ac:dyDescent="0.25">
      <c r="B110" s="822" t="s">
        <v>551</v>
      </c>
      <c r="C110" s="412"/>
      <c r="D110" s="410">
        <v>18526</v>
      </c>
      <c r="E110" s="410">
        <v>9191</v>
      </c>
      <c r="F110" s="439">
        <f t="shared" si="9"/>
        <v>49.611357011767247</v>
      </c>
      <c r="G110" s="6"/>
    </row>
    <row r="111" spans="2:7" ht="24.75" customHeight="1" thickBot="1" x14ac:dyDescent="0.3">
      <c r="B111" s="148" t="s">
        <v>250</v>
      </c>
      <c r="C111" s="821">
        <f>SUM(C110:C110)</f>
        <v>0</v>
      </c>
      <c r="D111" s="149">
        <f>SUM(D110:D110)</f>
        <v>18526</v>
      </c>
      <c r="E111" s="149">
        <f>SUM(E110:E110)</f>
        <v>9191</v>
      </c>
      <c r="F111" s="161">
        <f>SUM(F110:F110)</f>
        <v>49.611357011767247</v>
      </c>
      <c r="G111" s="6"/>
    </row>
    <row r="112" spans="2:7" ht="24.75" customHeight="1" x14ac:dyDescent="0.2">
      <c r="B112" s="823" t="s">
        <v>552</v>
      </c>
      <c r="C112" s="824"/>
      <c r="D112" s="350">
        <v>24134</v>
      </c>
      <c r="E112" s="350">
        <f>29149-E113</f>
        <v>16349</v>
      </c>
      <c r="F112" s="390">
        <f t="shared" si="9"/>
        <v>67.742603795475262</v>
      </c>
      <c r="G112" s="6"/>
    </row>
    <row r="113" spans="2:7" ht="24.75" customHeight="1" thickBot="1" x14ac:dyDescent="0.25">
      <c r="B113" s="823" t="s">
        <v>553</v>
      </c>
      <c r="C113" s="825"/>
      <c r="D113" s="350">
        <v>12800</v>
      </c>
      <c r="E113" s="350">
        <v>12800</v>
      </c>
      <c r="F113" s="390">
        <f t="shared" si="9"/>
        <v>100</v>
      </c>
      <c r="G113" s="6"/>
    </row>
    <row r="114" spans="2:7" ht="24.75" customHeight="1" thickBot="1" x14ac:dyDescent="0.3">
      <c r="B114" s="148" t="s">
        <v>4</v>
      </c>
      <c r="C114" s="149">
        <f>SUM(C112:C113)</f>
        <v>0</v>
      </c>
      <c r="D114" s="149">
        <f>SUM(D112:D113)</f>
        <v>36934</v>
      </c>
      <c r="E114" s="149">
        <f>SUM(E112:E113)</f>
        <v>29149</v>
      </c>
      <c r="F114" s="161">
        <f>SUM(F112:F113)</f>
        <v>167.74260379547525</v>
      </c>
      <c r="G114" s="6"/>
    </row>
    <row r="115" spans="2:7" ht="24.75" customHeight="1" thickBot="1" x14ac:dyDescent="0.3">
      <c r="B115" s="25" t="s">
        <v>554</v>
      </c>
      <c r="C115" s="826">
        <f>C105+C107+C109+C111+C114</f>
        <v>0</v>
      </c>
      <c r="D115" s="826">
        <f>D105+D107+D109+D111+D114</f>
        <v>82070</v>
      </c>
      <c r="E115" s="826">
        <f>E105+E107+E109+E111+E114</f>
        <v>60619</v>
      </c>
      <c r="F115" s="161">
        <f>+E115/D115*100</f>
        <v>73.862556354331659</v>
      </c>
      <c r="G115" s="6"/>
    </row>
    <row r="116" spans="2:7" ht="15" customHeight="1" thickBot="1" x14ac:dyDescent="0.3">
      <c r="B116" s="215"/>
      <c r="C116" s="198"/>
      <c r="D116" s="198"/>
      <c r="E116" s="197"/>
      <c r="F116" s="623"/>
      <c r="G116" s="6"/>
    </row>
    <row r="117" spans="2:7" ht="21.75" customHeight="1" thickBot="1" x14ac:dyDescent="0.3">
      <c r="B117" s="485" t="s">
        <v>8</v>
      </c>
      <c r="C117" s="310">
        <f>+C97+C115</f>
        <v>2374267</v>
      </c>
      <c r="D117" s="310">
        <f>+D97+D115</f>
        <v>3216520</v>
      </c>
      <c r="E117" s="310">
        <f>+E97+E115</f>
        <v>2939373</v>
      </c>
      <c r="F117" s="2101">
        <f>+E117/D117*100</f>
        <v>91.383638217701119</v>
      </c>
      <c r="G117" s="6"/>
    </row>
    <row r="118" spans="2:7" ht="15" customHeight="1" x14ac:dyDescent="0.2">
      <c r="E118" s="6"/>
    </row>
    <row r="119" spans="2:7" ht="15" customHeight="1" x14ac:dyDescent="0.2">
      <c r="E119" s="6"/>
      <c r="F119" s="6"/>
    </row>
    <row r="120" spans="2:7" ht="15" customHeight="1" x14ac:dyDescent="0.2">
      <c r="E120" s="6"/>
      <c r="F120" s="6"/>
    </row>
    <row r="124" spans="2:7" ht="15" customHeight="1" x14ac:dyDescent="0.2">
      <c r="E124" s="6"/>
    </row>
  </sheetData>
  <mergeCells count="3">
    <mergeCell ref="C6:D6"/>
    <mergeCell ref="B3:F3"/>
    <mergeCell ref="C101:D101"/>
  </mergeCells>
  <phoneticPr fontId="0" type="noConversion"/>
  <printOptions horizontalCentered="1" verticalCentered="1"/>
  <pageMargins left="0" right="0" top="0.59055118110236227" bottom="0" header="0.51181102362204722" footer="0.51181102362204722"/>
  <pageSetup paperSize="9" scale="55" orientation="portrait" r:id="rId1"/>
  <headerFooter alignWithMargins="0">
    <oddHeader xml:space="preserve">&amp;R&amp;"Arial,Félkövér"&amp;14 &amp;16 &amp;12 9. melléklet A ...../2019. (........)  önkormányzati rendelethez
</oddHeader>
  </headerFooter>
  <rowBreaks count="1" manualBreakCount="1">
    <brk id="5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31</vt:i4>
      </vt:variant>
      <vt:variant>
        <vt:lpstr>Névvel ellátott tartományok</vt:lpstr>
      </vt:variant>
      <vt:variant>
        <vt:i4>39</vt:i4>
      </vt:variant>
    </vt:vector>
  </HeadingPairs>
  <TitlesOfParts>
    <vt:vector size="70" baseType="lpstr">
      <vt:lpstr>1 kiemelt előirányzatok telj. </vt:lpstr>
      <vt:lpstr>2 mérleg </vt:lpstr>
      <vt:lpstr>3 bev.részl</vt:lpstr>
      <vt:lpstr>4 int bevétel</vt:lpstr>
      <vt:lpstr>5 normatíva</vt:lpstr>
      <vt:lpstr>6 int kiadás</vt:lpstr>
      <vt:lpstr>7.létszám ei zárás 2018 év</vt:lpstr>
      <vt:lpstr>8 okt.</vt:lpstr>
      <vt:lpstr>9 kult.</vt:lpstr>
      <vt:lpstr>10 szoc.</vt:lpstr>
      <vt:lpstr>11 eü.</vt:lpstr>
      <vt:lpstr>12 Gyerm.</vt:lpstr>
      <vt:lpstr>13 egyéb</vt:lpstr>
      <vt:lpstr>14 sport</vt:lpstr>
      <vt:lpstr>15 város.ü.,körny</vt:lpstr>
      <vt:lpstr>16 út-híd</vt:lpstr>
      <vt:lpstr>17 fbev.</vt:lpstr>
      <vt:lpstr>18 fkia.</vt:lpstr>
      <vt:lpstr>19 pénzeszkváltsa</vt:lpstr>
      <vt:lpstr>20 közvetett támogatás</vt:lpstr>
      <vt:lpstr>21 Eu projektek</vt:lpstr>
      <vt:lpstr>22 többév1</vt:lpstr>
      <vt:lpstr>23 eszközök</vt:lpstr>
      <vt:lpstr>24 források</vt:lpstr>
      <vt:lpstr>25 lakásalapelsz</vt:lpstr>
      <vt:lpstr>26 segély </vt:lpstr>
      <vt:lpstr>27 kataszter</vt:lpstr>
      <vt:lpstr>28 vagyonkimutatás </vt:lpstr>
      <vt:lpstr>29 felhalmozás</vt:lpstr>
      <vt:lpstr>30 felújítás</vt:lpstr>
      <vt:lpstr>31 Részesedések</vt:lpstr>
      <vt:lpstr>'17 fbev.'!Nyomtatási_cím</vt:lpstr>
      <vt:lpstr>'18 fkia.'!Nyomtatási_cím</vt:lpstr>
      <vt:lpstr>'19 pénzeszkváltsa'!Nyomtatási_cím</vt:lpstr>
      <vt:lpstr>'29 felhalmozás'!Nyomtatási_cím</vt:lpstr>
      <vt:lpstr>'3 bev.részl'!Nyomtatási_cím</vt:lpstr>
      <vt:lpstr>'30 felújítás'!Nyomtatási_cím</vt:lpstr>
      <vt:lpstr>'7.létszám ei zárás 2018 év'!Nyomtatási_cím</vt:lpstr>
      <vt:lpstr>'9 kult.'!Nyomtatási_cím</vt:lpstr>
      <vt:lpstr>'1 kiemelt előirányzatok telj. '!Nyomtatási_terület</vt:lpstr>
      <vt:lpstr>'10 szoc.'!Nyomtatási_terület</vt:lpstr>
      <vt:lpstr>'11 eü.'!Nyomtatási_terület</vt:lpstr>
      <vt:lpstr>'12 Gyerm.'!Nyomtatási_terület</vt:lpstr>
      <vt:lpstr>'13 egyéb'!Nyomtatási_terület</vt:lpstr>
      <vt:lpstr>'14 sport'!Nyomtatási_terület</vt:lpstr>
      <vt:lpstr>'15 város.ü.,körny'!Nyomtatási_terület</vt:lpstr>
      <vt:lpstr>'16 út-híd'!Nyomtatási_terület</vt:lpstr>
      <vt:lpstr>'17 fbev.'!Nyomtatási_terület</vt:lpstr>
      <vt:lpstr>'18 fkia.'!Nyomtatási_terület</vt:lpstr>
      <vt:lpstr>'19 pénzeszkváltsa'!Nyomtatási_terület</vt:lpstr>
      <vt:lpstr>'2 mérleg '!Nyomtatási_terület</vt:lpstr>
      <vt:lpstr>'20 közvetett támogatás'!Nyomtatási_terület</vt:lpstr>
      <vt:lpstr>'21 Eu projektek'!Nyomtatási_terület</vt:lpstr>
      <vt:lpstr>'22 többév1'!Nyomtatási_terület</vt:lpstr>
      <vt:lpstr>'23 eszközök'!Nyomtatási_terület</vt:lpstr>
      <vt:lpstr>'24 források'!Nyomtatási_terület</vt:lpstr>
      <vt:lpstr>'25 lakásalapelsz'!Nyomtatási_terület</vt:lpstr>
      <vt:lpstr>'26 segély '!Nyomtatási_terület</vt:lpstr>
      <vt:lpstr>'27 kataszter'!Nyomtatási_terület</vt:lpstr>
      <vt:lpstr>'28 vagyonkimutatás '!Nyomtatási_terület</vt:lpstr>
      <vt:lpstr>'29 felhalmozás'!Nyomtatási_terület</vt:lpstr>
      <vt:lpstr>'3 bev.részl'!Nyomtatási_terület</vt:lpstr>
      <vt:lpstr>'30 felújítás'!Nyomtatási_terület</vt:lpstr>
      <vt:lpstr>'31 Részesedések'!Nyomtatási_terület</vt:lpstr>
      <vt:lpstr>'4 int bevétel'!Nyomtatási_terület</vt:lpstr>
      <vt:lpstr>'5 normatíva'!Nyomtatási_terület</vt:lpstr>
      <vt:lpstr>'6 int kiadás'!Nyomtatási_terület</vt:lpstr>
      <vt:lpstr>'7.létszám ei zárás 2018 év'!Nyomtatási_terület</vt:lpstr>
      <vt:lpstr>'8 okt.'!Nyomtatási_terület</vt:lpstr>
      <vt:lpstr>'9 kult.'!Nyomtatási_terület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Molnár Vilmosné</cp:lastModifiedBy>
  <cp:lastPrinted>2019-04-15T06:58:41Z</cp:lastPrinted>
  <dcterms:created xsi:type="dcterms:W3CDTF">1998-01-10T07:52:54Z</dcterms:created>
  <dcterms:modified xsi:type="dcterms:W3CDTF">2019-04-15T06:59:49Z</dcterms:modified>
</cp:coreProperties>
</file>