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Zárszámadás\"/>
    </mc:Choice>
  </mc:AlternateContent>
  <xr:revisionPtr revIDLastSave="0" documentId="12_ncr:500000_{71628725-42A8-4188-8465-ADC7A3EBB2B2}" xr6:coauthVersionLast="31" xr6:coauthVersionMax="31" xr10:uidLastSave="{00000000-0000-0000-0000-000000000000}"/>
  <bookViews>
    <workbookView xWindow="120" yWindow="135" windowWidth="9690" windowHeight="6225" tabRatio="597" xr2:uid="{00000000-000D-0000-FFFF-FFFF00000000}"/>
  </bookViews>
  <sheets>
    <sheet name="1 kiemelt előirányzatok telj. " sheetId="58" r:id="rId1"/>
    <sheet name="2 mérleg " sheetId="41" r:id="rId2"/>
    <sheet name="3 bev.részl" sheetId="39" r:id="rId3"/>
    <sheet name="4 int bevétel" sheetId="59" r:id="rId4"/>
    <sheet name="5 normatíva" sheetId="62" r:id="rId5"/>
    <sheet name="6 int kiadás" sheetId="60" r:id="rId6"/>
    <sheet name="7. létszám ei zárás 2017 év" sheetId="61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45" r:id="rId19"/>
    <sheet name="20 közvetett támogatás" sheetId="46" r:id="rId20"/>
    <sheet name="21 Eu projektek" sheetId="47" r:id="rId21"/>
    <sheet name="22 többév1" sheetId="48" r:id="rId22"/>
    <sheet name="23 eszközök" sheetId="49" r:id="rId23"/>
    <sheet name="24 források" sheetId="50" r:id="rId24"/>
    <sheet name="25 lakásalapelsz" sheetId="51" r:id="rId25"/>
    <sheet name="26 segély " sheetId="52" r:id="rId26"/>
    <sheet name="27 kataszter" sheetId="53" r:id="rId27"/>
    <sheet name="28 vagyonkimutatás " sheetId="54" r:id="rId28"/>
    <sheet name="29 felhalmozás" sheetId="55" r:id="rId29"/>
    <sheet name="30 felújítás" sheetId="56" r:id="rId30"/>
    <sheet name="31 Részesedések" sheetId="57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besz" localSheetId="0">#REF!</definedName>
    <definedName name="besz" localSheetId="17">#REF!</definedName>
    <definedName name="besz">#REF!</definedName>
    <definedName name="bk" localSheetId="0">#REF!</definedName>
    <definedName name="bk" localSheetId="17">#REF!</definedName>
    <definedName name="bk" localSheetId="6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 localSheetId="4">[2]Családsegítés!$C$27:$C$86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>#REF!</definedName>
    <definedName name="eredetiköltségvetés2017" localSheetId="4">#REF!</definedName>
    <definedName name="eredetiköltségvetés2017">#REF!</definedName>
    <definedName name="ffff" localSheetId="0">#REF!</definedName>
    <definedName name="ffff" localSheetId="17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 localSheetId="4">[2]Gyermekjóléti!$C$27:$C$86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 localSheetId="4">[2]körjegyzőség!$C$9:$C$28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4">#REF!</definedName>
    <definedName name="nev_k" localSheetId="8">#REF!</definedName>
    <definedName name="nev_k">#REF!</definedName>
    <definedName name="normatíva">[3]Családsegítés!$C$27:$C$86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pénzeszkváltsa'!$6:$8</definedName>
    <definedName name="_xlnm.Print_Titles" localSheetId="2">'3 bev.részl'!$4:$6</definedName>
    <definedName name="_xlnm.Print_Titles" localSheetId="6">'7. létszám ei zárás 2017 év'!$1:$7</definedName>
    <definedName name="_xlnm.Print_Area" localSheetId="0">'1 kiemelt előirányzatok telj. '!$A$1:$K$23</definedName>
    <definedName name="_xlnm.Print_Area" localSheetId="9">'10 szoc.'!$B$1:$F$41</definedName>
    <definedName name="_xlnm.Print_Area" localSheetId="10">'11 eü.'!$B$2:$F$36</definedName>
    <definedName name="_xlnm.Print_Area" localSheetId="11">'12 Gyerm.'!$B$2:$F$25</definedName>
    <definedName name="_xlnm.Print_Area" localSheetId="12">'13 egyéb'!$B$3:$F$111</definedName>
    <definedName name="_xlnm.Print_Area" localSheetId="13">'14 sport'!$B$2:$F$38</definedName>
    <definedName name="_xlnm.Print_Area" localSheetId="14">'15 város.ü.,körny'!$B$2:$J$31</definedName>
    <definedName name="_xlnm.Print_Area" localSheetId="15">'16 út-híd'!$B$1:$F$30</definedName>
    <definedName name="_xlnm.Print_Area" localSheetId="16">'17 fbev.'!$B$1:$G$72</definedName>
    <definedName name="_xlnm.Print_Area" localSheetId="17">'18 fkia.'!$B$1:$G$145</definedName>
    <definedName name="_xlnm.Print_Area" localSheetId="18">'19 pénzeszkváltsa'!$B$1:$C$14</definedName>
    <definedName name="_xlnm.Print_Area" localSheetId="1">'2 mérleg '!$A$2:$M$55</definedName>
    <definedName name="_xlnm.Print_Area" localSheetId="19">'20 közvetett támogatás'!$A$1:$C$23</definedName>
    <definedName name="_xlnm.Print_Area" localSheetId="20">'21 Eu projektek'!$B$1:$D$102</definedName>
    <definedName name="_xlnm.Print_Area" localSheetId="21">'22 többév1'!$B$1:$H$28</definedName>
    <definedName name="_xlnm.Print_Area" localSheetId="22">'23 eszközök'!$B$4:$G$140</definedName>
    <definedName name="_xlnm.Print_Area" localSheetId="23">'24 források'!$B$2:$G$77</definedName>
    <definedName name="_xlnm.Print_Area" localSheetId="24">'25 lakásalapelsz'!$B$3:$F$196</definedName>
    <definedName name="_xlnm.Print_Area" localSheetId="25">'26 segély '!$B$3:$G$22</definedName>
    <definedName name="_xlnm.Print_Area" localSheetId="26">'27 kataszter'!$A$2:$K$38</definedName>
    <definedName name="_xlnm.Print_Area" localSheetId="27">'28 vagyonkimutatás '!$B$5:$G$109</definedName>
    <definedName name="_xlnm.Print_Area" localSheetId="28">'29 felhalmozás'!$B$1:$D$287</definedName>
    <definedName name="_xlnm.Print_Area" localSheetId="2">'3 bev.részl'!$B$1:$J$137</definedName>
    <definedName name="_xlnm.Print_Area" localSheetId="29">'30 felújítás'!$B$1:$D$73</definedName>
    <definedName name="_xlnm.Print_Area" localSheetId="30">'31 Részesedések'!$B$1:$J$33</definedName>
    <definedName name="_xlnm.Print_Area" localSheetId="3">'4 int bevétel'!$A$1:$BG$54</definedName>
    <definedName name="_xlnm.Print_Area" localSheetId="4">'5 normatíva'!$A$1:$E$54</definedName>
    <definedName name="_xlnm.Print_Area" localSheetId="5">'6 int kiadás'!$A$1:$AV$54</definedName>
    <definedName name="_xlnm.Print_Area" localSheetId="6">'7. létszám ei zárás 2017 év'!$A$1:$G$54</definedName>
    <definedName name="_xlnm.Print_Area" localSheetId="7">'8 okt.'!$C$1:$G$44</definedName>
    <definedName name="_xlnm.Print_Area" localSheetId="8">'9 kult.'!$B$1:$F$123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fbev.'!$B$1:$C$57</definedName>
    <definedName name="Z_186732C5_520C_4E06_B066_B4F3F0A3E322_.wvu.PrintArea" localSheetId="1" hidden="1">'2 mérleg '!$A$2:$I$57</definedName>
    <definedName name="Z_186732C5_520C_4E06_B066_B4F3F0A3E322_.wvu.PrintArea" localSheetId="20" hidden="1">'21 Eu projektek'!$B$3:$C$34</definedName>
    <definedName name="Z_186732C5_520C_4E06_B066_B4F3F0A3E322_.wvu.PrintArea" localSheetId="2" hidden="1">'3 bev.részl'!$B$1:$F$137</definedName>
    <definedName name="Z_186732C5_520C_4E06_B066_B4F3F0A3E322_.wvu.PrintArea" localSheetId="8" hidden="1">'9 kult.'!$B$1:$B$97</definedName>
    <definedName name="Z_6D4B996F_8915_4E78_98C2_E7EAE9C4580C_.wvu.PrintArea" localSheetId="16" hidden="1">'17 fbev.'!$B$1:$C$57</definedName>
    <definedName name="Z_6D4B996F_8915_4E78_98C2_E7EAE9C4580C_.wvu.PrintArea" localSheetId="1" hidden="1">'2 mérleg '!$A$2:$I$57</definedName>
    <definedName name="Z_6D4B996F_8915_4E78_98C2_E7EAE9C4580C_.wvu.PrintArea" localSheetId="20" hidden="1">'21 Eu projektek'!$B$3:$C$34</definedName>
    <definedName name="Z_6D4B996F_8915_4E78_98C2_E7EAE9C4580C_.wvu.PrintArea" localSheetId="2" hidden="1">'3 bev.részl'!$B$1:$F$137</definedName>
    <definedName name="Z_6D4B996F_8915_4E78_98C2_E7EAE9C4580C_.wvu.PrintArea" localSheetId="8" hidden="1">'9 kult.'!$B$1:$B$97</definedName>
    <definedName name="Z_F05CDCE5_D631_41F9_80C7_3F3E8464BF12_.wvu.PrintArea" localSheetId="6" hidden="1">'7. létszám ei zárás 2017 év'!$A$1:$E$54</definedName>
    <definedName name="Z_F05CDCE5_D631_41F9_80C7_3F3E8464BF12_.wvu.PrintTitles" localSheetId="6" hidden="1">'7. létszám ei zárás 2017 év'!$1:$7</definedName>
  </definedNames>
  <calcPr calcId="162913"/>
</workbook>
</file>

<file path=xl/calcChain.xml><?xml version="1.0" encoding="utf-8"?>
<calcChain xmlns="http://schemas.openxmlformats.org/spreadsheetml/2006/main">
  <c r="E14" i="14" l="1"/>
  <c r="F138" i="43" l="1"/>
  <c r="F106" i="43"/>
  <c r="F105" i="43"/>
  <c r="F88" i="43"/>
  <c r="C52" i="62" l="1"/>
  <c r="D51" i="62"/>
  <c r="E51" i="62" s="1"/>
  <c r="E50" i="62"/>
  <c r="D49" i="62"/>
  <c r="C49" i="62"/>
  <c r="B49" i="62"/>
  <c r="E48" i="62"/>
  <c r="E47" i="62"/>
  <c r="E46" i="62"/>
  <c r="D44" i="62"/>
  <c r="B44" i="62"/>
  <c r="E43" i="62"/>
  <c r="C42" i="62"/>
  <c r="C44" i="62" s="1"/>
  <c r="B40" i="62"/>
  <c r="E39" i="62"/>
  <c r="E38" i="62"/>
  <c r="E37" i="62"/>
  <c r="E36" i="62"/>
  <c r="E35" i="62"/>
  <c r="E34" i="62"/>
  <c r="E33" i="62"/>
  <c r="E32" i="62"/>
  <c r="E31" i="62"/>
  <c r="D30" i="62"/>
  <c r="D40" i="62" s="1"/>
  <c r="C30" i="62"/>
  <c r="E29" i="62"/>
  <c r="C28" i="62"/>
  <c r="E28" i="62" s="1"/>
  <c r="C27" i="62"/>
  <c r="E26" i="62"/>
  <c r="E25" i="62"/>
  <c r="B23" i="62"/>
  <c r="E22" i="62"/>
  <c r="C21" i="62"/>
  <c r="D21" i="62" s="1"/>
  <c r="E21" i="62" s="1"/>
  <c r="E20" i="62"/>
  <c r="D19" i="62"/>
  <c r="E18" i="62"/>
  <c r="E17" i="62"/>
  <c r="E16" i="62"/>
  <c r="E15" i="62"/>
  <c r="C12" i="62"/>
  <c r="B12" i="62"/>
  <c r="D11" i="62"/>
  <c r="D12" i="62" s="1"/>
  <c r="E10" i="62"/>
  <c r="E30" i="62" l="1"/>
  <c r="D23" i="62"/>
  <c r="E42" i="62"/>
  <c r="E44" i="62" s="1"/>
  <c r="E49" i="62"/>
  <c r="C23" i="62"/>
  <c r="E11" i="62"/>
  <c r="E12" i="62" s="1"/>
  <c r="C40" i="62"/>
  <c r="C53" i="62" s="1"/>
  <c r="C54" i="62" s="1"/>
  <c r="B53" i="62"/>
  <c r="B54" i="62" s="1"/>
  <c r="D52" i="62"/>
  <c r="D53" i="62" s="1"/>
  <c r="D54" i="62" s="1"/>
  <c r="E19" i="62"/>
  <c r="E23" i="62" s="1"/>
  <c r="E27" i="62"/>
  <c r="E52" i="62" l="1"/>
  <c r="E40" i="62"/>
  <c r="E53" i="62" s="1"/>
  <c r="E54" i="62" s="1"/>
  <c r="D22" i="43" l="1"/>
  <c r="E22" i="43"/>
  <c r="F22" i="43"/>
  <c r="G22" i="43" s="1"/>
  <c r="F59" i="14" l="1"/>
  <c r="H15" i="39" l="1"/>
  <c r="I15" i="39"/>
  <c r="J15" i="39" s="1"/>
  <c r="G15" i="39"/>
  <c r="Z40" i="59" l="1"/>
  <c r="D72" i="56" l="1"/>
  <c r="D67" i="56"/>
  <c r="D65" i="56"/>
  <c r="D61" i="56"/>
  <c r="D56" i="56"/>
  <c r="D53" i="56"/>
  <c r="D48" i="56"/>
  <c r="D31" i="56"/>
  <c r="D49" i="56" s="1"/>
  <c r="D69" i="56" s="1"/>
  <c r="D271" i="55"/>
  <c r="D258" i="55"/>
  <c r="D239" i="55"/>
  <c r="D206" i="55"/>
  <c r="D197" i="55"/>
  <c r="D193" i="55"/>
  <c r="D158" i="55"/>
  <c r="D137" i="55"/>
  <c r="D122" i="55"/>
  <c r="D107" i="55"/>
  <c r="D94" i="55"/>
  <c r="D44" i="55"/>
  <c r="D68" i="56" l="1"/>
  <c r="D95" i="55"/>
  <c r="D260" i="55" s="1"/>
  <c r="D70" i="56"/>
  <c r="D73" i="56" s="1"/>
  <c r="D194" i="55"/>
  <c r="D259" i="55" s="1"/>
  <c r="D261" i="55" s="1"/>
  <c r="D286" i="55" s="1"/>
  <c r="E53" i="61" l="1"/>
  <c r="D53" i="61"/>
  <c r="C53" i="61"/>
  <c r="B53" i="61"/>
  <c r="F53" i="61" s="1"/>
  <c r="E52" i="61"/>
  <c r="D52" i="61"/>
  <c r="C52" i="61"/>
  <c r="B52" i="61"/>
  <c r="F52" i="61" s="1"/>
  <c r="E51" i="61"/>
  <c r="D51" i="61"/>
  <c r="C51" i="61"/>
  <c r="B51" i="61"/>
  <c r="F51" i="61" s="1"/>
  <c r="E46" i="61"/>
  <c r="D46" i="61"/>
  <c r="C46" i="61"/>
  <c r="B46" i="61"/>
  <c r="F46" i="61" s="1"/>
  <c r="E45" i="61"/>
  <c r="E47" i="61" s="1"/>
  <c r="D45" i="61"/>
  <c r="D47" i="61" s="1"/>
  <c r="C45" i="61"/>
  <c r="C47" i="61" s="1"/>
  <c r="B45" i="61"/>
  <c r="B47" i="61" s="1"/>
  <c r="E42" i="61"/>
  <c r="E43" i="61" s="1"/>
  <c r="D42" i="61"/>
  <c r="D43" i="61" s="1"/>
  <c r="C42" i="61"/>
  <c r="C43" i="61" s="1"/>
  <c r="B42" i="61"/>
  <c r="E39" i="61"/>
  <c r="E40" i="61" s="1"/>
  <c r="D39" i="61"/>
  <c r="D40" i="61" s="1"/>
  <c r="C39" i="61"/>
  <c r="C40" i="61" s="1"/>
  <c r="B39" i="61"/>
  <c r="E36" i="61"/>
  <c r="D36" i="61"/>
  <c r="C36" i="61"/>
  <c r="B36" i="61"/>
  <c r="F36" i="61" s="1"/>
  <c r="E35" i="61"/>
  <c r="D35" i="61"/>
  <c r="C35" i="61"/>
  <c r="B35" i="61"/>
  <c r="F35" i="61" s="1"/>
  <c r="E34" i="61"/>
  <c r="D34" i="61"/>
  <c r="C34" i="61"/>
  <c r="B34" i="61"/>
  <c r="F34" i="61" s="1"/>
  <c r="E33" i="61"/>
  <c r="D33" i="61"/>
  <c r="C33" i="61"/>
  <c r="B33" i="61"/>
  <c r="F33" i="61" s="1"/>
  <c r="E32" i="61"/>
  <c r="D32" i="61"/>
  <c r="C32" i="61"/>
  <c r="C37" i="61" s="1"/>
  <c r="C48" i="61" s="1"/>
  <c r="B32" i="61"/>
  <c r="F32" i="61" s="1"/>
  <c r="F37" i="61" s="1"/>
  <c r="E28" i="61"/>
  <c r="D28" i="61"/>
  <c r="C28" i="61"/>
  <c r="B28" i="61"/>
  <c r="F28" i="61" s="1"/>
  <c r="E26" i="61"/>
  <c r="D26" i="61"/>
  <c r="C26" i="61"/>
  <c r="B26" i="61"/>
  <c r="F26" i="61" s="1"/>
  <c r="E25" i="61"/>
  <c r="D25" i="61"/>
  <c r="C25" i="61"/>
  <c r="B25" i="61"/>
  <c r="E24" i="61"/>
  <c r="D24" i="61"/>
  <c r="C24" i="61"/>
  <c r="B24" i="61"/>
  <c r="F24" i="61" s="1"/>
  <c r="E23" i="61"/>
  <c r="D23" i="61"/>
  <c r="C23" i="61"/>
  <c r="B23" i="61"/>
  <c r="E22" i="61"/>
  <c r="D22" i="61"/>
  <c r="C22" i="61"/>
  <c r="B22" i="61"/>
  <c r="F22" i="61" s="1"/>
  <c r="E21" i="61"/>
  <c r="D21" i="61"/>
  <c r="C21" i="61"/>
  <c r="B21" i="61"/>
  <c r="F21" i="61" s="1"/>
  <c r="E20" i="61"/>
  <c r="D20" i="61"/>
  <c r="C20" i="61"/>
  <c r="B20" i="61"/>
  <c r="F20" i="61" s="1"/>
  <c r="E19" i="61"/>
  <c r="D19" i="61"/>
  <c r="C19" i="61"/>
  <c r="B19" i="61"/>
  <c r="F19" i="61" s="1"/>
  <c r="E18" i="61"/>
  <c r="D18" i="61"/>
  <c r="C18" i="61"/>
  <c r="B18" i="61"/>
  <c r="F18" i="61" s="1"/>
  <c r="E17" i="61"/>
  <c r="D17" i="61"/>
  <c r="C17" i="61"/>
  <c r="B17" i="61"/>
  <c r="E16" i="61"/>
  <c r="D16" i="61"/>
  <c r="C16" i="61"/>
  <c r="B16" i="61"/>
  <c r="F16" i="61" s="1"/>
  <c r="E15" i="61"/>
  <c r="D15" i="61"/>
  <c r="C15" i="61"/>
  <c r="B15" i="61"/>
  <c r="E14" i="61"/>
  <c r="D14" i="61"/>
  <c r="C14" i="61"/>
  <c r="B14" i="61"/>
  <c r="F14" i="61" s="1"/>
  <c r="E13" i="61"/>
  <c r="D13" i="61"/>
  <c r="C13" i="61"/>
  <c r="B13" i="61"/>
  <c r="F13" i="61" s="1"/>
  <c r="E12" i="61"/>
  <c r="D12" i="61"/>
  <c r="C12" i="61"/>
  <c r="B12" i="61"/>
  <c r="F12" i="61" s="1"/>
  <c r="E11" i="61"/>
  <c r="D11" i="61"/>
  <c r="C11" i="61"/>
  <c r="B11" i="61"/>
  <c r="F11" i="61" s="1"/>
  <c r="E10" i="61"/>
  <c r="D10" i="61"/>
  <c r="C10" i="61"/>
  <c r="B10" i="61"/>
  <c r="F10" i="61" s="1"/>
  <c r="E9" i="61"/>
  <c r="E27" i="61" s="1"/>
  <c r="E29" i="61" s="1"/>
  <c r="E49" i="61" s="1"/>
  <c r="D9" i="61"/>
  <c r="C9" i="61"/>
  <c r="C27" i="61" s="1"/>
  <c r="C29" i="61" s="1"/>
  <c r="C49" i="61" s="1"/>
  <c r="B9" i="61"/>
  <c r="F39" i="61" l="1"/>
  <c r="F40" i="61" s="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8" i="61"/>
  <c r="G33" i="61"/>
  <c r="G34" i="61"/>
  <c r="G35" i="61"/>
  <c r="G36" i="61"/>
  <c r="G46" i="61"/>
  <c r="G51" i="61"/>
  <c r="G52" i="61"/>
  <c r="G53" i="61"/>
  <c r="D37" i="61"/>
  <c r="D48" i="61" s="1"/>
  <c r="F42" i="61"/>
  <c r="F43" i="61" s="1"/>
  <c r="E37" i="61"/>
  <c r="E48" i="61" s="1"/>
  <c r="E50" i="61" s="1"/>
  <c r="E54" i="61" s="1"/>
  <c r="D27" i="61"/>
  <c r="D29" i="61" s="1"/>
  <c r="D49" i="61" s="1"/>
  <c r="C50" i="61"/>
  <c r="C54" i="61" s="1"/>
  <c r="F15" i="61"/>
  <c r="F23" i="61"/>
  <c r="F9" i="61"/>
  <c r="F17" i="61"/>
  <c r="F25" i="61"/>
  <c r="B27" i="61"/>
  <c r="B29" i="61" s="1"/>
  <c r="B49" i="61" s="1"/>
  <c r="B37" i="61"/>
  <c r="B40" i="61"/>
  <c r="B43" i="61"/>
  <c r="F45" i="61"/>
  <c r="F47" i="61" s="1"/>
  <c r="G32" i="61"/>
  <c r="G39" i="61"/>
  <c r="G40" i="61" s="1"/>
  <c r="G42" i="61"/>
  <c r="G43" i="61" s="1"/>
  <c r="G45" i="61"/>
  <c r="G9" i="61"/>
  <c r="G47" i="61" l="1"/>
  <c r="G27" i="61"/>
  <c r="G29" i="61" s="1"/>
  <c r="G49" i="61" s="1"/>
  <c r="F48" i="61"/>
  <c r="G37" i="61"/>
  <c r="G48" i="61" s="1"/>
  <c r="G50" i="61" s="1"/>
  <c r="G54" i="61" s="1"/>
  <c r="D50" i="61"/>
  <c r="D54" i="61" s="1"/>
  <c r="B48" i="61"/>
  <c r="B50" i="61" s="1"/>
  <c r="B54" i="61" s="1"/>
  <c r="F27" i="61"/>
  <c r="F29" i="61" s="1"/>
  <c r="F49" i="61" s="1"/>
  <c r="F50" i="61" s="1"/>
  <c r="F54" i="61" s="1"/>
  <c r="E10" i="60" l="1"/>
  <c r="I10" i="60"/>
  <c r="M10" i="60"/>
  <c r="W10" i="60"/>
  <c r="X10" i="60"/>
  <c r="Y10" i="60"/>
  <c r="Z10" i="60" s="1"/>
  <c r="AE10" i="60"/>
  <c r="AO10" i="60"/>
  <c r="AS10" i="60" s="1"/>
  <c r="AP10" i="60"/>
  <c r="AQ10" i="60"/>
  <c r="AU10" i="60" s="1"/>
  <c r="E11" i="60"/>
  <c r="I11" i="60"/>
  <c r="M11" i="60"/>
  <c r="W11" i="60"/>
  <c r="X11" i="60"/>
  <c r="Y11" i="60"/>
  <c r="AE11" i="60"/>
  <c r="AI11" i="60"/>
  <c r="AO11" i="60"/>
  <c r="AP11" i="60"/>
  <c r="AQ11" i="60"/>
  <c r="E12" i="60"/>
  <c r="I12" i="60"/>
  <c r="M12" i="60"/>
  <c r="W12" i="60"/>
  <c r="X12" i="60"/>
  <c r="Y12" i="60"/>
  <c r="Z12" i="60"/>
  <c r="AE12" i="60"/>
  <c r="AI12" i="60"/>
  <c r="AO12" i="60"/>
  <c r="AP12" i="60"/>
  <c r="AT12" i="60" s="1"/>
  <c r="AQ12" i="60"/>
  <c r="AU12" i="60" s="1"/>
  <c r="AU11" i="60" l="1"/>
  <c r="Z11" i="60"/>
  <c r="AR10" i="60"/>
  <c r="AT11" i="60"/>
  <c r="AV11" i="60" s="1"/>
  <c r="AS12" i="60"/>
  <c r="AR11" i="60"/>
  <c r="AS11" i="60"/>
  <c r="AT10" i="60"/>
  <c r="AV10" i="60" s="1"/>
  <c r="AV12" i="60"/>
  <c r="AR12" i="60"/>
  <c r="AK11" i="59" l="1"/>
  <c r="AK12" i="59"/>
  <c r="AK13" i="59"/>
  <c r="AK14" i="59"/>
  <c r="AK15" i="59"/>
  <c r="AK16" i="59"/>
  <c r="AK17" i="59"/>
  <c r="AK18" i="59"/>
  <c r="AK19" i="59"/>
  <c r="AK20" i="59"/>
  <c r="AK21" i="59"/>
  <c r="AK22" i="59"/>
  <c r="AK23" i="59"/>
  <c r="AK24" i="59"/>
  <c r="AK25" i="59"/>
  <c r="AK26" i="59"/>
  <c r="AK27" i="59"/>
  <c r="AK10" i="59"/>
  <c r="AI11" i="59"/>
  <c r="AI12" i="59"/>
  <c r="AI13" i="59"/>
  <c r="AI14" i="59"/>
  <c r="AI15" i="59"/>
  <c r="AI16" i="59"/>
  <c r="AI17" i="59"/>
  <c r="AI18" i="59"/>
  <c r="AI19" i="59"/>
  <c r="AI20" i="59"/>
  <c r="AI21" i="59"/>
  <c r="AI22" i="59"/>
  <c r="AI23" i="59"/>
  <c r="AI24" i="59"/>
  <c r="AI25" i="59"/>
  <c r="AI26" i="59"/>
  <c r="AI27" i="59"/>
  <c r="AI10" i="59"/>
  <c r="AJ11" i="59"/>
  <c r="AJ12" i="59"/>
  <c r="AJ13" i="59"/>
  <c r="AJ14" i="59"/>
  <c r="AJ15" i="59"/>
  <c r="AJ16" i="59"/>
  <c r="AJ17" i="59"/>
  <c r="AJ18" i="59"/>
  <c r="AJ19" i="59"/>
  <c r="AJ20" i="59"/>
  <c r="AJ21" i="59"/>
  <c r="AJ22" i="59"/>
  <c r="AJ23" i="59"/>
  <c r="AJ24" i="59"/>
  <c r="AJ25" i="59"/>
  <c r="AJ26" i="59"/>
  <c r="AJ27" i="59"/>
  <c r="AJ10" i="59"/>
  <c r="S11" i="59"/>
  <c r="S12" i="59"/>
  <c r="S13" i="59"/>
  <c r="S14" i="59"/>
  <c r="S15" i="59"/>
  <c r="S16" i="59"/>
  <c r="S17" i="59"/>
  <c r="S18" i="59"/>
  <c r="S19" i="59"/>
  <c r="S20" i="59"/>
  <c r="S21" i="59"/>
  <c r="S22" i="59"/>
  <c r="S23" i="59"/>
  <c r="S24" i="59"/>
  <c r="S25" i="59"/>
  <c r="S26" i="59"/>
  <c r="S27" i="59"/>
  <c r="S10" i="59"/>
  <c r="R11" i="59"/>
  <c r="R12" i="59"/>
  <c r="R13" i="59"/>
  <c r="R14" i="59"/>
  <c r="R15" i="59"/>
  <c r="R16" i="59"/>
  <c r="R17" i="59"/>
  <c r="R18" i="59"/>
  <c r="R19" i="59"/>
  <c r="R20" i="59"/>
  <c r="R21" i="59"/>
  <c r="R22" i="59"/>
  <c r="R23" i="59"/>
  <c r="R24" i="59"/>
  <c r="R25" i="59"/>
  <c r="R26" i="59"/>
  <c r="R27" i="59"/>
  <c r="R10" i="59"/>
  <c r="M46" i="41" l="1"/>
  <c r="F101" i="54" l="1"/>
  <c r="E99" i="54"/>
  <c r="G100" i="54"/>
  <c r="F102" i="54" l="1"/>
  <c r="F99" i="54" s="1"/>
  <c r="F38" i="54"/>
  <c r="E38" i="54"/>
  <c r="F23" i="54"/>
  <c r="E23" i="54"/>
  <c r="F31" i="54"/>
  <c r="F49" i="54"/>
  <c r="E50" i="54"/>
  <c r="G50" i="54" s="1"/>
  <c r="G49" i="54" s="1"/>
  <c r="E31" i="54"/>
  <c r="F34" i="54"/>
  <c r="F30" i="54"/>
  <c r="F29" i="54"/>
  <c r="F22" i="54"/>
  <c r="E34" i="54"/>
  <c r="E30" i="54"/>
  <c r="E29" i="54"/>
  <c r="E24" i="54" l="1"/>
  <c r="E49" i="54"/>
  <c r="AQ53" i="60"/>
  <c r="Y53" i="60"/>
  <c r="V53" i="60"/>
  <c r="M53" i="60"/>
  <c r="I53" i="60"/>
  <c r="E53" i="60"/>
  <c r="AQ52" i="60"/>
  <c r="AI52" i="60"/>
  <c r="AE52" i="60"/>
  <c r="Y52" i="60"/>
  <c r="AU52" i="60" s="1"/>
  <c r="M52" i="60"/>
  <c r="I52" i="60"/>
  <c r="E52" i="60"/>
  <c r="AL48" i="60"/>
  <c r="AH48" i="60"/>
  <c r="AD48" i="60"/>
  <c r="U48" i="60"/>
  <c r="Q48" i="60"/>
  <c r="L48" i="60"/>
  <c r="H48" i="60"/>
  <c r="D48" i="60"/>
  <c r="AQ47" i="60"/>
  <c r="Y47" i="60"/>
  <c r="M47" i="60"/>
  <c r="I47" i="60"/>
  <c r="AQ46" i="60"/>
  <c r="AQ48" i="60" s="1"/>
  <c r="AJ48" i="60"/>
  <c r="AC48" i="60"/>
  <c r="Y46" i="60"/>
  <c r="S48" i="60"/>
  <c r="M46" i="60"/>
  <c r="J48" i="60"/>
  <c r="G48" i="60"/>
  <c r="AL44" i="60"/>
  <c r="AH44" i="60"/>
  <c r="AD44" i="60"/>
  <c r="U44" i="60"/>
  <c r="Q44" i="60"/>
  <c r="L44" i="60"/>
  <c r="H44" i="60"/>
  <c r="D44" i="60"/>
  <c r="AQ43" i="60"/>
  <c r="AQ44" i="60" s="1"/>
  <c r="AK44" i="60"/>
  <c r="AJ44" i="60"/>
  <c r="AG44" i="60"/>
  <c r="AF44" i="60"/>
  <c r="AC44" i="60"/>
  <c r="AB44" i="60"/>
  <c r="Y43" i="60"/>
  <c r="Y44" i="60" s="1"/>
  <c r="T44" i="60"/>
  <c r="S44" i="60"/>
  <c r="P44" i="60"/>
  <c r="O44" i="60"/>
  <c r="K44" i="60"/>
  <c r="J44" i="60"/>
  <c r="F44" i="60"/>
  <c r="W43" i="60"/>
  <c r="AL41" i="60"/>
  <c r="AH41" i="60"/>
  <c r="AD41" i="60"/>
  <c r="U41" i="60"/>
  <c r="Q41" i="60"/>
  <c r="L41" i="60"/>
  <c r="H41" i="60"/>
  <c r="D41" i="60"/>
  <c r="AQ40" i="60"/>
  <c r="AQ41" i="60" s="1"/>
  <c r="AK41" i="60"/>
  <c r="AJ41" i="60"/>
  <c r="AG41" i="60"/>
  <c r="AF41" i="60"/>
  <c r="Y40" i="60"/>
  <c r="Y41" i="60" s="1"/>
  <c r="V40" i="60"/>
  <c r="S41" i="60"/>
  <c r="P41" i="60"/>
  <c r="O41" i="60"/>
  <c r="G41" i="60"/>
  <c r="F41" i="60"/>
  <c r="C41" i="60"/>
  <c r="B41" i="60"/>
  <c r="AL38" i="60"/>
  <c r="AD38" i="60"/>
  <c r="U38" i="60"/>
  <c r="Q38" i="60"/>
  <c r="L38" i="60"/>
  <c r="H38" i="60"/>
  <c r="D38" i="60"/>
  <c r="Y37" i="60"/>
  <c r="M37" i="60"/>
  <c r="I37" i="60"/>
  <c r="AQ36" i="60"/>
  <c r="AC36" i="60"/>
  <c r="AB36" i="60"/>
  <c r="Y36" i="60"/>
  <c r="M36" i="60"/>
  <c r="I36" i="60"/>
  <c r="AQ35" i="60"/>
  <c r="AC35" i="60"/>
  <c r="AE35" i="60" s="1"/>
  <c r="AB35" i="60"/>
  <c r="Y35" i="60"/>
  <c r="M35" i="60"/>
  <c r="I35" i="60"/>
  <c r="AQ34" i="60"/>
  <c r="AC34" i="60"/>
  <c r="AB34" i="60"/>
  <c r="Y34" i="60"/>
  <c r="V34" i="60"/>
  <c r="M34" i="60"/>
  <c r="I34" i="60"/>
  <c r="E34" i="60"/>
  <c r="AQ33" i="60"/>
  <c r="AI33" i="60"/>
  <c r="AC33" i="60"/>
  <c r="AB33" i="60"/>
  <c r="Y33" i="60"/>
  <c r="M33" i="60"/>
  <c r="I33" i="60"/>
  <c r="E33" i="60"/>
  <c r="AQ29" i="60"/>
  <c r="AI29" i="60"/>
  <c r="AE29" i="60"/>
  <c r="Y29" i="60"/>
  <c r="M29" i="60"/>
  <c r="I29" i="60"/>
  <c r="E29" i="60"/>
  <c r="AL28" i="60"/>
  <c r="AL30" i="60" s="1"/>
  <c r="AL50" i="60" s="1"/>
  <c r="AH28" i="60"/>
  <c r="U28" i="60"/>
  <c r="U30" i="60" s="1"/>
  <c r="U50" i="60" s="1"/>
  <c r="Q28" i="60"/>
  <c r="Q30" i="60" s="1"/>
  <c r="Q50" i="60" s="1"/>
  <c r="D28" i="60"/>
  <c r="AQ27" i="60"/>
  <c r="Y27" i="60"/>
  <c r="M27" i="60"/>
  <c r="I27" i="60"/>
  <c r="AQ26" i="60"/>
  <c r="AI26" i="60"/>
  <c r="AE26" i="60"/>
  <c r="Y26" i="60"/>
  <c r="M26" i="60"/>
  <c r="I26" i="60"/>
  <c r="AQ25" i="60"/>
  <c r="AE25" i="60"/>
  <c r="Y25" i="60"/>
  <c r="AU25" i="60" s="1"/>
  <c r="M25" i="60"/>
  <c r="I25" i="60"/>
  <c r="E25" i="60"/>
  <c r="AQ24" i="60"/>
  <c r="Y24" i="60"/>
  <c r="M24" i="60"/>
  <c r="I24" i="60"/>
  <c r="E24" i="60"/>
  <c r="AQ23" i="60"/>
  <c r="AI23" i="60"/>
  <c r="Y23" i="60"/>
  <c r="M23" i="60"/>
  <c r="I23" i="60"/>
  <c r="AQ22" i="60"/>
  <c r="AI22" i="60"/>
  <c r="Y22" i="60"/>
  <c r="M22" i="60"/>
  <c r="I22" i="60"/>
  <c r="AQ21" i="60"/>
  <c r="Y21" i="60"/>
  <c r="M21" i="60"/>
  <c r="I21" i="60"/>
  <c r="AQ20" i="60"/>
  <c r="AE20" i="60"/>
  <c r="Y20" i="60"/>
  <c r="M20" i="60"/>
  <c r="I20" i="60"/>
  <c r="AQ19" i="60"/>
  <c r="AI19" i="60"/>
  <c r="Y19" i="60"/>
  <c r="M19" i="60"/>
  <c r="I19" i="60"/>
  <c r="AQ18" i="60"/>
  <c r="AE18" i="60"/>
  <c r="M18" i="60"/>
  <c r="AQ17" i="60"/>
  <c r="AI17" i="60"/>
  <c r="AD28" i="60"/>
  <c r="Y17" i="60"/>
  <c r="M17" i="60"/>
  <c r="I17" i="60"/>
  <c r="E17" i="60"/>
  <c r="AQ16" i="60"/>
  <c r="AI16" i="60"/>
  <c r="Y16" i="60"/>
  <c r="M16" i="60"/>
  <c r="I16" i="60"/>
  <c r="E16" i="60"/>
  <c r="AQ15" i="60"/>
  <c r="AI15" i="60"/>
  <c r="Y15" i="60"/>
  <c r="M15" i="60"/>
  <c r="I15" i="60"/>
  <c r="E15" i="60"/>
  <c r="AQ14" i="60"/>
  <c r="AI14" i="60"/>
  <c r="AE14" i="60"/>
  <c r="Y14" i="60"/>
  <c r="M14" i="60"/>
  <c r="I14" i="60"/>
  <c r="E14" i="60"/>
  <c r="AQ13" i="60"/>
  <c r="AE13" i="60"/>
  <c r="M13" i="60"/>
  <c r="H28" i="60"/>
  <c r="I13" i="60"/>
  <c r="Y13" i="60"/>
  <c r="E13" i="60"/>
  <c r="L28" i="60"/>
  <c r="G56" i="59"/>
  <c r="F56" i="59"/>
  <c r="C56" i="59"/>
  <c r="B56" i="59"/>
  <c r="AY53" i="59"/>
  <c r="BB53" i="59"/>
  <c r="AP53" i="59"/>
  <c r="AK53" i="59"/>
  <c r="Z53" i="59"/>
  <c r="Q53" i="59"/>
  <c r="I53" i="59"/>
  <c r="BB52" i="59"/>
  <c r="AY52" i="59"/>
  <c r="AP52" i="59"/>
  <c r="AK52" i="59"/>
  <c r="T52" i="59"/>
  <c r="K52" i="59"/>
  <c r="AX48" i="59"/>
  <c r="AO48" i="59"/>
  <c r="AM48" i="59"/>
  <c r="AG48" i="59"/>
  <c r="AC48" i="59"/>
  <c r="Y48" i="59"/>
  <c r="P48" i="59"/>
  <c r="L48" i="59"/>
  <c r="H48" i="59"/>
  <c r="D48" i="59"/>
  <c r="BB47" i="59"/>
  <c r="AY47" i="59"/>
  <c r="AP47" i="59"/>
  <c r="AK47" i="59"/>
  <c r="T47" i="59"/>
  <c r="I47" i="59"/>
  <c r="E47" i="59"/>
  <c r="AT48" i="59"/>
  <c r="AK46" i="59"/>
  <c r="T46" i="59"/>
  <c r="T48" i="59" s="1"/>
  <c r="K48" i="59"/>
  <c r="I46" i="59"/>
  <c r="F48" i="59"/>
  <c r="AX44" i="59"/>
  <c r="AO44" i="59"/>
  <c r="AM44" i="59"/>
  <c r="AG44" i="59"/>
  <c r="AC44" i="59"/>
  <c r="P44" i="59"/>
  <c r="L44" i="59"/>
  <c r="H44" i="59"/>
  <c r="D44" i="59"/>
  <c r="BB43" i="59"/>
  <c r="AV44" i="59"/>
  <c r="AT44" i="59"/>
  <c r="AF44" i="59"/>
  <c r="AE44" i="59"/>
  <c r="AA44" i="59"/>
  <c r="Y43" i="59"/>
  <c r="AK43" i="59" s="1"/>
  <c r="T43" i="59"/>
  <c r="T44" i="59" s="1"/>
  <c r="O44" i="59"/>
  <c r="N44" i="59"/>
  <c r="K44" i="59"/>
  <c r="J44" i="59"/>
  <c r="F44" i="59"/>
  <c r="C44" i="59"/>
  <c r="B44" i="59"/>
  <c r="AX41" i="59"/>
  <c r="AT41" i="59"/>
  <c r="AO41" i="59"/>
  <c r="AM41" i="59"/>
  <c r="AG41" i="59"/>
  <c r="AC41" i="59"/>
  <c r="Y41" i="59"/>
  <c r="P41" i="59"/>
  <c r="L41" i="59"/>
  <c r="H41" i="59"/>
  <c r="D41" i="59"/>
  <c r="BB40" i="59"/>
  <c r="BB41" i="59" s="1"/>
  <c r="AW41" i="59"/>
  <c r="AV41" i="59"/>
  <c r="AU40" i="59"/>
  <c r="AR41" i="59"/>
  <c r="AN41" i="59"/>
  <c r="AP41" i="59" s="1"/>
  <c r="AK40" i="59"/>
  <c r="AF41" i="59"/>
  <c r="AE41" i="59"/>
  <c r="AA41" i="59"/>
  <c r="X41" i="59"/>
  <c r="T40" i="59"/>
  <c r="T41" i="59" s="1"/>
  <c r="O41" i="59"/>
  <c r="N41" i="59"/>
  <c r="K41" i="59"/>
  <c r="J41" i="59"/>
  <c r="G41" i="59"/>
  <c r="F41" i="59"/>
  <c r="B41" i="59"/>
  <c r="AX38" i="59"/>
  <c r="AO38" i="59"/>
  <c r="AM38" i="59"/>
  <c r="AG38" i="59"/>
  <c r="AC38" i="59"/>
  <c r="Y38" i="59"/>
  <c r="P38" i="59"/>
  <c r="L38" i="59"/>
  <c r="L49" i="59" s="1"/>
  <c r="H38" i="59"/>
  <c r="D38" i="59"/>
  <c r="AY37" i="59"/>
  <c r="AR37" i="59"/>
  <c r="AP37" i="59"/>
  <c r="AK37" i="59"/>
  <c r="AD37" i="59"/>
  <c r="Z37" i="59"/>
  <c r="T37" i="59"/>
  <c r="M37" i="59"/>
  <c r="I37" i="59"/>
  <c r="AY36" i="59"/>
  <c r="BB36" i="59"/>
  <c r="AR36" i="59"/>
  <c r="AP36" i="59"/>
  <c r="AK36" i="59"/>
  <c r="AI36" i="59"/>
  <c r="T36" i="59"/>
  <c r="M36" i="59"/>
  <c r="I36" i="59"/>
  <c r="AY35" i="59"/>
  <c r="AR35" i="59"/>
  <c r="AP35" i="59"/>
  <c r="AK35" i="59"/>
  <c r="AH35" i="59"/>
  <c r="T35" i="59"/>
  <c r="M35" i="59"/>
  <c r="I35" i="59"/>
  <c r="E35" i="59"/>
  <c r="AY34" i="59"/>
  <c r="BB34" i="59"/>
  <c r="AR34" i="59"/>
  <c r="AZ34" i="59" s="1"/>
  <c r="AP34" i="59"/>
  <c r="AK34" i="59"/>
  <c r="T34" i="59"/>
  <c r="E34" i="59"/>
  <c r="BB33" i="59"/>
  <c r="AT38" i="59"/>
  <c r="AR33" i="59"/>
  <c r="AP33" i="59"/>
  <c r="AK33" i="59"/>
  <c r="AD33" i="59"/>
  <c r="AA38" i="59"/>
  <c r="Z33" i="59"/>
  <c r="T33" i="59"/>
  <c r="R33" i="59"/>
  <c r="BB29" i="59"/>
  <c r="AW29" i="59"/>
  <c r="AY29" i="59" s="1"/>
  <c r="AV29" i="59"/>
  <c r="AR29" i="59"/>
  <c r="AN29" i="59"/>
  <c r="AP29" i="59" s="1"/>
  <c r="AK29" i="59"/>
  <c r="AF29" i="59"/>
  <c r="AE29" i="59"/>
  <c r="AB29" i="59"/>
  <c r="AA29" i="59"/>
  <c r="X29" i="59"/>
  <c r="W29" i="59"/>
  <c r="T29" i="59"/>
  <c r="O29" i="59"/>
  <c r="N29" i="59"/>
  <c r="K29" i="59"/>
  <c r="J29" i="59"/>
  <c r="G29" i="59"/>
  <c r="F29" i="59"/>
  <c r="E29" i="59"/>
  <c r="AM28" i="59"/>
  <c r="AM30" i="59" s="1"/>
  <c r="AM50" i="59" s="1"/>
  <c r="AG28" i="59"/>
  <c r="AG30" i="59" s="1"/>
  <c r="AG50" i="59" s="1"/>
  <c r="AC28" i="59"/>
  <c r="AC30" i="59" s="1"/>
  <c r="AC50" i="59" s="1"/>
  <c r="Y28" i="59"/>
  <c r="Y30" i="59" s="1"/>
  <c r="P28" i="59"/>
  <c r="P30" i="59" s="1"/>
  <c r="P50" i="59" s="1"/>
  <c r="H28" i="59"/>
  <c r="H30" i="59" s="1"/>
  <c r="D28" i="59"/>
  <c r="D30" i="59" s="1"/>
  <c r="BB27" i="59"/>
  <c r="AY27" i="59"/>
  <c r="AU27" i="59"/>
  <c r="AP27" i="59"/>
  <c r="BB26" i="59"/>
  <c r="AY26" i="59"/>
  <c r="AZ26" i="59"/>
  <c r="AP26" i="59"/>
  <c r="BB25" i="59"/>
  <c r="AY25" i="59"/>
  <c r="E25" i="59"/>
  <c r="AY24" i="59"/>
  <c r="BB24" i="59"/>
  <c r="BF24" i="59" s="1"/>
  <c r="AP24" i="59"/>
  <c r="E24" i="59"/>
  <c r="BB23" i="59"/>
  <c r="AY23" i="59"/>
  <c r="AP23" i="59"/>
  <c r="I23" i="59"/>
  <c r="AY22" i="59"/>
  <c r="BB22" i="59"/>
  <c r="AP22" i="59"/>
  <c r="E22" i="59"/>
  <c r="AY21" i="59"/>
  <c r="BB21" i="59"/>
  <c r="AP21" i="59"/>
  <c r="M21" i="59"/>
  <c r="AY20" i="59"/>
  <c r="BB20" i="59"/>
  <c r="AP20" i="59"/>
  <c r="L28" i="59"/>
  <c r="L30" i="59" s="1"/>
  <c r="M20" i="59"/>
  <c r="E20" i="59"/>
  <c r="BB19" i="59"/>
  <c r="AY19" i="59"/>
  <c r="AP19" i="59"/>
  <c r="AY18" i="59"/>
  <c r="BB18" i="59"/>
  <c r="AP18" i="59"/>
  <c r="E18" i="59"/>
  <c r="AX28" i="59"/>
  <c r="AY17" i="59"/>
  <c r="BB17" i="59"/>
  <c r="AP17" i="59"/>
  <c r="BB16" i="59"/>
  <c r="AY16" i="59"/>
  <c r="AP16" i="59"/>
  <c r="AY15" i="59"/>
  <c r="BB15" i="59"/>
  <c r="BA15" i="59"/>
  <c r="AP15" i="59"/>
  <c r="E15" i="59"/>
  <c r="AY14" i="59"/>
  <c r="BB14" i="59"/>
  <c r="AU14" i="59"/>
  <c r="AP14" i="59"/>
  <c r="M14" i="59"/>
  <c r="AY13" i="59"/>
  <c r="BB13" i="59"/>
  <c r="E13" i="59"/>
  <c r="AY12" i="59"/>
  <c r="BB12" i="59"/>
  <c r="AU12" i="59"/>
  <c r="AP12" i="59"/>
  <c r="I12" i="59"/>
  <c r="AY11" i="59"/>
  <c r="BB11" i="59"/>
  <c r="AO28" i="59"/>
  <c r="E11" i="59"/>
  <c r="BB10" i="59"/>
  <c r="AU10" i="59"/>
  <c r="AP10" i="59"/>
  <c r="F58" i="41"/>
  <c r="F57" i="41"/>
  <c r="BF29" i="59" l="1"/>
  <c r="Y44" i="59"/>
  <c r="T38" i="59"/>
  <c r="AK38" i="59"/>
  <c r="H49" i="59"/>
  <c r="Z41" i="59"/>
  <c r="AL49" i="60"/>
  <c r="E44" i="59"/>
  <c r="P49" i="59"/>
  <c r="AM49" i="59"/>
  <c r="AU47" i="60"/>
  <c r="Y48" i="60"/>
  <c r="AU43" i="60"/>
  <c r="AU35" i="60"/>
  <c r="AU17" i="60"/>
  <c r="AU20" i="60"/>
  <c r="AU23" i="60"/>
  <c r="AQ28" i="60"/>
  <c r="AQ30" i="60" s="1"/>
  <c r="BF33" i="59"/>
  <c r="BF23" i="59"/>
  <c r="BF11" i="59"/>
  <c r="BF13" i="59"/>
  <c r="BF26" i="59"/>
  <c r="BF12" i="59"/>
  <c r="BF14" i="59"/>
  <c r="BF10" i="59"/>
  <c r="BF18" i="59"/>
  <c r="BF15" i="59"/>
  <c r="BF27" i="59"/>
  <c r="BF25" i="59"/>
  <c r="BF47" i="59"/>
  <c r="BF43" i="59"/>
  <c r="D49" i="59"/>
  <c r="BF40" i="59"/>
  <c r="BF41" i="59" s="1"/>
  <c r="AZ25" i="59"/>
  <c r="BA26" i="59"/>
  <c r="BC26" i="59" s="1"/>
  <c r="BA19" i="59"/>
  <c r="O48" i="59"/>
  <c r="AO18" i="60"/>
  <c r="AO19" i="60"/>
  <c r="O48" i="60"/>
  <c r="AZ14" i="59"/>
  <c r="BD14" i="59" s="1"/>
  <c r="BC15" i="59"/>
  <c r="E43" i="59"/>
  <c r="BA13" i="59"/>
  <c r="AZ17" i="59"/>
  <c r="BD17" i="59" s="1"/>
  <c r="BA18" i="59"/>
  <c r="BA34" i="59"/>
  <c r="BC34" i="59" s="1"/>
  <c r="AZ36" i="59"/>
  <c r="AZ16" i="59"/>
  <c r="BA17" i="59"/>
  <c r="BA37" i="59"/>
  <c r="AZ43" i="59"/>
  <c r="AZ44" i="59" s="1"/>
  <c r="AB48" i="59"/>
  <c r="AN48" i="59"/>
  <c r="AZ53" i="59"/>
  <c r="BC13" i="59"/>
  <c r="BF22" i="59"/>
  <c r="BF17" i="59"/>
  <c r="AZ20" i="59"/>
  <c r="AZ21" i="59"/>
  <c r="BA22" i="59"/>
  <c r="BC22" i="59" s="1"/>
  <c r="AZ24" i="59"/>
  <c r="U25" i="59"/>
  <c r="AP25" i="59"/>
  <c r="U26" i="59"/>
  <c r="AU26" i="59"/>
  <c r="K38" i="59"/>
  <c r="K49" i="59" s="1"/>
  <c r="M49" i="59" s="1"/>
  <c r="BA35" i="59"/>
  <c r="AP40" i="59"/>
  <c r="BA53" i="59"/>
  <c r="AO36" i="60"/>
  <c r="T48" i="60"/>
  <c r="AF48" i="60"/>
  <c r="F28" i="59"/>
  <c r="F30" i="59" s="1"/>
  <c r="F50" i="59" s="1"/>
  <c r="N28" i="59"/>
  <c r="X28" i="59"/>
  <c r="X30" i="59" s="1"/>
  <c r="AR28" i="59"/>
  <c r="AR30" i="59" s="1"/>
  <c r="AR50" i="59" s="1"/>
  <c r="AW28" i="59"/>
  <c r="AW30" i="59" s="1"/>
  <c r="AW50" i="59" s="1"/>
  <c r="AZ11" i="59"/>
  <c r="BD11" i="59" s="1"/>
  <c r="BA20" i="59"/>
  <c r="BC20" i="59" s="1"/>
  <c r="AJ36" i="59"/>
  <c r="AJ46" i="59"/>
  <c r="BA46" i="59"/>
  <c r="AZ47" i="59"/>
  <c r="F48" i="60"/>
  <c r="AO47" i="60"/>
  <c r="AR38" i="59"/>
  <c r="AO37" i="60"/>
  <c r="O28" i="59"/>
  <c r="O30" i="59" s="1"/>
  <c r="O50" i="59" s="1"/>
  <c r="BA11" i="59"/>
  <c r="BC11" i="59" s="1"/>
  <c r="AZ12" i="59"/>
  <c r="AZ13" i="59"/>
  <c r="BA14" i="59"/>
  <c r="U15" i="59"/>
  <c r="AZ15" i="59"/>
  <c r="BA16" i="59"/>
  <c r="BC16" i="59" s="1"/>
  <c r="BC17" i="59"/>
  <c r="U19" i="59"/>
  <c r="AZ27" i="59"/>
  <c r="AZ29" i="59"/>
  <c r="M33" i="59"/>
  <c r="AI34" i="59"/>
  <c r="AI35" i="59"/>
  <c r="AZ37" i="59"/>
  <c r="Z46" i="59"/>
  <c r="AF48" i="59"/>
  <c r="AP46" i="59"/>
  <c r="AU46" i="59"/>
  <c r="W14" i="60"/>
  <c r="X21" i="60"/>
  <c r="Z21" i="60" s="1"/>
  <c r="AO21" i="60"/>
  <c r="AO27" i="60"/>
  <c r="E40" i="60"/>
  <c r="AI44" i="60"/>
  <c r="B48" i="60"/>
  <c r="I46" i="60"/>
  <c r="P48" i="60"/>
  <c r="W52" i="60"/>
  <c r="G28" i="59"/>
  <c r="G30" i="59" s="1"/>
  <c r="G50" i="59" s="1"/>
  <c r="AZ22" i="59"/>
  <c r="AZ23" i="59"/>
  <c r="AE38" i="59"/>
  <c r="AJ35" i="59"/>
  <c r="AL35" i="59" s="1"/>
  <c r="AS41" i="59"/>
  <c r="AU41" i="59" s="1"/>
  <c r="AV48" i="59"/>
  <c r="AJ52" i="59"/>
  <c r="AZ52" i="59"/>
  <c r="E53" i="59"/>
  <c r="AI53" i="59"/>
  <c r="AU53" i="59"/>
  <c r="AO16" i="60"/>
  <c r="AP20" i="60"/>
  <c r="AR20" i="60" s="1"/>
  <c r="E21" i="60"/>
  <c r="AO26" i="60"/>
  <c r="M43" i="60"/>
  <c r="AE43" i="60"/>
  <c r="W28" i="59"/>
  <c r="W30" i="59" s="1"/>
  <c r="W50" i="59" s="1"/>
  <c r="AP15" i="60"/>
  <c r="AO22" i="60"/>
  <c r="F38" i="60"/>
  <c r="T38" i="60"/>
  <c r="V38" i="60" s="1"/>
  <c r="AF38" i="60"/>
  <c r="AJ29" i="59"/>
  <c r="AL29" i="59" s="1"/>
  <c r="Z29" i="59"/>
  <c r="AP22" i="60"/>
  <c r="AE22" i="60"/>
  <c r="AC41" i="60"/>
  <c r="AE41" i="60" s="1"/>
  <c r="AP40" i="60"/>
  <c r="AR40" i="60" s="1"/>
  <c r="AE40" i="60"/>
  <c r="B28" i="59"/>
  <c r="B30" i="59" s="1"/>
  <c r="B50" i="59" s="1"/>
  <c r="AN28" i="59"/>
  <c r="AN30" i="59" s="1"/>
  <c r="AN50" i="59" s="1"/>
  <c r="BA10" i="59"/>
  <c r="BC10" i="59" s="1"/>
  <c r="U11" i="59"/>
  <c r="U12" i="59"/>
  <c r="BA12" i="59"/>
  <c r="BC12" i="59" s="1"/>
  <c r="U13" i="59"/>
  <c r="AP13" i="59"/>
  <c r="BE14" i="59"/>
  <c r="BG14" i="59" s="1"/>
  <c r="M15" i="59"/>
  <c r="BE16" i="59"/>
  <c r="U17" i="59"/>
  <c r="AU17" i="59"/>
  <c r="U18" i="59"/>
  <c r="AZ18" i="59"/>
  <c r="BA21" i="59"/>
  <c r="AU21" i="59"/>
  <c r="AU23" i="59"/>
  <c r="BA23" i="59"/>
  <c r="BC23" i="59" s="1"/>
  <c r="X44" i="59"/>
  <c r="K28" i="60"/>
  <c r="K30" i="60" s="1"/>
  <c r="K50" i="60" s="1"/>
  <c r="AF28" i="60"/>
  <c r="AF30" i="60" s="1"/>
  <c r="AF50" i="60" s="1"/>
  <c r="X22" i="60"/>
  <c r="E22" i="60"/>
  <c r="X35" i="60"/>
  <c r="E35" i="60"/>
  <c r="K41" i="60"/>
  <c r="M41" i="60" s="1"/>
  <c r="M40" i="60"/>
  <c r="B44" i="60"/>
  <c r="J28" i="59"/>
  <c r="J30" i="59" s="1"/>
  <c r="J50" i="59" s="1"/>
  <c r="BC14" i="59"/>
  <c r="G38" i="59"/>
  <c r="I38" i="59" s="1"/>
  <c r="I33" i="59"/>
  <c r="AB44" i="59"/>
  <c r="AD44" i="59" s="1"/>
  <c r="AD43" i="59"/>
  <c r="AP24" i="60"/>
  <c r="AR24" i="60" s="1"/>
  <c r="AE24" i="60"/>
  <c r="AE36" i="60"/>
  <c r="AP36" i="60"/>
  <c r="AR36" i="60" s="1"/>
  <c r="BA24" i="59"/>
  <c r="BC24" i="59" s="1"/>
  <c r="AU24" i="59"/>
  <c r="AF38" i="59"/>
  <c r="G44" i="59"/>
  <c r="I44" i="59" s="1"/>
  <c r="I43" i="59"/>
  <c r="B48" i="59"/>
  <c r="R46" i="59"/>
  <c r="J48" i="59"/>
  <c r="AA48" i="59"/>
  <c r="AA49" i="59" s="1"/>
  <c r="AR48" i="59"/>
  <c r="AZ46" i="59"/>
  <c r="AZ48" i="59" s="1"/>
  <c r="X16" i="60"/>
  <c r="AE27" i="60"/>
  <c r="AP27" i="60"/>
  <c r="AR27" i="60" s="1"/>
  <c r="AP34" i="60"/>
  <c r="AR34" i="60" s="1"/>
  <c r="AE34" i="60"/>
  <c r="AP53" i="60"/>
  <c r="AR53" i="60" s="1"/>
  <c r="AE53" i="60"/>
  <c r="N30" i="59"/>
  <c r="N50" i="59" s="1"/>
  <c r="AV28" i="59"/>
  <c r="AV30" i="59" s="1"/>
  <c r="AV50" i="59" s="1"/>
  <c r="BA36" i="59"/>
  <c r="BC36" i="59" s="1"/>
  <c r="AU36" i="59"/>
  <c r="AN44" i="59"/>
  <c r="AP44" i="59" s="1"/>
  <c r="AP43" i="59"/>
  <c r="C48" i="59"/>
  <c r="E46" i="59"/>
  <c r="AK38" i="60"/>
  <c r="X37" i="60"/>
  <c r="Z37" i="60" s="1"/>
  <c r="E37" i="60"/>
  <c r="AB48" i="60"/>
  <c r="AO46" i="60"/>
  <c r="AO48" i="60" s="1"/>
  <c r="X52" i="60"/>
  <c r="Z52" i="60" s="1"/>
  <c r="AZ19" i="59"/>
  <c r="BD19" i="59" s="1"/>
  <c r="U21" i="59"/>
  <c r="BC21" i="59"/>
  <c r="BA25" i="59"/>
  <c r="BC25" i="59" s="1"/>
  <c r="S33" i="59"/>
  <c r="U33" i="59" s="1"/>
  <c r="W38" i="59"/>
  <c r="AU34" i="59"/>
  <c r="AZ35" i="59"/>
  <c r="BA40" i="59"/>
  <c r="BA41" i="59" s="1"/>
  <c r="BC41" i="59" s="1"/>
  <c r="S47" i="59"/>
  <c r="U47" i="59" s="1"/>
  <c r="R47" i="59"/>
  <c r="AJ47" i="59"/>
  <c r="R52" i="59"/>
  <c r="R53" i="59"/>
  <c r="F28" i="60"/>
  <c r="F30" i="60" s="1"/>
  <c r="F50" i="60" s="1"/>
  <c r="AP13" i="60"/>
  <c r="AR13" i="60" s="1"/>
  <c r="W15" i="60"/>
  <c r="AP16" i="60"/>
  <c r="AR16" i="60" s="1"/>
  <c r="X17" i="60"/>
  <c r="AO17" i="60"/>
  <c r="W18" i="60"/>
  <c r="AP19" i="60"/>
  <c r="AR19" i="60" s="1"/>
  <c r="W20" i="60"/>
  <c r="X23" i="60"/>
  <c r="AP23" i="60"/>
  <c r="AP25" i="60"/>
  <c r="AR25" i="60" s="1"/>
  <c r="X29" i="60"/>
  <c r="Z29" i="60" s="1"/>
  <c r="AO29" i="60"/>
  <c r="O38" i="60"/>
  <c r="AG38" i="60"/>
  <c r="I41" i="60"/>
  <c r="AK48" i="60"/>
  <c r="AU25" i="59"/>
  <c r="E33" i="59"/>
  <c r="AJ34" i="59"/>
  <c r="AI37" i="59"/>
  <c r="N48" i="59"/>
  <c r="X48" i="59"/>
  <c r="Z48" i="59" s="1"/>
  <c r="AI47" i="59"/>
  <c r="S52" i="59"/>
  <c r="AI52" i="59"/>
  <c r="AJ53" i="59"/>
  <c r="B28" i="60"/>
  <c r="B30" i="60" s="1"/>
  <c r="B50" i="60" s="1"/>
  <c r="G28" i="60"/>
  <c r="G30" i="60" s="1"/>
  <c r="G50" i="60" s="1"/>
  <c r="AB28" i="60"/>
  <c r="AB30" i="60" s="1"/>
  <c r="AB50" i="60" s="1"/>
  <c r="AJ28" i="60"/>
  <c r="AJ30" i="60" s="1"/>
  <c r="AJ50" i="60" s="1"/>
  <c r="W13" i="60"/>
  <c r="AO13" i="60"/>
  <c r="X14" i="60"/>
  <c r="Z14" i="60" s="1"/>
  <c r="AO14" i="60"/>
  <c r="AS14" i="60" s="1"/>
  <c r="W16" i="60"/>
  <c r="AP17" i="60"/>
  <c r="AR17" i="60" s="1"/>
  <c r="AE19" i="60"/>
  <c r="AO20" i="60"/>
  <c r="W21" i="60"/>
  <c r="AS21" i="60" s="1"/>
  <c r="E23" i="60"/>
  <c r="AE23" i="60"/>
  <c r="W27" i="60"/>
  <c r="X33" i="60"/>
  <c r="Z33" i="60" s="1"/>
  <c r="P38" i="60"/>
  <c r="P49" i="60" s="1"/>
  <c r="W34" i="60"/>
  <c r="AO35" i="60"/>
  <c r="W36" i="60"/>
  <c r="AO52" i="60"/>
  <c r="BE20" i="59"/>
  <c r="AI29" i="59"/>
  <c r="AV38" i="59"/>
  <c r="AV49" i="59" s="1"/>
  <c r="R34" i="59"/>
  <c r="R36" i="59"/>
  <c r="R37" i="59"/>
  <c r="C28" i="60"/>
  <c r="C30" i="60" s="1"/>
  <c r="C50" i="60" s="1"/>
  <c r="P28" i="60"/>
  <c r="P30" i="60" s="1"/>
  <c r="P50" i="60" s="1"/>
  <c r="AC28" i="60"/>
  <c r="AC30" i="60" s="1"/>
  <c r="AC50" i="60" s="1"/>
  <c r="AK28" i="60"/>
  <c r="AK30" i="60" s="1"/>
  <c r="AK50" i="60" s="1"/>
  <c r="X13" i="60"/>
  <c r="X15" i="60"/>
  <c r="AO15" i="60"/>
  <c r="W17" i="60"/>
  <c r="AS18" i="60"/>
  <c r="W19" i="60"/>
  <c r="W22" i="60"/>
  <c r="AR22" i="60"/>
  <c r="AO24" i="60"/>
  <c r="W25" i="60"/>
  <c r="AO25" i="60"/>
  <c r="W26" i="60"/>
  <c r="K38" i="60"/>
  <c r="M38" i="60" s="1"/>
  <c r="S38" i="60"/>
  <c r="S49" i="60" s="1"/>
  <c r="AC38" i="60"/>
  <c r="AJ38" i="60"/>
  <c r="AJ49" i="60" s="1"/>
  <c r="AO34" i="60"/>
  <c r="W35" i="60"/>
  <c r="W47" i="60"/>
  <c r="AS47" i="60" s="1"/>
  <c r="X53" i="60"/>
  <c r="W53" i="60"/>
  <c r="AO53" i="60"/>
  <c r="M28" i="60"/>
  <c r="L30" i="60"/>
  <c r="AU13" i="60"/>
  <c r="H30" i="60"/>
  <c r="AR15" i="60"/>
  <c r="AP14" i="60"/>
  <c r="AQ37" i="60"/>
  <c r="AU37" i="60" s="1"/>
  <c r="AI37" i="60"/>
  <c r="AH38" i="60"/>
  <c r="S28" i="60"/>
  <c r="S30" i="60" s="1"/>
  <c r="S50" i="60" s="1"/>
  <c r="AU14" i="60"/>
  <c r="AE15" i="60"/>
  <c r="AU15" i="60"/>
  <c r="AE16" i="60"/>
  <c r="AU16" i="60"/>
  <c r="AE28" i="60"/>
  <c r="AD30" i="60"/>
  <c r="AU22" i="60"/>
  <c r="Z35" i="60"/>
  <c r="AP41" i="60"/>
  <c r="AR41" i="60" s="1"/>
  <c r="AD49" i="60"/>
  <c r="T28" i="60"/>
  <c r="T30" i="60" s="1"/>
  <c r="T50" i="60" s="1"/>
  <c r="AE17" i="60"/>
  <c r="Y18" i="60"/>
  <c r="I18" i="60"/>
  <c r="X19" i="60"/>
  <c r="Z19" i="60" s="1"/>
  <c r="E19" i="60"/>
  <c r="X20" i="60"/>
  <c r="E20" i="60"/>
  <c r="AU21" i="60"/>
  <c r="Z23" i="60"/>
  <c r="W24" i="60"/>
  <c r="AU24" i="60"/>
  <c r="X25" i="60"/>
  <c r="X27" i="60"/>
  <c r="E27" i="60"/>
  <c r="W29" i="60"/>
  <c r="AU33" i="60"/>
  <c r="Y38" i="60"/>
  <c r="X36" i="60"/>
  <c r="E36" i="60"/>
  <c r="G38" i="60"/>
  <c r="I38" i="60" s="1"/>
  <c r="J41" i="60"/>
  <c r="W40" i="60"/>
  <c r="AP21" i="60"/>
  <c r="AR21" i="60" s="1"/>
  <c r="AE21" i="60"/>
  <c r="J28" i="60"/>
  <c r="J30" i="60" s="1"/>
  <c r="J50" i="60" s="1"/>
  <c r="O28" i="60"/>
  <c r="O30" i="60" s="1"/>
  <c r="O50" i="60" s="1"/>
  <c r="AG28" i="60"/>
  <c r="AG30" i="60" s="1"/>
  <c r="AG50" i="60" s="1"/>
  <c r="X18" i="60"/>
  <c r="E18" i="60"/>
  <c r="W23" i="60"/>
  <c r="AO23" i="60"/>
  <c r="AR23" i="60"/>
  <c r="X24" i="60"/>
  <c r="X26" i="60"/>
  <c r="Z26" i="60" s="1"/>
  <c r="E26" i="60"/>
  <c r="AP29" i="60"/>
  <c r="D30" i="60"/>
  <c r="J38" i="60"/>
  <c r="AU34" i="60"/>
  <c r="E41" i="60"/>
  <c r="G44" i="60"/>
  <c r="I44" i="60" s="1"/>
  <c r="I43" i="60"/>
  <c r="AU44" i="60"/>
  <c r="AP18" i="60"/>
  <c r="AR18" i="60" s="1"/>
  <c r="AP26" i="60"/>
  <c r="AR26" i="60" s="1"/>
  <c r="AU27" i="60"/>
  <c r="AU29" i="60"/>
  <c r="X34" i="60"/>
  <c r="AP37" i="60"/>
  <c r="AE37" i="60"/>
  <c r="AO40" i="60"/>
  <c r="AO41" i="60" s="1"/>
  <c r="AB41" i="60"/>
  <c r="W44" i="60"/>
  <c r="M44" i="60"/>
  <c r="W46" i="60"/>
  <c r="AU19" i="60"/>
  <c r="AU26" i="60"/>
  <c r="AH30" i="60"/>
  <c r="B38" i="60"/>
  <c r="W33" i="60"/>
  <c r="AB38" i="60"/>
  <c r="W37" i="60"/>
  <c r="AS37" i="60" s="1"/>
  <c r="C38" i="60"/>
  <c r="E38" i="60" s="1"/>
  <c r="U49" i="60"/>
  <c r="AL51" i="60"/>
  <c r="AL54" i="60" s="1"/>
  <c r="X43" i="60"/>
  <c r="AE44" i="60"/>
  <c r="AO33" i="60"/>
  <c r="AP35" i="60"/>
  <c r="AT35" i="60" s="1"/>
  <c r="AU36" i="60"/>
  <c r="D49" i="60"/>
  <c r="H49" i="60"/>
  <c r="L49" i="60"/>
  <c r="Q49" i="60"/>
  <c r="Q51" i="60" s="1"/>
  <c r="Q54" i="60" s="1"/>
  <c r="X40" i="60"/>
  <c r="Z40" i="60" s="1"/>
  <c r="AU40" i="60"/>
  <c r="AO43" i="60"/>
  <c r="AO44" i="60" s="1"/>
  <c r="C44" i="60"/>
  <c r="E44" i="60" s="1"/>
  <c r="AG48" i="60"/>
  <c r="AI48" i="60" s="1"/>
  <c r="AI46" i="60"/>
  <c r="X47" i="60"/>
  <c r="Z47" i="60" s="1"/>
  <c r="E47" i="60"/>
  <c r="I48" i="60"/>
  <c r="AE48" i="60"/>
  <c r="AP52" i="60"/>
  <c r="AR52" i="60" s="1"/>
  <c r="AP33" i="60"/>
  <c r="T41" i="60"/>
  <c r="V41" i="60" s="1"/>
  <c r="E43" i="60"/>
  <c r="AI43" i="60"/>
  <c r="AP43" i="60"/>
  <c r="C48" i="60"/>
  <c r="E48" i="60" s="1"/>
  <c r="X46" i="60"/>
  <c r="E46" i="60"/>
  <c r="AP47" i="60"/>
  <c r="AR47" i="60" s="1"/>
  <c r="Z53" i="60"/>
  <c r="AE33" i="60"/>
  <c r="I40" i="60"/>
  <c r="AP46" i="60"/>
  <c r="K48" i="60"/>
  <c r="AU53" i="60"/>
  <c r="AE46" i="60"/>
  <c r="AU46" i="60"/>
  <c r="AE47" i="60"/>
  <c r="AI47" i="60"/>
  <c r="BC18" i="59"/>
  <c r="BC19" i="59"/>
  <c r="BF21" i="59"/>
  <c r="BB28" i="59"/>
  <c r="U23" i="59"/>
  <c r="BA29" i="59"/>
  <c r="BC29" i="59" s="1"/>
  <c r="AU29" i="59"/>
  <c r="T49" i="59"/>
  <c r="AB41" i="59"/>
  <c r="AJ40" i="59"/>
  <c r="BF44" i="59"/>
  <c r="C28" i="59"/>
  <c r="AE28" i="59"/>
  <c r="AE30" i="59" s="1"/>
  <c r="AE50" i="59" s="1"/>
  <c r="AK28" i="59"/>
  <c r="AP11" i="59"/>
  <c r="AU11" i="59"/>
  <c r="E12" i="59"/>
  <c r="AU13" i="59"/>
  <c r="E14" i="59"/>
  <c r="AU15" i="59"/>
  <c r="E16" i="59"/>
  <c r="AU18" i="59"/>
  <c r="E19" i="59"/>
  <c r="T28" i="59"/>
  <c r="AU20" i="59"/>
  <c r="E21" i="59"/>
  <c r="AU22" i="59"/>
  <c r="E23" i="59"/>
  <c r="U24" i="59"/>
  <c r="BA27" i="59"/>
  <c r="BC27" i="59" s="1"/>
  <c r="AB28" i="59"/>
  <c r="AB30" i="59" s="1"/>
  <c r="AB50" i="59" s="1"/>
  <c r="AW38" i="59"/>
  <c r="AY38" i="59" s="1"/>
  <c r="AY33" i="59"/>
  <c r="BF34" i="59"/>
  <c r="S37" i="59"/>
  <c r="U37" i="59" s="1"/>
  <c r="E37" i="59"/>
  <c r="C41" i="59"/>
  <c r="E41" i="59" s="1"/>
  <c r="S40" i="59"/>
  <c r="E40" i="59"/>
  <c r="R43" i="59"/>
  <c r="AK44" i="59"/>
  <c r="AO30" i="59"/>
  <c r="BF16" i="59"/>
  <c r="BF19" i="59"/>
  <c r="E27" i="59"/>
  <c r="AS28" i="59"/>
  <c r="AS30" i="59" s="1"/>
  <c r="AS50" i="59" s="1"/>
  <c r="S34" i="59"/>
  <c r="I34" i="59"/>
  <c r="E10" i="59"/>
  <c r="K28" i="59"/>
  <c r="K30" i="59" s="1"/>
  <c r="K50" i="59" s="1"/>
  <c r="AF28" i="59"/>
  <c r="AF30" i="59" s="1"/>
  <c r="AF50" i="59" s="1"/>
  <c r="AT28" i="59"/>
  <c r="AY10" i="59"/>
  <c r="AU16" i="59"/>
  <c r="E17" i="59"/>
  <c r="AX30" i="59"/>
  <c r="AY28" i="59"/>
  <c r="AU19" i="59"/>
  <c r="E26" i="59"/>
  <c r="H50" i="59"/>
  <c r="H51" i="59" s="1"/>
  <c r="R29" i="59"/>
  <c r="S29" i="59"/>
  <c r="U29" i="59" s="1"/>
  <c r="I29" i="59"/>
  <c r="J38" i="59"/>
  <c r="O38" i="59"/>
  <c r="AS38" i="59"/>
  <c r="AU38" i="59" s="1"/>
  <c r="BA33" i="59"/>
  <c r="AU33" i="59"/>
  <c r="R35" i="59"/>
  <c r="S36" i="59"/>
  <c r="E36" i="59"/>
  <c r="C38" i="59"/>
  <c r="Y50" i="59"/>
  <c r="AA28" i="59"/>
  <c r="AA30" i="59" s="1"/>
  <c r="AA50" i="59" s="1"/>
  <c r="AZ10" i="59"/>
  <c r="L50" i="59"/>
  <c r="L51" i="59" s="1"/>
  <c r="D50" i="59"/>
  <c r="D51" i="59" s="1"/>
  <c r="AT49" i="59"/>
  <c r="S35" i="59"/>
  <c r="BB35" i="59"/>
  <c r="AU35" i="59"/>
  <c r="BF36" i="59"/>
  <c r="P51" i="59"/>
  <c r="P54" i="59" s="1"/>
  <c r="AX49" i="59"/>
  <c r="F38" i="59"/>
  <c r="F49" i="59" s="1"/>
  <c r="AB38" i="59"/>
  <c r="AD38" i="59" s="1"/>
  <c r="AI33" i="59"/>
  <c r="AN38" i="59"/>
  <c r="Y49" i="59"/>
  <c r="AI40" i="59"/>
  <c r="AI41" i="59" s="1"/>
  <c r="W41" i="59"/>
  <c r="AI46" i="59"/>
  <c r="W48" i="59"/>
  <c r="AK48" i="59"/>
  <c r="E48" i="59"/>
  <c r="B38" i="59"/>
  <c r="B49" i="59" s="1"/>
  <c r="X38" i="59"/>
  <c r="AJ33" i="59"/>
  <c r="AZ33" i="59"/>
  <c r="BB37" i="59"/>
  <c r="AU37" i="59"/>
  <c r="AC49" i="59"/>
  <c r="AO49" i="59"/>
  <c r="W44" i="59"/>
  <c r="AI43" i="59"/>
  <c r="AI44" i="59" s="1"/>
  <c r="AW44" i="59"/>
  <c r="AY44" i="59" s="1"/>
  <c r="AY43" i="59"/>
  <c r="BA47" i="59"/>
  <c r="AU47" i="59"/>
  <c r="N38" i="59"/>
  <c r="AJ37" i="59"/>
  <c r="AG49" i="59"/>
  <c r="R40" i="59"/>
  <c r="BA43" i="59"/>
  <c r="BA44" i="59" s="1"/>
  <c r="AS44" i="59"/>
  <c r="AU44" i="59" s="1"/>
  <c r="AU43" i="59"/>
  <c r="BB44" i="59"/>
  <c r="AK41" i="59"/>
  <c r="S43" i="59"/>
  <c r="AR44" i="59"/>
  <c r="S46" i="59"/>
  <c r="AE48" i="59"/>
  <c r="G48" i="59"/>
  <c r="AP48" i="59"/>
  <c r="S53" i="59"/>
  <c r="BE53" i="59" s="1"/>
  <c r="AM51" i="59"/>
  <c r="AM54" i="59" s="1"/>
  <c r="AM57" i="59" s="1"/>
  <c r="AZ40" i="59"/>
  <c r="AZ41" i="59" s="1"/>
  <c r="AJ43" i="59"/>
  <c r="AL43" i="59" s="1"/>
  <c r="AS48" i="59"/>
  <c r="AU48" i="59" s="1"/>
  <c r="AW48" i="59"/>
  <c r="AY48" i="59" s="1"/>
  <c r="BB46" i="59"/>
  <c r="BA52" i="59"/>
  <c r="BC52" i="59" s="1"/>
  <c r="AU52" i="59"/>
  <c r="AL53" i="59"/>
  <c r="AY46" i="59"/>
  <c r="BF52" i="59"/>
  <c r="BC53" i="59"/>
  <c r="T53" i="59"/>
  <c r="C8" i="45"/>
  <c r="AS19" i="60" l="1"/>
  <c r="AT22" i="60"/>
  <c r="AK49" i="59"/>
  <c r="M38" i="59"/>
  <c r="AP28" i="59"/>
  <c r="O49" i="59"/>
  <c r="AT13" i="60"/>
  <c r="BD36" i="59"/>
  <c r="AS29" i="60"/>
  <c r="AS27" i="60"/>
  <c r="AF49" i="60"/>
  <c r="AV51" i="59"/>
  <c r="AV54" i="59" s="1"/>
  <c r="AV57" i="59" s="1"/>
  <c r="BD29" i="59"/>
  <c r="AZ38" i="59"/>
  <c r="AZ49" i="59" s="1"/>
  <c r="O49" i="60"/>
  <c r="AS36" i="60"/>
  <c r="AT27" i="60"/>
  <c r="AV27" i="60" s="1"/>
  <c r="AT15" i="60"/>
  <c r="AS17" i="60"/>
  <c r="AF49" i="59"/>
  <c r="BB38" i="59"/>
  <c r="O51" i="59"/>
  <c r="O54" i="59" s="1"/>
  <c r="O57" i="59" s="1"/>
  <c r="BE17" i="59"/>
  <c r="BG17" i="59" s="1"/>
  <c r="BD22" i="59"/>
  <c r="AR49" i="59"/>
  <c r="AR51" i="59" s="1"/>
  <c r="AR54" i="59" s="1"/>
  <c r="AR57" i="59" s="1"/>
  <c r="AI38" i="59"/>
  <c r="BE25" i="59"/>
  <c r="BG25" i="59" s="1"/>
  <c r="S51" i="60"/>
  <c r="S54" i="60" s="1"/>
  <c r="AT14" i="60"/>
  <c r="AV14" i="60" s="1"/>
  <c r="AS52" i="60"/>
  <c r="BD25" i="59"/>
  <c r="O51" i="60"/>
  <c r="O54" i="60" s="1"/>
  <c r="AS15" i="60"/>
  <c r="AJ51" i="60"/>
  <c r="AJ54" i="60" s="1"/>
  <c r="AL46" i="59"/>
  <c r="X50" i="59"/>
  <c r="Z50" i="59" s="1"/>
  <c r="Z30" i="59"/>
  <c r="AJ48" i="59"/>
  <c r="AL48" i="59" s="1"/>
  <c r="BA38" i="59"/>
  <c r="AF51" i="59"/>
  <c r="AF54" i="59" s="1"/>
  <c r="AF57" i="59" s="1"/>
  <c r="AT34" i="60"/>
  <c r="AV34" i="60" s="1"/>
  <c r="AT21" i="60"/>
  <c r="BD53" i="59"/>
  <c r="BD21" i="59"/>
  <c r="BC37" i="59"/>
  <c r="AT24" i="60"/>
  <c r="BD34" i="59"/>
  <c r="BD20" i="59"/>
  <c r="F49" i="60"/>
  <c r="F51" i="60" s="1"/>
  <c r="F54" i="60" s="1"/>
  <c r="BD16" i="59"/>
  <c r="BD23" i="59"/>
  <c r="U14" i="59"/>
  <c r="BE19" i="59"/>
  <c r="BG19" i="59" s="1"/>
  <c r="U16" i="59"/>
  <c r="BE36" i="59"/>
  <c r="BC33" i="59"/>
  <c r="BC35" i="59"/>
  <c r="BE12" i="59"/>
  <c r="BG12" i="59" s="1"/>
  <c r="BE34" i="59"/>
  <c r="BG34" i="59" s="1"/>
  <c r="Z13" i="60"/>
  <c r="AT53" i="60"/>
  <c r="AV53" i="60" s="1"/>
  <c r="BD37" i="59"/>
  <c r="BE22" i="59"/>
  <c r="BG22" i="59" s="1"/>
  <c r="BD52" i="59"/>
  <c r="AK49" i="60"/>
  <c r="AK51" i="60" s="1"/>
  <c r="AK54" i="60" s="1"/>
  <c r="BD13" i="59"/>
  <c r="AF51" i="60"/>
  <c r="AF54" i="60" s="1"/>
  <c r="BE47" i="59"/>
  <c r="BG47" i="59" s="1"/>
  <c r="AA51" i="59"/>
  <c r="AA54" i="59" s="1"/>
  <c r="AA57" i="59" s="1"/>
  <c r="BG16" i="59"/>
  <c r="AC49" i="60"/>
  <c r="AC51" i="60" s="1"/>
  <c r="AC54" i="60" s="1"/>
  <c r="AS22" i="60"/>
  <c r="AI48" i="59"/>
  <c r="AT37" i="60"/>
  <c r="AS35" i="60"/>
  <c r="AS16" i="60"/>
  <c r="BD18" i="59"/>
  <c r="AT16" i="60"/>
  <c r="M30" i="59"/>
  <c r="BE13" i="59"/>
  <c r="BG13" i="59" s="1"/>
  <c r="K49" i="60"/>
  <c r="K51" i="60" s="1"/>
  <c r="K54" i="60" s="1"/>
  <c r="J49" i="60"/>
  <c r="J51" i="60" s="1"/>
  <c r="J54" i="60" s="1"/>
  <c r="AS26" i="60"/>
  <c r="Z15" i="60"/>
  <c r="BC40" i="59"/>
  <c r="BE21" i="59"/>
  <c r="BG21" i="59" s="1"/>
  <c r="R48" i="59"/>
  <c r="BD15" i="59"/>
  <c r="BE15" i="59"/>
  <c r="BG15" i="59" s="1"/>
  <c r="AE49" i="59"/>
  <c r="AE51" i="59" s="1"/>
  <c r="AE54" i="59" s="1"/>
  <c r="AE57" i="59" s="1"/>
  <c r="X49" i="59"/>
  <c r="M50" i="59"/>
  <c r="I30" i="59"/>
  <c r="B49" i="60"/>
  <c r="B51" i="60" s="1"/>
  <c r="B54" i="60" s="1"/>
  <c r="AS25" i="60"/>
  <c r="BD47" i="59"/>
  <c r="BD27" i="59"/>
  <c r="BD12" i="59"/>
  <c r="BD24" i="59"/>
  <c r="BE52" i="59"/>
  <c r="BG52" i="59" s="1"/>
  <c r="AN49" i="59"/>
  <c r="AN51" i="59" s="1"/>
  <c r="AN54" i="59" s="1"/>
  <c r="AN57" i="59" s="1"/>
  <c r="I28" i="59"/>
  <c r="I50" i="59"/>
  <c r="AT33" i="60"/>
  <c r="AV33" i="60" s="1"/>
  <c r="AS24" i="60"/>
  <c r="AS20" i="60"/>
  <c r="AT17" i="60"/>
  <c r="N49" i="59"/>
  <c r="N51" i="59" s="1"/>
  <c r="N54" i="59" s="1"/>
  <c r="N57" i="59" s="1"/>
  <c r="AZ28" i="59"/>
  <c r="AZ30" i="59" s="1"/>
  <c r="AZ50" i="59" s="1"/>
  <c r="BD35" i="59"/>
  <c r="BE11" i="59"/>
  <c r="BG11" i="59" s="1"/>
  <c r="BE23" i="59"/>
  <c r="BG23" i="59" s="1"/>
  <c r="AJ28" i="59"/>
  <c r="AJ30" i="59" s="1"/>
  <c r="AJ50" i="59" s="1"/>
  <c r="G49" i="59"/>
  <c r="I49" i="59" s="1"/>
  <c r="BC47" i="59"/>
  <c r="W49" i="59"/>
  <c r="W51" i="59" s="1"/>
  <c r="W54" i="59" s="1"/>
  <c r="W57" i="59" s="1"/>
  <c r="Z38" i="59"/>
  <c r="BG36" i="59"/>
  <c r="AI28" i="59"/>
  <c r="AI30" i="59" s="1"/>
  <c r="AI50" i="59" s="1"/>
  <c r="BA28" i="59"/>
  <c r="BA30" i="59" s="1"/>
  <c r="BA50" i="59" s="1"/>
  <c r="U22" i="59"/>
  <c r="BE18" i="59"/>
  <c r="BG18" i="59" s="1"/>
  <c r="BE26" i="59"/>
  <c r="BG26" i="59" s="1"/>
  <c r="M48" i="60"/>
  <c r="AT29" i="60"/>
  <c r="AS23" i="60"/>
  <c r="AP28" i="60"/>
  <c r="AR28" i="60" s="1"/>
  <c r="AT36" i="60"/>
  <c r="AV36" i="60" s="1"/>
  <c r="AT19" i="60"/>
  <c r="AE38" i="60"/>
  <c r="AI28" i="60"/>
  <c r="I28" i="60"/>
  <c r="AV17" i="60"/>
  <c r="AS53" i="60"/>
  <c r="AS34" i="60"/>
  <c r="BD26" i="59"/>
  <c r="BE24" i="59"/>
  <c r="BG24" i="59" s="1"/>
  <c r="J49" i="59"/>
  <c r="J51" i="59" s="1"/>
  <c r="J54" i="59" s="1"/>
  <c r="J57" i="59" s="1"/>
  <c r="AP48" i="60"/>
  <c r="AR48" i="60" s="1"/>
  <c r="AS13" i="60"/>
  <c r="AH38" i="59"/>
  <c r="B51" i="59"/>
  <c r="B54" i="59" s="1"/>
  <c r="B57" i="59" s="1"/>
  <c r="F51" i="59"/>
  <c r="F54" i="59" s="1"/>
  <c r="F57" i="59" s="1"/>
  <c r="BE29" i="59"/>
  <c r="BG29" i="59" s="1"/>
  <c r="AO38" i="60"/>
  <c r="AO49" i="60" s="1"/>
  <c r="Z22" i="60"/>
  <c r="Z17" i="60"/>
  <c r="AR37" i="60"/>
  <c r="Z16" i="60"/>
  <c r="E28" i="60"/>
  <c r="P51" i="60"/>
  <c r="P54" i="60" s="1"/>
  <c r="AT23" i="60"/>
  <c r="AV35" i="60"/>
  <c r="AP44" i="60"/>
  <c r="AR44" i="60" s="1"/>
  <c r="AR43" i="60"/>
  <c r="AR46" i="60"/>
  <c r="AU41" i="60"/>
  <c r="AS43" i="60"/>
  <c r="AQ38" i="60"/>
  <c r="AT25" i="60"/>
  <c r="Z25" i="60"/>
  <c r="AR35" i="60"/>
  <c r="AR14" i="60"/>
  <c r="AV13" i="60"/>
  <c r="AP38" i="60"/>
  <c r="AR33" i="60"/>
  <c r="W38" i="60"/>
  <c r="AS33" i="60"/>
  <c r="AS40" i="60"/>
  <c r="W41" i="60"/>
  <c r="X48" i="60"/>
  <c r="Z48" i="60" s="1"/>
  <c r="AT46" i="60"/>
  <c r="AV46" i="60" s="1"/>
  <c r="Z46" i="60"/>
  <c r="X41" i="60"/>
  <c r="Z41" i="60" s="1"/>
  <c r="AT40" i="60"/>
  <c r="AV40" i="60" s="1"/>
  <c r="Z36" i="60"/>
  <c r="AT52" i="60"/>
  <c r="U51" i="60"/>
  <c r="AB49" i="60"/>
  <c r="AB51" i="60" s="1"/>
  <c r="AB54" i="60" s="1"/>
  <c r="AH50" i="60"/>
  <c r="AI50" i="60" s="1"/>
  <c r="AI30" i="60"/>
  <c r="W48" i="60"/>
  <c r="AS46" i="60"/>
  <c r="AG49" i="60"/>
  <c r="AG51" i="60" s="1"/>
  <c r="AG54" i="60" s="1"/>
  <c r="Z34" i="60"/>
  <c r="X38" i="60"/>
  <c r="W28" i="60"/>
  <c r="W30" i="60" s="1"/>
  <c r="W50" i="60" s="1"/>
  <c r="G49" i="60"/>
  <c r="G51" i="60" s="1"/>
  <c r="G54" i="60" s="1"/>
  <c r="Y49" i="60"/>
  <c r="Z24" i="60"/>
  <c r="AU18" i="60"/>
  <c r="Z18" i="60"/>
  <c r="AV22" i="60"/>
  <c r="AD50" i="60"/>
  <c r="AE50" i="60" s="1"/>
  <c r="AE30" i="60"/>
  <c r="AV15" i="60"/>
  <c r="AH49" i="60"/>
  <c r="AI38" i="60"/>
  <c r="L50" i="60"/>
  <c r="M50" i="60" s="1"/>
  <c r="M30" i="60"/>
  <c r="AU48" i="60"/>
  <c r="AV37" i="60"/>
  <c r="Z20" i="60"/>
  <c r="AT20" i="60"/>
  <c r="AV16" i="60"/>
  <c r="Y28" i="60"/>
  <c r="AT47" i="60"/>
  <c r="X44" i="60"/>
  <c r="Z44" i="60" s="1"/>
  <c r="AT43" i="60"/>
  <c r="Z43" i="60"/>
  <c r="C49" i="60"/>
  <c r="C51" i="60" s="1"/>
  <c r="C54" i="60" s="1"/>
  <c r="T49" i="60"/>
  <c r="T51" i="60" s="1"/>
  <c r="T54" i="60" s="1"/>
  <c r="D50" i="60"/>
  <c r="E50" i="60" s="1"/>
  <c r="E30" i="60"/>
  <c r="AT26" i="60"/>
  <c r="AT18" i="60"/>
  <c r="AU38" i="60"/>
  <c r="AO28" i="60"/>
  <c r="AO30" i="60" s="1"/>
  <c r="AO50" i="60" s="1"/>
  <c r="X28" i="60"/>
  <c r="X30" i="60" s="1"/>
  <c r="X50" i="60" s="1"/>
  <c r="Z27" i="60"/>
  <c r="AR29" i="60"/>
  <c r="AQ50" i="60"/>
  <c r="H50" i="60"/>
  <c r="I50" i="60" s="1"/>
  <c r="I30" i="60"/>
  <c r="D54" i="59"/>
  <c r="BC46" i="59"/>
  <c r="BB48" i="59"/>
  <c r="S48" i="59"/>
  <c r="U48" i="59" s="1"/>
  <c r="BE46" i="59"/>
  <c r="BE48" i="59" s="1"/>
  <c r="BC43" i="59"/>
  <c r="C30" i="59"/>
  <c r="E28" i="59"/>
  <c r="BD33" i="59"/>
  <c r="BB30" i="59"/>
  <c r="C49" i="59"/>
  <c r="E38" i="59"/>
  <c r="U46" i="59"/>
  <c r="I48" i="59"/>
  <c r="BC44" i="59"/>
  <c r="BD40" i="59"/>
  <c r="BD41" i="59" s="1"/>
  <c r="R41" i="59"/>
  <c r="AC51" i="59"/>
  <c r="AJ38" i="59"/>
  <c r="AL33" i="59"/>
  <c r="BA48" i="59"/>
  <c r="Y51" i="59"/>
  <c r="L54" i="59"/>
  <c r="T30" i="59"/>
  <c r="BD46" i="59"/>
  <c r="K51" i="59"/>
  <c r="BF35" i="59"/>
  <c r="AW49" i="59"/>
  <c r="AW51" i="59" s="1"/>
  <c r="AW54" i="59" s="1"/>
  <c r="AW57" i="59" s="1"/>
  <c r="AK30" i="59"/>
  <c r="R38" i="59"/>
  <c r="BB49" i="59"/>
  <c r="AT30" i="59"/>
  <c r="AU28" i="59"/>
  <c r="S44" i="59"/>
  <c r="U44" i="59" s="1"/>
  <c r="BE43" i="59"/>
  <c r="U43" i="59"/>
  <c r="AL37" i="59"/>
  <c r="AP38" i="59"/>
  <c r="AB49" i="59"/>
  <c r="AB51" i="59" s="1"/>
  <c r="AB54" i="59" s="1"/>
  <c r="AB57" i="59" s="1"/>
  <c r="P57" i="59"/>
  <c r="BF37" i="59"/>
  <c r="BE10" i="59"/>
  <c r="U10" i="59"/>
  <c r="S28" i="59"/>
  <c r="S30" i="59" s="1"/>
  <c r="S50" i="59" s="1"/>
  <c r="BE40" i="59"/>
  <c r="U40" i="59"/>
  <c r="S41" i="59"/>
  <c r="U41" i="59" s="1"/>
  <c r="U34" i="59"/>
  <c r="BE33" i="59"/>
  <c r="M28" i="59"/>
  <c r="H54" i="59"/>
  <c r="U53" i="59"/>
  <c r="BF53" i="59"/>
  <c r="BG53" i="59" s="1"/>
  <c r="BF46" i="59"/>
  <c r="AJ44" i="59"/>
  <c r="AL44" i="59" s="1"/>
  <c r="AG51" i="59"/>
  <c r="AH49" i="59"/>
  <c r="AP49" i="59"/>
  <c r="U36" i="59"/>
  <c r="BE35" i="59"/>
  <c r="U35" i="59"/>
  <c r="AS49" i="59"/>
  <c r="AS51" i="59" s="1"/>
  <c r="AS54" i="59" s="1"/>
  <c r="AS57" i="59" s="1"/>
  <c r="AX50" i="59"/>
  <c r="AY50" i="59" s="1"/>
  <c r="AY30" i="59"/>
  <c r="BE27" i="59"/>
  <c r="BG27" i="59" s="1"/>
  <c r="U27" i="59"/>
  <c r="AO50" i="59"/>
  <c r="AP50" i="59" s="1"/>
  <c r="AP30" i="59"/>
  <c r="R44" i="59"/>
  <c r="BD43" i="59"/>
  <c r="BD44" i="59" s="1"/>
  <c r="BE37" i="59"/>
  <c r="S38" i="59"/>
  <c r="BF20" i="59"/>
  <c r="BG20" i="59" s="1"/>
  <c r="U20" i="59"/>
  <c r="BD10" i="59"/>
  <c r="R28" i="59"/>
  <c r="R30" i="59" s="1"/>
  <c r="R50" i="59" s="1"/>
  <c r="AJ41" i="59"/>
  <c r="G25" i="43"/>
  <c r="D11" i="40"/>
  <c r="C39" i="11"/>
  <c r="D39" i="11"/>
  <c r="E114" i="36"/>
  <c r="AI49" i="59" l="1"/>
  <c r="BC28" i="59"/>
  <c r="BC38" i="59"/>
  <c r="Q54" i="59"/>
  <c r="X51" i="59"/>
  <c r="X54" i="59" s="1"/>
  <c r="X57" i="59" s="1"/>
  <c r="AE49" i="60"/>
  <c r="K54" i="59"/>
  <c r="K57" i="59" s="1"/>
  <c r="AD51" i="60"/>
  <c r="AD54" i="60" s="1"/>
  <c r="AP30" i="60"/>
  <c r="AP50" i="60" s="1"/>
  <c r="AR50" i="60" s="1"/>
  <c r="AV24" i="60"/>
  <c r="AV21" i="60"/>
  <c r="AZ51" i="59"/>
  <c r="AZ54" i="59" s="1"/>
  <c r="AZ57" i="59" s="1"/>
  <c r="Z49" i="59"/>
  <c r="BD38" i="59"/>
  <c r="G51" i="59"/>
  <c r="G54" i="59" s="1"/>
  <c r="G57" i="59" s="1"/>
  <c r="BA49" i="59"/>
  <c r="BA51" i="59" s="1"/>
  <c r="BA54" i="59" s="1"/>
  <c r="BA57" i="59" s="1"/>
  <c r="AP49" i="60"/>
  <c r="BD28" i="59"/>
  <c r="BD30" i="59" s="1"/>
  <c r="BD50" i="59" s="1"/>
  <c r="BD48" i="59"/>
  <c r="M51" i="59"/>
  <c r="M49" i="60"/>
  <c r="AT38" i="60"/>
  <c r="AV38" i="60" s="1"/>
  <c r="AI51" i="59"/>
  <c r="AI54" i="59" s="1"/>
  <c r="AI57" i="59" s="1"/>
  <c r="AY49" i="59"/>
  <c r="AD49" i="59"/>
  <c r="X49" i="60"/>
  <c r="X51" i="60" s="1"/>
  <c r="X54" i="60" s="1"/>
  <c r="AV29" i="60"/>
  <c r="I49" i="60"/>
  <c r="AV26" i="60"/>
  <c r="AV19" i="60"/>
  <c r="AV23" i="60"/>
  <c r="AT28" i="60"/>
  <c r="AS48" i="60"/>
  <c r="AS38" i="60"/>
  <c r="AQ49" i="60"/>
  <c r="AR38" i="60"/>
  <c r="H51" i="60"/>
  <c r="L51" i="60"/>
  <c r="AU49" i="60"/>
  <c r="AT44" i="60"/>
  <c r="AV43" i="60"/>
  <c r="AT41" i="60"/>
  <c r="AU28" i="60"/>
  <c r="AV20" i="60"/>
  <c r="AH51" i="60"/>
  <c r="AI49" i="60"/>
  <c r="V49" i="60"/>
  <c r="E49" i="60"/>
  <c r="AS41" i="60"/>
  <c r="W49" i="60"/>
  <c r="W51" i="60" s="1"/>
  <c r="W54" i="60" s="1"/>
  <c r="AV25" i="60"/>
  <c r="AS44" i="60"/>
  <c r="AV47" i="60"/>
  <c r="AV52" i="60"/>
  <c r="Z28" i="60"/>
  <c r="Y30" i="60"/>
  <c r="AV18" i="60"/>
  <c r="Z38" i="60"/>
  <c r="AS28" i="60"/>
  <c r="U54" i="60"/>
  <c r="V51" i="60"/>
  <c r="D51" i="60"/>
  <c r="AT48" i="60"/>
  <c r="AO51" i="60"/>
  <c r="AO54" i="60" s="1"/>
  <c r="H57" i="59"/>
  <c r="AK50" i="59"/>
  <c r="AL30" i="59"/>
  <c r="AU49" i="59"/>
  <c r="AG54" i="59"/>
  <c r="AH51" i="59"/>
  <c r="BG46" i="59"/>
  <c r="BF48" i="59"/>
  <c r="BG48" i="59" s="1"/>
  <c r="T50" i="59"/>
  <c r="U30" i="59"/>
  <c r="L57" i="59"/>
  <c r="Y54" i="59"/>
  <c r="AJ49" i="59"/>
  <c r="AL38" i="59"/>
  <c r="C50" i="59"/>
  <c r="E50" i="59" s="1"/>
  <c r="E30" i="59"/>
  <c r="BC48" i="59"/>
  <c r="D57" i="59"/>
  <c r="R49" i="59"/>
  <c r="R51" i="59" s="1"/>
  <c r="R54" i="59" s="1"/>
  <c r="R57" i="59" s="1"/>
  <c r="BG35" i="59"/>
  <c r="BF38" i="59"/>
  <c r="U28" i="59"/>
  <c r="BB50" i="59"/>
  <c r="BC50" i="59" s="1"/>
  <c r="BC30" i="59"/>
  <c r="BG37" i="59"/>
  <c r="AT50" i="59"/>
  <c r="AU30" i="59"/>
  <c r="AO51" i="59"/>
  <c r="BE38" i="59"/>
  <c r="BG33" i="59"/>
  <c r="BE41" i="59"/>
  <c r="BG41" i="59" s="1"/>
  <c r="BG40" i="59"/>
  <c r="BE44" i="59"/>
  <c r="BG44" i="59" s="1"/>
  <c r="BG43" i="59"/>
  <c r="AD51" i="59"/>
  <c r="AC54" i="59"/>
  <c r="E49" i="59"/>
  <c r="S49" i="59"/>
  <c r="U38" i="59"/>
  <c r="BE28" i="59"/>
  <c r="BE30" i="59" s="1"/>
  <c r="BE50" i="59" s="1"/>
  <c r="BG10" i="59"/>
  <c r="AX51" i="59"/>
  <c r="BF28" i="59"/>
  <c r="BC49" i="59" l="1"/>
  <c r="AR30" i="60"/>
  <c r="BD49" i="59"/>
  <c r="Z51" i="59"/>
  <c r="M54" i="59"/>
  <c r="AE51" i="60"/>
  <c r="AP51" i="60"/>
  <c r="AP54" i="60" s="1"/>
  <c r="BD51" i="59"/>
  <c r="BD54" i="59" s="1"/>
  <c r="BD57" i="59" s="1"/>
  <c r="I54" i="59"/>
  <c r="I51" i="59"/>
  <c r="AV41" i="60"/>
  <c r="AV48" i="60"/>
  <c r="C51" i="59"/>
  <c r="E51" i="59" s="1"/>
  <c r="Z49" i="60"/>
  <c r="AS30" i="60"/>
  <c r="AT49" i="60"/>
  <c r="AV49" i="60" s="1"/>
  <c r="AQ51" i="60"/>
  <c r="AR49" i="60"/>
  <c r="AE54" i="60"/>
  <c r="D54" i="60"/>
  <c r="E51" i="60"/>
  <c r="Y50" i="60"/>
  <c r="Z30" i="60"/>
  <c r="V54" i="60"/>
  <c r="AH54" i="60"/>
  <c r="AI51" i="60"/>
  <c r="M51" i="60"/>
  <c r="L54" i="60"/>
  <c r="AT30" i="60"/>
  <c r="AV44" i="60"/>
  <c r="AV28" i="60"/>
  <c r="AU30" i="60"/>
  <c r="H54" i="60"/>
  <c r="I51" i="60"/>
  <c r="AS49" i="60"/>
  <c r="BF30" i="59"/>
  <c r="BG28" i="59"/>
  <c r="BE49" i="59"/>
  <c r="BE51" i="59" s="1"/>
  <c r="BE54" i="59" s="1"/>
  <c r="BE57" i="59" s="1"/>
  <c r="BF49" i="59"/>
  <c r="BG38" i="59"/>
  <c r="AG57" i="59"/>
  <c r="AH54" i="59"/>
  <c r="AL50" i="59"/>
  <c r="AK51" i="59"/>
  <c r="AX54" i="59"/>
  <c r="AY51" i="59"/>
  <c r="S51" i="59"/>
  <c r="S54" i="59" s="1"/>
  <c r="S57" i="59" s="1"/>
  <c r="U49" i="59"/>
  <c r="AC57" i="59"/>
  <c r="AD54" i="59"/>
  <c r="AO54" i="59"/>
  <c r="AP51" i="59"/>
  <c r="AJ51" i="59"/>
  <c r="AJ54" i="59" s="1"/>
  <c r="AJ57" i="59" s="1"/>
  <c r="AL49" i="59"/>
  <c r="BB51" i="59"/>
  <c r="AU50" i="59"/>
  <c r="AT51" i="59"/>
  <c r="Z54" i="59"/>
  <c r="Y57" i="59"/>
  <c r="U50" i="59"/>
  <c r="T51" i="59"/>
  <c r="D15" i="58"/>
  <c r="F11" i="9"/>
  <c r="I98" i="39"/>
  <c r="F20" i="13"/>
  <c r="E7" i="13"/>
  <c r="E21" i="13"/>
  <c r="E33" i="12"/>
  <c r="E7" i="12"/>
  <c r="E37" i="11"/>
  <c r="E39" i="11" s="1"/>
  <c r="E7" i="11"/>
  <c r="E117" i="36"/>
  <c r="E110" i="36"/>
  <c r="E107" i="36"/>
  <c r="E103" i="36"/>
  <c r="E29" i="36"/>
  <c r="F29" i="36" s="1"/>
  <c r="E24" i="36"/>
  <c r="E19" i="36"/>
  <c r="E16" i="36"/>
  <c r="E9" i="36"/>
  <c r="C54" i="59" l="1"/>
  <c r="I54" i="60"/>
  <c r="E54" i="60"/>
  <c r="AQ54" i="60"/>
  <c r="AR51" i="60"/>
  <c r="AU50" i="60"/>
  <c r="AV30" i="60"/>
  <c r="M54" i="60"/>
  <c r="AT50" i="60"/>
  <c r="AI54" i="60"/>
  <c r="Z50" i="60"/>
  <c r="Y51" i="60"/>
  <c r="AS50" i="60"/>
  <c r="BF50" i="59"/>
  <c r="BG50" i="59" s="1"/>
  <c r="BG30" i="59"/>
  <c r="T54" i="59"/>
  <c r="U51" i="59"/>
  <c r="AU51" i="59"/>
  <c r="AT54" i="59"/>
  <c r="AX57" i="59"/>
  <c r="AY54" i="59"/>
  <c r="AK54" i="59"/>
  <c r="AL51" i="59"/>
  <c r="C57" i="59"/>
  <c r="E54" i="59"/>
  <c r="BB54" i="59"/>
  <c r="BC51" i="59"/>
  <c r="AP54" i="59"/>
  <c r="AO57" i="59"/>
  <c r="BF51" i="59"/>
  <c r="BG49" i="59"/>
  <c r="G67" i="40"/>
  <c r="G68" i="40"/>
  <c r="G59" i="40"/>
  <c r="G60" i="40"/>
  <c r="G62" i="40"/>
  <c r="G63" i="40"/>
  <c r="T59" i="59" l="1"/>
  <c r="AS51" i="60"/>
  <c r="Y54" i="60"/>
  <c r="Z51" i="60"/>
  <c r="AT51" i="60"/>
  <c r="AV50" i="60"/>
  <c r="AU51" i="60"/>
  <c r="AR54" i="60"/>
  <c r="BF54" i="59"/>
  <c r="BG51" i="59"/>
  <c r="BB57" i="59"/>
  <c r="BC54" i="59"/>
  <c r="AK57" i="59"/>
  <c r="AL54" i="59"/>
  <c r="T57" i="59"/>
  <c r="U54" i="59"/>
  <c r="AT57" i="59"/>
  <c r="AU54" i="59"/>
  <c r="G35" i="50"/>
  <c r="AT54" i="60" l="1"/>
  <c r="AU54" i="60"/>
  <c r="AV51" i="60"/>
  <c r="Z54" i="60"/>
  <c r="AS54" i="60"/>
  <c r="BG54" i="59"/>
  <c r="BF57" i="59"/>
  <c r="F10" i="52"/>
  <c r="F17" i="52"/>
  <c r="AV54" i="60" l="1"/>
  <c r="E196" i="51"/>
  <c r="C196" i="51"/>
  <c r="E188" i="51"/>
  <c r="C188" i="51"/>
  <c r="D102" i="47"/>
  <c r="C102" i="47"/>
  <c r="C34" i="47"/>
  <c r="F43" i="50" l="1"/>
  <c r="F39" i="50"/>
  <c r="F31" i="50"/>
  <c r="G21" i="49" l="1"/>
  <c r="G20" i="49"/>
  <c r="J16" i="57"/>
  <c r="J19" i="58"/>
  <c r="E19" i="58"/>
  <c r="H17" i="58"/>
  <c r="D17" i="58"/>
  <c r="C17" i="58"/>
  <c r="J16" i="58"/>
  <c r="E16" i="58"/>
  <c r="J15" i="58"/>
  <c r="E15" i="58"/>
  <c r="J14" i="58"/>
  <c r="I17" i="58"/>
  <c r="E14" i="58"/>
  <c r="D13" i="58"/>
  <c r="C13" i="58"/>
  <c r="J12" i="58"/>
  <c r="J11" i="58"/>
  <c r="E11" i="58"/>
  <c r="J10" i="58"/>
  <c r="E10" i="58"/>
  <c r="H13" i="58"/>
  <c r="E9" i="58"/>
  <c r="J8" i="58"/>
  <c r="E8" i="58"/>
  <c r="I32" i="57"/>
  <c r="H32" i="57"/>
  <c r="J31" i="57"/>
  <c r="J30" i="57"/>
  <c r="J29" i="57"/>
  <c r="I28" i="57"/>
  <c r="J27" i="57"/>
  <c r="J26" i="57"/>
  <c r="J25" i="57"/>
  <c r="H24" i="57"/>
  <c r="J24" i="57" s="1"/>
  <c r="J23" i="57"/>
  <c r="H22" i="57"/>
  <c r="J22" i="57" s="1"/>
  <c r="J21" i="57"/>
  <c r="J20" i="57"/>
  <c r="J19" i="57"/>
  <c r="H18" i="57"/>
  <c r="J18" i="57" s="1"/>
  <c r="G18" i="57"/>
  <c r="I17" i="57"/>
  <c r="J15" i="57"/>
  <c r="J14" i="57"/>
  <c r="J13" i="57"/>
  <c r="H12" i="57"/>
  <c r="J12" i="57" s="1"/>
  <c r="H11" i="57"/>
  <c r="J11" i="57" s="1"/>
  <c r="G11" i="57"/>
  <c r="J10" i="57"/>
  <c r="J9" i="57"/>
  <c r="J8" i="57"/>
  <c r="G105" i="54"/>
  <c r="G104" i="54"/>
  <c r="G103" i="54"/>
  <c r="G102" i="54"/>
  <c r="G101" i="54"/>
  <c r="G97" i="54"/>
  <c r="G96" i="54"/>
  <c r="G95" i="54"/>
  <c r="F94" i="54"/>
  <c r="E94" i="54"/>
  <c r="G92" i="54"/>
  <c r="G91" i="54"/>
  <c r="G90" i="54"/>
  <c r="G89" i="54"/>
  <c r="F88" i="54"/>
  <c r="E88" i="54"/>
  <c r="G78" i="54"/>
  <c r="G71" i="54"/>
  <c r="G61" i="54"/>
  <c r="G55" i="54"/>
  <c r="G51" i="54"/>
  <c r="G45" i="54"/>
  <c r="G44" i="54"/>
  <c r="G43" i="54"/>
  <c r="G42" i="54"/>
  <c r="F41" i="54"/>
  <c r="E41" i="54"/>
  <c r="G40" i="54"/>
  <c r="G39" i="54"/>
  <c r="G38" i="54"/>
  <c r="G37" i="54"/>
  <c r="F36" i="54"/>
  <c r="E36" i="54"/>
  <c r="G35" i="54"/>
  <c r="G34" i="54"/>
  <c r="G33" i="54"/>
  <c r="F32" i="54"/>
  <c r="E32" i="54"/>
  <c r="G31" i="54"/>
  <c r="G30" i="54"/>
  <c r="G29" i="54"/>
  <c r="G28" i="54"/>
  <c r="G27" i="54"/>
  <c r="G26" i="54"/>
  <c r="G25" i="54"/>
  <c r="G23" i="54"/>
  <c r="F18" i="54"/>
  <c r="E22" i="54"/>
  <c r="E18" i="54" s="1"/>
  <c r="G21" i="54"/>
  <c r="G20" i="54"/>
  <c r="G19" i="54"/>
  <c r="G15" i="54"/>
  <c r="G14" i="54" s="1"/>
  <c r="F14" i="54"/>
  <c r="F10" i="54" s="1"/>
  <c r="E14" i="54"/>
  <c r="G13" i="54"/>
  <c r="G12" i="54"/>
  <c r="F11" i="54"/>
  <c r="E11" i="54"/>
  <c r="E10" i="54"/>
  <c r="H15" i="53"/>
  <c r="F13" i="52"/>
  <c r="F11" i="52"/>
  <c r="E180" i="51"/>
  <c r="C180" i="51"/>
  <c r="E172" i="51"/>
  <c r="C172" i="51"/>
  <c r="E164" i="51"/>
  <c r="C164" i="51"/>
  <c r="E158" i="51"/>
  <c r="C158" i="51"/>
  <c r="E152" i="51"/>
  <c r="C152" i="51"/>
  <c r="E146" i="51"/>
  <c r="C146" i="51"/>
  <c r="C140" i="51"/>
  <c r="E139" i="51"/>
  <c r="E140" i="51" s="1"/>
  <c r="C134" i="51"/>
  <c r="E133" i="51"/>
  <c r="E134" i="51" s="1"/>
  <c r="C128" i="51"/>
  <c r="E127" i="51"/>
  <c r="E128" i="51" s="1"/>
  <c r="C121" i="51"/>
  <c r="E118" i="51"/>
  <c r="E121" i="51" s="1"/>
  <c r="C114" i="51"/>
  <c r="E113" i="51"/>
  <c r="E111" i="51"/>
  <c r="E106" i="51"/>
  <c r="C106" i="51"/>
  <c r="E98" i="51"/>
  <c r="C98" i="51"/>
  <c r="E88" i="51"/>
  <c r="E91" i="51" s="1"/>
  <c r="C86" i="51"/>
  <c r="C91" i="51" s="1"/>
  <c r="E84" i="51"/>
  <c r="C84" i="51"/>
  <c r="C77" i="51"/>
  <c r="E74" i="51"/>
  <c r="E77" i="51" s="1"/>
  <c r="C70" i="51"/>
  <c r="E69" i="51"/>
  <c r="E66" i="51"/>
  <c r="E65" i="51"/>
  <c r="C65" i="51"/>
  <c r="C57" i="51"/>
  <c r="E54" i="51"/>
  <c r="E57" i="51" s="1"/>
  <c r="C48" i="51"/>
  <c r="E45" i="51"/>
  <c r="E43" i="51"/>
  <c r="E42" i="51"/>
  <c r="E41" i="51"/>
  <c r="E34" i="51"/>
  <c r="C34" i="51"/>
  <c r="E28" i="51"/>
  <c r="E17" i="51"/>
  <c r="C17" i="51"/>
  <c r="G72" i="50"/>
  <c r="F72" i="50"/>
  <c r="G71" i="50"/>
  <c r="F71" i="50"/>
  <c r="F73" i="50" s="1"/>
  <c r="G69" i="50"/>
  <c r="F69" i="50"/>
  <c r="G65" i="50"/>
  <c r="F65" i="50"/>
  <c r="G61" i="50"/>
  <c r="F61" i="50"/>
  <c r="G57" i="50"/>
  <c r="F57" i="50"/>
  <c r="F51" i="50"/>
  <c r="G50" i="50"/>
  <c r="F50" i="50"/>
  <c r="G48" i="50"/>
  <c r="F48" i="50"/>
  <c r="F44" i="50"/>
  <c r="G44" i="50"/>
  <c r="F40" i="50"/>
  <c r="G40" i="50"/>
  <c r="F35" i="50"/>
  <c r="G34" i="50"/>
  <c r="F34" i="50"/>
  <c r="F32" i="50"/>
  <c r="G28" i="50"/>
  <c r="F28" i="50"/>
  <c r="G24" i="50"/>
  <c r="F24" i="50"/>
  <c r="G20" i="50"/>
  <c r="F20" i="50"/>
  <c r="G16" i="50"/>
  <c r="F16" i="50"/>
  <c r="G12" i="50"/>
  <c r="F12" i="50"/>
  <c r="G135" i="49"/>
  <c r="F135" i="49"/>
  <c r="G134" i="49"/>
  <c r="F134" i="49"/>
  <c r="G132" i="49"/>
  <c r="F132" i="49"/>
  <c r="G128" i="49"/>
  <c r="F128" i="49"/>
  <c r="G124" i="49"/>
  <c r="F124" i="49"/>
  <c r="G120" i="49"/>
  <c r="F120" i="49"/>
  <c r="G115" i="49"/>
  <c r="F115" i="49"/>
  <c r="G114" i="49"/>
  <c r="F114" i="49"/>
  <c r="G112" i="49"/>
  <c r="F112" i="49"/>
  <c r="G108" i="49"/>
  <c r="F108" i="49"/>
  <c r="G104" i="49"/>
  <c r="F104" i="49"/>
  <c r="G99" i="49"/>
  <c r="F99" i="49"/>
  <c r="G98" i="49"/>
  <c r="F98" i="49"/>
  <c r="F100" i="49" s="1"/>
  <c r="G95" i="49"/>
  <c r="F95" i="49"/>
  <c r="G91" i="49"/>
  <c r="F91" i="49"/>
  <c r="G87" i="49"/>
  <c r="F87" i="49"/>
  <c r="G83" i="49"/>
  <c r="F83" i="49"/>
  <c r="G73" i="49"/>
  <c r="F73" i="49"/>
  <c r="G72" i="49"/>
  <c r="G74" i="49" s="1"/>
  <c r="F72" i="49"/>
  <c r="F74" i="49" s="1"/>
  <c r="G70" i="49"/>
  <c r="F70" i="49"/>
  <c r="G66" i="49"/>
  <c r="F66" i="49"/>
  <c r="G58" i="49"/>
  <c r="F58" i="49"/>
  <c r="G53" i="49"/>
  <c r="F53" i="49"/>
  <c r="G52" i="49"/>
  <c r="F52" i="49"/>
  <c r="G50" i="49"/>
  <c r="F50" i="49"/>
  <c r="G46" i="49"/>
  <c r="F46" i="49"/>
  <c r="F41" i="49"/>
  <c r="G40" i="49"/>
  <c r="F40" i="49"/>
  <c r="G38" i="49"/>
  <c r="F38" i="49"/>
  <c r="G34" i="49"/>
  <c r="F34" i="49"/>
  <c r="G30" i="49"/>
  <c r="F30" i="49"/>
  <c r="G26" i="49"/>
  <c r="F26" i="49"/>
  <c r="G41" i="49"/>
  <c r="F21" i="49"/>
  <c r="F20" i="49"/>
  <c r="F60" i="49" s="1"/>
  <c r="G18" i="49"/>
  <c r="F18" i="49"/>
  <c r="G14" i="49"/>
  <c r="F14" i="49"/>
  <c r="H22" i="48"/>
  <c r="G22" i="48"/>
  <c r="F22" i="48"/>
  <c r="E22" i="48"/>
  <c r="D22" i="48"/>
  <c r="H19" i="48"/>
  <c r="G19" i="48"/>
  <c r="F19" i="48"/>
  <c r="E19" i="48"/>
  <c r="D19" i="48"/>
  <c r="H15" i="48"/>
  <c r="G15" i="48"/>
  <c r="F15" i="48"/>
  <c r="E15" i="48"/>
  <c r="D15" i="48"/>
  <c r="H12" i="48"/>
  <c r="G12" i="48"/>
  <c r="F12" i="48"/>
  <c r="E12" i="48"/>
  <c r="D12" i="48"/>
  <c r="H9" i="48"/>
  <c r="G9" i="48"/>
  <c r="F9" i="48"/>
  <c r="E9" i="48"/>
  <c r="E23" i="48" s="1"/>
  <c r="D9" i="48"/>
  <c r="D34" i="47"/>
  <c r="C16" i="46"/>
  <c r="G99" i="54" l="1"/>
  <c r="G11" i="54"/>
  <c r="F34" i="51"/>
  <c r="E114" i="51"/>
  <c r="H17" i="57"/>
  <c r="F54" i="49"/>
  <c r="F17" i="51"/>
  <c r="E48" i="51"/>
  <c r="I33" i="57"/>
  <c r="F24" i="57"/>
  <c r="F23" i="48"/>
  <c r="F61" i="49"/>
  <c r="G23" i="48"/>
  <c r="D23" i="48"/>
  <c r="H23" i="48"/>
  <c r="F42" i="49"/>
  <c r="E70" i="51"/>
  <c r="G94" i="54"/>
  <c r="G41" i="54"/>
  <c r="G10" i="54"/>
  <c r="G36" i="54"/>
  <c r="G88" i="54"/>
  <c r="G32" i="54"/>
  <c r="E17" i="54"/>
  <c r="E16" i="54" s="1"/>
  <c r="E9" i="54" s="1"/>
  <c r="G24" i="54"/>
  <c r="G73" i="50"/>
  <c r="G136" i="49"/>
  <c r="G116" i="49"/>
  <c r="G54" i="49"/>
  <c r="G60" i="49"/>
  <c r="G138" i="49" s="1"/>
  <c r="F22" i="52"/>
  <c r="G12" i="52" s="1"/>
  <c r="J17" i="58"/>
  <c r="D18" i="58"/>
  <c r="D20" i="58" s="1"/>
  <c r="E17" i="58"/>
  <c r="E13" i="58"/>
  <c r="F75" i="50"/>
  <c r="F52" i="50"/>
  <c r="F76" i="50"/>
  <c r="F136" i="49"/>
  <c r="F116" i="49"/>
  <c r="G100" i="49"/>
  <c r="G22" i="49"/>
  <c r="F138" i="49"/>
  <c r="F139" i="49"/>
  <c r="J17" i="57"/>
  <c r="J32" i="57"/>
  <c r="H18" i="58"/>
  <c r="H20" i="58" s="1"/>
  <c r="I13" i="58"/>
  <c r="C18" i="58"/>
  <c r="C20" i="58" s="1"/>
  <c r="J9" i="58"/>
  <c r="J13" i="58" s="1"/>
  <c r="F62" i="49"/>
  <c r="F48" i="51"/>
  <c r="F57" i="51" s="1"/>
  <c r="F65" i="51" s="1"/>
  <c r="F70" i="51" s="1"/>
  <c r="F77" i="51" s="1"/>
  <c r="F84" i="51" s="1"/>
  <c r="F91" i="51" s="1"/>
  <c r="F98" i="51" s="1"/>
  <c r="F106" i="51" s="1"/>
  <c r="F114" i="51" s="1"/>
  <c r="F121" i="51" s="1"/>
  <c r="F128" i="51" s="1"/>
  <c r="F134" i="51" s="1"/>
  <c r="F140" i="51" s="1"/>
  <c r="F146" i="51" s="1"/>
  <c r="F152" i="51" s="1"/>
  <c r="F158" i="51" s="1"/>
  <c r="F164" i="51" s="1"/>
  <c r="F172" i="51" s="1"/>
  <c r="F180" i="51" s="1"/>
  <c r="F188" i="51" s="1"/>
  <c r="F196" i="51" s="1"/>
  <c r="J28" i="57"/>
  <c r="G61" i="49"/>
  <c r="G139" i="49" s="1"/>
  <c r="G36" i="50"/>
  <c r="J33" i="57"/>
  <c r="G42" i="49"/>
  <c r="G51" i="50"/>
  <c r="G76" i="50" s="1"/>
  <c r="G32" i="50"/>
  <c r="G75" i="50"/>
  <c r="G22" i="54"/>
  <c r="G18" i="54" s="1"/>
  <c r="H28" i="57"/>
  <c r="H33" i="57" s="1"/>
  <c r="F22" i="49"/>
  <c r="F36" i="50"/>
  <c r="F24" i="54"/>
  <c r="F17" i="54" s="1"/>
  <c r="F16" i="54" s="1"/>
  <c r="F9" i="54" s="1"/>
  <c r="G13" i="52" l="1"/>
  <c r="E20" i="58"/>
  <c r="F77" i="50"/>
  <c r="G17" i="54"/>
  <c r="G21" i="52"/>
  <c r="G16" i="52"/>
  <c r="G11" i="52"/>
  <c r="G14" i="52"/>
  <c r="G15" i="52"/>
  <c r="G19" i="52"/>
  <c r="G22" i="52"/>
  <c r="G10" i="52"/>
  <c r="G20" i="52"/>
  <c r="G17" i="52"/>
  <c r="I18" i="58"/>
  <c r="I20" i="58" s="1"/>
  <c r="E18" i="58"/>
  <c r="G52" i="50"/>
  <c r="F140" i="49"/>
  <c r="G62" i="49"/>
  <c r="J18" i="58"/>
  <c r="J20" i="58" s="1"/>
  <c r="G16" i="54"/>
  <c r="G9" i="54" s="1"/>
  <c r="G140" i="49"/>
  <c r="G77" i="50"/>
  <c r="C10" i="45" l="1"/>
  <c r="C7" i="45"/>
  <c r="C11" i="45" l="1"/>
  <c r="J94" i="39"/>
  <c r="J95" i="39"/>
  <c r="G51" i="41" l="1"/>
  <c r="D23" i="36"/>
  <c r="E79" i="43" l="1"/>
  <c r="E42" i="40" l="1"/>
  <c r="D42" i="40"/>
  <c r="J109" i="39" l="1"/>
  <c r="G33" i="40"/>
  <c r="F97" i="14"/>
  <c r="J105" i="39"/>
  <c r="J104" i="39"/>
  <c r="G27" i="43" l="1"/>
  <c r="F34" i="40"/>
  <c r="F42" i="40" s="1"/>
  <c r="I72" i="39" l="1"/>
  <c r="G37" i="40"/>
  <c r="G23" i="40"/>
  <c r="G8" i="40"/>
  <c r="G39" i="40" l="1"/>
  <c r="G40" i="40"/>
  <c r="G41" i="40"/>
  <c r="F76" i="36" l="1"/>
  <c r="F42" i="14"/>
  <c r="F43" i="14"/>
  <c r="G51" i="43"/>
  <c r="E58" i="14" l="1"/>
  <c r="G109" i="43" l="1"/>
  <c r="G32" i="40"/>
  <c r="G31" i="40"/>
  <c r="F34" i="22"/>
  <c r="G11" i="24" l="1"/>
  <c r="H11" i="24"/>
  <c r="I11" i="24"/>
  <c r="G54" i="43" l="1"/>
  <c r="G7" i="43"/>
  <c r="G124" i="43"/>
  <c r="G125" i="43"/>
  <c r="G126" i="43"/>
  <c r="K40" i="41" l="1"/>
  <c r="L40" i="41"/>
  <c r="J40" i="41"/>
  <c r="E94" i="36" l="1"/>
  <c r="F92" i="36" l="1"/>
  <c r="J10" i="24" l="1"/>
  <c r="G78" i="43" l="1"/>
  <c r="G79" i="43"/>
  <c r="G80" i="43"/>
  <c r="G81" i="43"/>
  <c r="G86" i="43"/>
  <c r="G85" i="43"/>
  <c r="G87" i="43"/>
  <c r="G88" i="43"/>
  <c r="G89" i="43"/>
  <c r="G90" i="43"/>
  <c r="G91" i="43"/>
  <c r="G92" i="43"/>
  <c r="G93" i="43"/>
  <c r="G94" i="43"/>
  <c r="G95" i="43"/>
  <c r="G96" i="43"/>
  <c r="G97" i="43"/>
  <c r="G98" i="43"/>
  <c r="G99" i="43"/>
  <c r="G100" i="43"/>
  <c r="G101" i="43"/>
  <c r="G102" i="43"/>
  <c r="G103" i="43"/>
  <c r="G104" i="43"/>
  <c r="G105" i="43"/>
  <c r="G106" i="43"/>
  <c r="G107" i="43"/>
  <c r="G108" i="43"/>
  <c r="G110" i="43"/>
  <c r="G111" i="43"/>
  <c r="G112" i="43"/>
  <c r="G113" i="43"/>
  <c r="G114" i="43"/>
  <c r="G115" i="43"/>
  <c r="G117" i="43"/>
  <c r="G118" i="43"/>
  <c r="G119" i="43"/>
  <c r="G120" i="43"/>
  <c r="G121" i="43"/>
  <c r="G122" i="43"/>
  <c r="G123" i="43"/>
  <c r="G127" i="43"/>
  <c r="G128" i="43"/>
  <c r="G129" i="43"/>
  <c r="G130" i="43"/>
  <c r="G131" i="43"/>
  <c r="G132" i="43"/>
  <c r="G133" i="43"/>
  <c r="G134" i="43"/>
  <c r="G135" i="43"/>
  <c r="G136" i="43"/>
  <c r="G137" i="43"/>
  <c r="G138" i="43"/>
  <c r="G144" i="43"/>
  <c r="F143" i="43"/>
  <c r="L39" i="41" s="1"/>
  <c r="E143" i="43"/>
  <c r="K39" i="41" s="1"/>
  <c r="D143" i="43"/>
  <c r="J39" i="41" s="1"/>
  <c r="F139" i="43"/>
  <c r="E139" i="43"/>
  <c r="K38" i="41" s="1"/>
  <c r="D139" i="43"/>
  <c r="J38" i="41" s="1"/>
  <c r="G65" i="43"/>
  <c r="G77" i="43"/>
  <c r="G75" i="43"/>
  <c r="G73" i="43"/>
  <c r="G72" i="43"/>
  <c r="G70" i="43"/>
  <c r="G68" i="43"/>
  <c r="G67" i="43"/>
  <c r="G64" i="43"/>
  <c r="G63" i="43"/>
  <c r="G62" i="43"/>
  <c r="G61" i="43"/>
  <c r="G60" i="43"/>
  <c r="G57" i="43"/>
  <c r="G56" i="43"/>
  <c r="G55" i="43"/>
  <c r="G53" i="43"/>
  <c r="G50" i="43"/>
  <c r="G49" i="43"/>
  <c r="G48" i="43"/>
  <c r="G46" i="43"/>
  <c r="G45" i="43"/>
  <c r="G44" i="43"/>
  <c r="G43" i="43"/>
  <c r="G42" i="43"/>
  <c r="G39" i="43"/>
  <c r="G38" i="43"/>
  <c r="G36" i="43"/>
  <c r="G35" i="43"/>
  <c r="G34" i="43"/>
  <c r="G33" i="43"/>
  <c r="F30" i="43"/>
  <c r="L37" i="41" s="1"/>
  <c r="E30" i="43"/>
  <c r="K37" i="41" s="1"/>
  <c r="D30" i="43"/>
  <c r="J37" i="41" s="1"/>
  <c r="G29" i="43"/>
  <c r="G28" i="43"/>
  <c r="G26" i="43"/>
  <c r="G24" i="43"/>
  <c r="L36" i="41"/>
  <c r="K36" i="41"/>
  <c r="J36" i="41"/>
  <c r="G21" i="43"/>
  <c r="G20" i="43"/>
  <c r="F18" i="43"/>
  <c r="L35" i="41" s="1"/>
  <c r="E18" i="43"/>
  <c r="K35" i="41" s="1"/>
  <c r="D18" i="43"/>
  <c r="J35" i="41" s="1"/>
  <c r="F15" i="43"/>
  <c r="L34" i="41" s="1"/>
  <c r="E15" i="43"/>
  <c r="D15" i="43"/>
  <c r="G14" i="43"/>
  <c r="G12" i="43"/>
  <c r="G11" i="43"/>
  <c r="G10" i="43"/>
  <c r="G9" i="43"/>
  <c r="G8" i="43"/>
  <c r="K34" i="41" l="1"/>
  <c r="E145" i="43"/>
  <c r="J34" i="41"/>
  <c r="D145" i="43"/>
  <c r="L38" i="41"/>
  <c r="F145" i="43"/>
  <c r="G30" i="43"/>
  <c r="G139" i="43"/>
  <c r="G15" i="43"/>
  <c r="I25" i="24"/>
  <c r="G145" i="43" l="1"/>
  <c r="E99" i="14"/>
  <c r="J52" i="39" l="1"/>
  <c r="F7" i="13" l="1"/>
  <c r="D99" i="14" l="1"/>
  <c r="F98" i="14"/>
  <c r="F84" i="14"/>
  <c r="E71" i="40"/>
  <c r="F71" i="40"/>
  <c r="D71" i="40"/>
  <c r="G38" i="40"/>
  <c r="F36" i="22"/>
  <c r="F74" i="36"/>
  <c r="G136" i="39"/>
  <c r="I121" i="39"/>
  <c r="G121" i="39"/>
  <c r="H121" i="39"/>
  <c r="H136" i="39"/>
  <c r="I136" i="39"/>
  <c r="J128" i="39"/>
  <c r="F52" i="14" l="1"/>
  <c r="G47" i="41" l="1"/>
  <c r="F35" i="22" l="1"/>
  <c r="F46" i="14" l="1"/>
  <c r="J15" i="24" l="1"/>
  <c r="F75" i="36"/>
  <c r="F77" i="36"/>
  <c r="J120" i="39"/>
  <c r="J117" i="39"/>
  <c r="J48" i="39"/>
  <c r="J83" i="39"/>
  <c r="F51" i="14"/>
  <c r="J67" i="39"/>
  <c r="G31" i="9" l="1"/>
  <c r="M47" i="41" l="1"/>
  <c r="G36" i="40" l="1"/>
  <c r="F67" i="36" l="1"/>
  <c r="F50" i="14"/>
  <c r="D90" i="14" l="1"/>
  <c r="F83" i="14"/>
  <c r="H34" i="39"/>
  <c r="H28" i="39"/>
  <c r="F89" i="14" l="1"/>
  <c r="G35" i="40" l="1"/>
  <c r="F14" i="14"/>
  <c r="J46" i="39"/>
  <c r="F74" i="14"/>
  <c r="G11" i="9" l="1"/>
  <c r="F30" i="14" l="1"/>
  <c r="E95" i="36"/>
  <c r="F72" i="14"/>
  <c r="F81" i="36" l="1"/>
  <c r="F25" i="14"/>
  <c r="G34" i="40" l="1"/>
  <c r="F33" i="22"/>
  <c r="F71" i="14"/>
  <c r="F70" i="14"/>
  <c r="F49" i="14"/>
  <c r="F24" i="12"/>
  <c r="F119" i="36"/>
  <c r="F117" i="36"/>
  <c r="F115" i="36"/>
  <c r="F114" i="36"/>
  <c r="F112" i="36"/>
  <c r="F111" i="36"/>
  <c r="F110" i="36"/>
  <c r="F108" i="36"/>
  <c r="F107" i="36"/>
  <c r="F105" i="36"/>
  <c r="D109" i="36"/>
  <c r="D113" i="36"/>
  <c r="E120" i="36"/>
  <c r="E116" i="36"/>
  <c r="E113" i="36"/>
  <c r="E109" i="36"/>
  <c r="F109" i="36" s="1"/>
  <c r="E106" i="36"/>
  <c r="C120" i="36"/>
  <c r="D116" i="36"/>
  <c r="C116" i="36"/>
  <c r="C113" i="36"/>
  <c r="C109" i="36"/>
  <c r="C106" i="36"/>
  <c r="F104" i="36"/>
  <c r="J103" i="39"/>
  <c r="J51" i="39"/>
  <c r="F113" i="36" l="1"/>
  <c r="F116" i="36"/>
  <c r="E121" i="36"/>
  <c r="L28" i="41" s="1"/>
  <c r="F106" i="36"/>
  <c r="D120" i="36"/>
  <c r="F120" i="36" s="1"/>
  <c r="D106" i="36"/>
  <c r="F103" i="36"/>
  <c r="F118" i="36"/>
  <c r="C121" i="36"/>
  <c r="J28" i="41" s="1"/>
  <c r="J71" i="39"/>
  <c r="D121" i="36" l="1"/>
  <c r="F81" i="14"/>
  <c r="K28" i="41" l="1"/>
  <c r="F121" i="36"/>
  <c r="F55" i="40"/>
  <c r="F48" i="40"/>
  <c r="F65" i="36"/>
  <c r="F54" i="36"/>
  <c r="I28" i="39"/>
  <c r="J27" i="39"/>
  <c r="F18" i="22" l="1"/>
  <c r="M45" i="41" l="1"/>
  <c r="E36" i="36" l="1"/>
  <c r="E35" i="36"/>
  <c r="F45" i="14"/>
  <c r="F47" i="14"/>
  <c r="F48" i="14"/>
  <c r="F53" i="14"/>
  <c r="F54" i="14"/>
  <c r="F55" i="14"/>
  <c r="F56" i="14"/>
  <c r="J28" i="24"/>
  <c r="J29" i="24"/>
  <c r="E34" i="36" l="1"/>
  <c r="E28" i="36" l="1"/>
  <c r="E23" i="36"/>
  <c r="G54" i="40" l="1"/>
  <c r="E10" i="40"/>
  <c r="F10" i="40"/>
  <c r="D10" i="40"/>
  <c r="E11" i="40"/>
  <c r="F11" i="40"/>
  <c r="F23" i="22"/>
  <c r="F24" i="22"/>
  <c r="F25" i="22"/>
  <c r="F26" i="22"/>
  <c r="F27" i="22"/>
  <c r="F28" i="22"/>
  <c r="F29" i="22"/>
  <c r="F31" i="22"/>
  <c r="F32" i="22"/>
  <c r="C90" i="14"/>
  <c r="H54" i="39"/>
  <c r="I54" i="39"/>
  <c r="G54" i="39"/>
  <c r="H40" i="39"/>
  <c r="I40" i="39"/>
  <c r="G40" i="39"/>
  <c r="H37" i="39"/>
  <c r="H38" i="39" s="1"/>
  <c r="I37" i="39"/>
  <c r="G37" i="39"/>
  <c r="I34" i="39"/>
  <c r="G34" i="39"/>
  <c r="G28" i="39"/>
  <c r="D55" i="36"/>
  <c r="E55" i="36"/>
  <c r="G29" i="9"/>
  <c r="G38" i="39" l="1"/>
  <c r="I38" i="39"/>
  <c r="I55" i="39" s="1"/>
  <c r="D43" i="40"/>
  <c r="F43" i="40"/>
  <c r="H55" i="39"/>
  <c r="G55" i="39"/>
  <c r="G10" i="40"/>
  <c r="J34" i="39"/>
  <c r="J28" i="39"/>
  <c r="J37" i="39"/>
  <c r="C55" i="36"/>
  <c r="J38" i="39" l="1"/>
  <c r="L20" i="41" l="1"/>
  <c r="J20" i="41"/>
  <c r="K20" i="41"/>
  <c r="G19" i="40"/>
  <c r="J24" i="24"/>
  <c r="H111" i="39"/>
  <c r="E6" i="41" s="1"/>
  <c r="J18" i="39"/>
  <c r="J19" i="39"/>
  <c r="J20" i="39"/>
  <c r="M18" i="41"/>
  <c r="G17" i="40"/>
  <c r="F96" i="14"/>
  <c r="F94" i="14"/>
  <c r="F37" i="11"/>
  <c r="F38" i="11"/>
  <c r="J102" i="39"/>
  <c r="G46" i="41"/>
  <c r="F19" i="22"/>
  <c r="F20" i="22"/>
  <c r="F80" i="36"/>
  <c r="J53" i="39"/>
  <c r="G21" i="40"/>
  <c r="G22" i="40"/>
  <c r="G24" i="40"/>
  <c r="G25" i="40"/>
  <c r="G26" i="40"/>
  <c r="G27" i="40"/>
  <c r="G28" i="40"/>
  <c r="G29" i="40"/>
  <c r="G30" i="40"/>
  <c r="F93" i="14"/>
  <c r="F95" i="14"/>
  <c r="J119" i="39"/>
  <c r="G6" i="40"/>
  <c r="G16" i="40"/>
  <c r="G18" i="40"/>
  <c r="G20" i="40"/>
  <c r="G15" i="40"/>
  <c r="C99" i="14"/>
  <c r="F68" i="14"/>
  <c r="F69" i="14"/>
  <c r="F21" i="13"/>
  <c r="C94" i="36"/>
  <c r="C95" i="36" s="1"/>
  <c r="D94" i="36"/>
  <c r="D95" i="36" s="1"/>
  <c r="F93" i="36"/>
  <c r="F8" i="22"/>
  <c r="G211" i="41"/>
  <c r="G47" i="40"/>
  <c r="E83" i="36"/>
  <c r="F92" i="14"/>
  <c r="F28" i="41"/>
  <c r="J36" i="39"/>
  <c r="J30" i="39"/>
  <c r="F35" i="36"/>
  <c r="F17" i="14"/>
  <c r="F18" i="14"/>
  <c r="F19" i="36"/>
  <c r="F15" i="36"/>
  <c r="E55" i="40"/>
  <c r="E28" i="41" s="1"/>
  <c r="F27" i="11"/>
  <c r="J50" i="39"/>
  <c r="E20" i="14"/>
  <c r="F26" i="41"/>
  <c r="E38" i="22"/>
  <c r="J93" i="39"/>
  <c r="J82" i="39"/>
  <c r="F66" i="14"/>
  <c r="F9" i="41"/>
  <c r="I111" i="39"/>
  <c r="F8" i="41"/>
  <c r="F10" i="41"/>
  <c r="G46" i="40"/>
  <c r="G13" i="40"/>
  <c r="J116" i="39"/>
  <c r="J80" i="39"/>
  <c r="D38" i="22"/>
  <c r="K12" i="41" s="1"/>
  <c r="F10" i="22"/>
  <c r="H25" i="24"/>
  <c r="D30" i="25"/>
  <c r="D10" i="12"/>
  <c r="D25" i="12"/>
  <c r="D34" i="12"/>
  <c r="E9" i="9"/>
  <c r="E33" i="9"/>
  <c r="E42" i="9"/>
  <c r="K27" i="41" s="1"/>
  <c r="D10" i="11"/>
  <c r="D13" i="11"/>
  <c r="D30" i="11"/>
  <c r="K29" i="41"/>
  <c r="D12" i="36"/>
  <c r="D18" i="36"/>
  <c r="D33" i="36"/>
  <c r="D28" i="36"/>
  <c r="D68" i="36"/>
  <c r="D69" i="36" s="1"/>
  <c r="D83" i="36"/>
  <c r="D87" i="36"/>
  <c r="F79" i="36"/>
  <c r="D11" i="14"/>
  <c r="D20" i="14"/>
  <c r="D109" i="14"/>
  <c r="D10" i="13"/>
  <c r="D23" i="13"/>
  <c r="K31" i="41" s="1"/>
  <c r="F17" i="22"/>
  <c r="F16" i="22"/>
  <c r="E68" i="36"/>
  <c r="E87" i="36"/>
  <c r="E12" i="36"/>
  <c r="J42" i="39"/>
  <c r="J43" i="39"/>
  <c r="J44" i="39"/>
  <c r="J45" i="39"/>
  <c r="J47" i="39"/>
  <c r="F12" i="12"/>
  <c r="F23" i="12"/>
  <c r="F16" i="25"/>
  <c r="F82" i="14"/>
  <c r="F12" i="13"/>
  <c r="F20" i="11"/>
  <c r="F22" i="36"/>
  <c r="J14" i="39"/>
  <c r="H72" i="39"/>
  <c r="E9" i="41" s="1"/>
  <c r="G72" i="39"/>
  <c r="D9" i="41" s="1"/>
  <c r="F9" i="9"/>
  <c r="F33" i="9"/>
  <c r="E11" i="14"/>
  <c r="E30" i="25"/>
  <c r="L14" i="41" s="1"/>
  <c r="E10" i="13"/>
  <c r="E14" i="13"/>
  <c r="E10" i="12"/>
  <c r="E25" i="12"/>
  <c r="E10" i="11"/>
  <c r="E13" i="11"/>
  <c r="E30" i="11"/>
  <c r="L29" i="41"/>
  <c r="E34" i="12"/>
  <c r="L30" i="41" s="1"/>
  <c r="E109" i="14"/>
  <c r="L32" i="41" s="1"/>
  <c r="L52" i="41"/>
  <c r="F15" i="22"/>
  <c r="F79" i="14"/>
  <c r="F78" i="14"/>
  <c r="F67" i="14"/>
  <c r="G16" i="9"/>
  <c r="J92" i="39"/>
  <c r="J91" i="39"/>
  <c r="G25" i="24"/>
  <c r="C68" i="36"/>
  <c r="C69" i="36" s="1"/>
  <c r="F28" i="25"/>
  <c r="F26" i="11"/>
  <c r="C33" i="36"/>
  <c r="G45" i="41"/>
  <c r="J49" i="39"/>
  <c r="G7" i="40"/>
  <c r="G9" i="40"/>
  <c r="F78" i="36"/>
  <c r="J134" i="39"/>
  <c r="E8" i="41"/>
  <c r="J79" i="39"/>
  <c r="J32" i="39"/>
  <c r="J33" i="39"/>
  <c r="J31" i="39"/>
  <c r="G48" i="41"/>
  <c r="G50" i="41"/>
  <c r="C20" i="14"/>
  <c r="F40" i="14"/>
  <c r="D37" i="36"/>
  <c r="F42" i="9"/>
  <c r="F25" i="11"/>
  <c r="F28" i="11"/>
  <c r="F12" i="11"/>
  <c r="F29" i="41"/>
  <c r="F52" i="41"/>
  <c r="F13" i="22"/>
  <c r="J26" i="39"/>
  <c r="J30" i="24"/>
  <c r="J114" i="39"/>
  <c r="F91" i="36"/>
  <c r="J108" i="39"/>
  <c r="J115" i="39"/>
  <c r="J81" i="39"/>
  <c r="J70" i="39"/>
  <c r="G70" i="40"/>
  <c r="F64" i="36"/>
  <c r="J13" i="39"/>
  <c r="J9" i="39"/>
  <c r="J8" i="39"/>
  <c r="J100" i="39"/>
  <c r="J101" i="39"/>
  <c r="F106" i="14"/>
  <c r="F107" i="14"/>
  <c r="F108" i="14"/>
  <c r="F76" i="14"/>
  <c r="F77" i="14"/>
  <c r="F80" i="14"/>
  <c r="F39" i="14"/>
  <c r="F29" i="14"/>
  <c r="F19" i="12"/>
  <c r="F20" i="12"/>
  <c r="F21" i="12"/>
  <c r="F22" i="12"/>
  <c r="F29" i="11"/>
  <c r="G19" i="9"/>
  <c r="G20" i="9"/>
  <c r="G21" i="9"/>
  <c r="G22" i="9"/>
  <c r="G23" i="9"/>
  <c r="G24" i="9"/>
  <c r="G25" i="9"/>
  <c r="G26" i="9"/>
  <c r="G27" i="9"/>
  <c r="G32" i="9"/>
  <c r="G14" i="9"/>
  <c r="G15" i="9"/>
  <c r="G17" i="9"/>
  <c r="F9" i="14"/>
  <c r="F10" i="14"/>
  <c r="D8" i="41"/>
  <c r="D10" i="41"/>
  <c r="G111" i="39"/>
  <c r="E10" i="41"/>
  <c r="C10" i="11"/>
  <c r="C30" i="11"/>
  <c r="C13" i="11"/>
  <c r="F52" i="36"/>
  <c r="F53" i="36"/>
  <c r="E48" i="40"/>
  <c r="E26" i="41" s="1"/>
  <c r="D48" i="40"/>
  <c r="D26" i="41" s="1"/>
  <c r="E52" i="41"/>
  <c r="F51" i="36"/>
  <c r="F50" i="36"/>
  <c r="J16" i="24"/>
  <c r="F29" i="25"/>
  <c r="F18" i="25"/>
  <c r="D33" i="9"/>
  <c r="D9" i="9"/>
  <c r="D14" i="13"/>
  <c r="E23" i="13"/>
  <c r="L31" i="41" s="1"/>
  <c r="C38" i="22"/>
  <c r="J12" i="41" s="1"/>
  <c r="C11" i="14"/>
  <c r="C12" i="36"/>
  <c r="C18" i="36"/>
  <c r="C23" i="36"/>
  <c r="C28" i="36"/>
  <c r="C37" i="36"/>
  <c r="C83" i="36"/>
  <c r="C87" i="36"/>
  <c r="C30" i="25"/>
  <c r="J14" i="41" s="1"/>
  <c r="C109" i="14"/>
  <c r="J32" i="41" s="1"/>
  <c r="C25" i="12"/>
  <c r="C10" i="12"/>
  <c r="G14" i="40"/>
  <c r="G45" i="40"/>
  <c r="G51" i="40"/>
  <c r="G52" i="40"/>
  <c r="D55" i="40"/>
  <c r="D28" i="41" s="1"/>
  <c r="D29" i="41"/>
  <c r="G66" i="40"/>
  <c r="F7" i="25"/>
  <c r="F8" i="25"/>
  <c r="F9" i="25"/>
  <c r="F10" i="25"/>
  <c r="F11" i="25"/>
  <c r="F12" i="25"/>
  <c r="F13" i="25"/>
  <c r="F14" i="25"/>
  <c r="F15" i="25"/>
  <c r="F17" i="25"/>
  <c r="F19" i="25"/>
  <c r="F20" i="25"/>
  <c r="F21" i="25"/>
  <c r="F22" i="25"/>
  <c r="F23" i="25"/>
  <c r="F24" i="25"/>
  <c r="F25" i="25"/>
  <c r="F26" i="25"/>
  <c r="F27" i="25"/>
  <c r="J8" i="24"/>
  <c r="J9" i="24"/>
  <c r="J12" i="24"/>
  <c r="J13" i="24"/>
  <c r="J14" i="24"/>
  <c r="J17" i="24"/>
  <c r="J18" i="24"/>
  <c r="J19" i="24"/>
  <c r="J20" i="24"/>
  <c r="J21" i="24"/>
  <c r="J22" i="24"/>
  <c r="J23" i="24"/>
  <c r="J27" i="24"/>
  <c r="F7" i="22"/>
  <c r="F9" i="22"/>
  <c r="F11" i="22"/>
  <c r="F12" i="22"/>
  <c r="F14" i="22"/>
  <c r="F21" i="22"/>
  <c r="F22" i="22"/>
  <c r="F8" i="14"/>
  <c r="F13" i="14"/>
  <c r="F16" i="14"/>
  <c r="F19" i="14"/>
  <c r="F61" i="14"/>
  <c r="F22" i="14"/>
  <c r="F86" i="14"/>
  <c r="F23" i="14"/>
  <c r="F24" i="14"/>
  <c r="F26" i="14"/>
  <c r="F62" i="14"/>
  <c r="F27" i="14"/>
  <c r="F63" i="14"/>
  <c r="F88" i="14"/>
  <c r="F28" i="14"/>
  <c r="F32" i="14"/>
  <c r="F33" i="14"/>
  <c r="F34" i="14"/>
  <c r="F35" i="14"/>
  <c r="F36" i="14"/>
  <c r="F37" i="14"/>
  <c r="F38" i="14"/>
  <c r="F75" i="14"/>
  <c r="F64" i="14"/>
  <c r="F65" i="14"/>
  <c r="F31" i="14"/>
  <c r="F41" i="14"/>
  <c r="F8" i="13"/>
  <c r="F9" i="13"/>
  <c r="C10" i="13"/>
  <c r="C14" i="13"/>
  <c r="C23" i="13"/>
  <c r="J31" i="41" s="1"/>
  <c r="F13" i="13"/>
  <c r="F22" i="13"/>
  <c r="F7" i="12"/>
  <c r="F8" i="12"/>
  <c r="F9" i="12"/>
  <c r="F15" i="12"/>
  <c r="F16" i="12"/>
  <c r="F17" i="12"/>
  <c r="F31" i="12"/>
  <c r="F32" i="12"/>
  <c r="F33" i="12"/>
  <c r="C34" i="12"/>
  <c r="J30" i="41" s="1"/>
  <c r="F7" i="11"/>
  <c r="F8" i="11"/>
  <c r="F9" i="11"/>
  <c r="F15" i="11"/>
  <c r="F16" i="11"/>
  <c r="F17" i="11"/>
  <c r="F18" i="11"/>
  <c r="F19" i="11"/>
  <c r="F22" i="11"/>
  <c r="F23" i="11"/>
  <c r="F24" i="11"/>
  <c r="J29" i="41"/>
  <c r="F9" i="36"/>
  <c r="F10" i="36"/>
  <c r="F11" i="36"/>
  <c r="F16" i="36"/>
  <c r="F17" i="36"/>
  <c r="F21" i="36"/>
  <c r="F31" i="36"/>
  <c r="F32" i="36"/>
  <c r="F26" i="36"/>
  <c r="F27" i="36"/>
  <c r="F40" i="36"/>
  <c r="F41" i="36"/>
  <c r="F42" i="36"/>
  <c r="F43" i="36"/>
  <c r="F44" i="36"/>
  <c r="F45" i="36"/>
  <c r="F46" i="36"/>
  <c r="F47" i="36"/>
  <c r="F48" i="36"/>
  <c r="F49" i="36"/>
  <c r="F59" i="36"/>
  <c r="F72" i="36"/>
  <c r="F73" i="36"/>
  <c r="F82" i="36"/>
  <c r="F85" i="36"/>
  <c r="F86" i="36"/>
  <c r="F90" i="36"/>
  <c r="G7" i="9"/>
  <c r="G8" i="9"/>
  <c r="G10" i="9"/>
  <c r="G40" i="9"/>
  <c r="G41" i="9"/>
  <c r="D42" i="9"/>
  <c r="J27" i="41" s="1"/>
  <c r="J10" i="39"/>
  <c r="J11" i="39"/>
  <c r="J17" i="39"/>
  <c r="J21" i="39"/>
  <c r="J22" i="39"/>
  <c r="J24" i="39"/>
  <c r="J25" i="39"/>
  <c r="J41" i="39"/>
  <c r="J58" i="39"/>
  <c r="J60" i="39"/>
  <c r="J62" i="39"/>
  <c r="J63" i="39"/>
  <c r="J64" i="39"/>
  <c r="J66" i="39"/>
  <c r="J68" i="39"/>
  <c r="J69" i="39"/>
  <c r="J74" i="39"/>
  <c r="J75" i="39"/>
  <c r="J76" i="39"/>
  <c r="J77" i="39"/>
  <c r="J78" i="39"/>
  <c r="J84" i="39"/>
  <c r="J85" i="39"/>
  <c r="J86" i="39"/>
  <c r="J87" i="39"/>
  <c r="J88" i="39"/>
  <c r="J89" i="39"/>
  <c r="J90" i="39"/>
  <c r="J97" i="39"/>
  <c r="J99" i="39"/>
  <c r="J107" i="39"/>
  <c r="J123" i="39"/>
  <c r="J124" i="39"/>
  <c r="J125" i="39"/>
  <c r="J126" i="39"/>
  <c r="J127" i="39"/>
  <c r="J129" i="39"/>
  <c r="J130" i="39"/>
  <c r="J131" i="39"/>
  <c r="J132" i="39"/>
  <c r="J133" i="39"/>
  <c r="G49" i="41"/>
  <c r="D52" i="41"/>
  <c r="J52" i="41"/>
  <c r="K52" i="41"/>
  <c r="J98" i="39"/>
  <c r="F58" i="14"/>
  <c r="F30" i="36"/>
  <c r="E33" i="36"/>
  <c r="J23" i="39"/>
  <c r="E90" i="14"/>
  <c r="F34" i="12" l="1"/>
  <c r="K32" i="41"/>
  <c r="M32" i="41" s="1"/>
  <c r="D100" i="14"/>
  <c r="D101" i="14" s="1"/>
  <c r="K30" i="41"/>
  <c r="M30" i="41" s="1"/>
  <c r="F6" i="41"/>
  <c r="G6" i="41" s="1"/>
  <c r="D6" i="41"/>
  <c r="G137" i="39"/>
  <c r="E100" i="14"/>
  <c r="F30" i="11"/>
  <c r="G52" i="41"/>
  <c r="E29" i="41"/>
  <c r="G29" i="41" s="1"/>
  <c r="D26" i="12"/>
  <c r="F10" i="12"/>
  <c r="F25" i="12"/>
  <c r="E88" i="36"/>
  <c r="F30" i="25"/>
  <c r="J25" i="24"/>
  <c r="F20" i="14"/>
  <c r="F109" i="14"/>
  <c r="C100" i="14"/>
  <c r="C101" i="14" s="1"/>
  <c r="J11" i="41" s="1"/>
  <c r="F33" i="36"/>
  <c r="D15" i="13"/>
  <c r="K10" i="41" s="1"/>
  <c r="E34" i="9"/>
  <c r="C26" i="12"/>
  <c r="C36" i="12" s="1"/>
  <c r="M20" i="41"/>
  <c r="M52" i="41"/>
  <c r="J41" i="41"/>
  <c r="K41" i="41"/>
  <c r="H26" i="24"/>
  <c r="F10" i="13"/>
  <c r="M31" i="41"/>
  <c r="D31" i="11"/>
  <c r="D32" i="11" s="1"/>
  <c r="M36" i="41"/>
  <c r="M37" i="41"/>
  <c r="M40" i="41"/>
  <c r="G26" i="41"/>
  <c r="G28" i="41"/>
  <c r="F56" i="40"/>
  <c r="G48" i="40"/>
  <c r="G55" i="40"/>
  <c r="E31" i="11"/>
  <c r="G26" i="24"/>
  <c r="G31" i="24" s="1"/>
  <c r="J13" i="41" s="1"/>
  <c r="F38" i="22"/>
  <c r="F11" i="14"/>
  <c r="F90" i="14"/>
  <c r="C15" i="13"/>
  <c r="J10" i="41" s="1"/>
  <c r="E15" i="13"/>
  <c r="F15" i="13" s="1"/>
  <c r="F14" i="13"/>
  <c r="F23" i="13"/>
  <c r="E26" i="12"/>
  <c r="E36" i="12" s="1"/>
  <c r="K9" i="41"/>
  <c r="F13" i="11"/>
  <c r="C31" i="11"/>
  <c r="C32" i="11" s="1"/>
  <c r="F39" i="11"/>
  <c r="M29" i="41"/>
  <c r="F10" i="11"/>
  <c r="F68" i="36"/>
  <c r="C88" i="36"/>
  <c r="C96" i="36" s="1"/>
  <c r="F87" i="36"/>
  <c r="F83" i="36"/>
  <c r="F20" i="36"/>
  <c r="F23" i="36"/>
  <c r="M28" i="41"/>
  <c r="F12" i="36"/>
  <c r="C38" i="36"/>
  <c r="C56" i="36" s="1"/>
  <c r="D38" i="36"/>
  <c r="D56" i="36" s="1"/>
  <c r="E69" i="36"/>
  <c r="J33" i="41"/>
  <c r="F55" i="36"/>
  <c r="D88" i="36"/>
  <c r="D96" i="36" s="1"/>
  <c r="E37" i="36"/>
  <c r="F25" i="36"/>
  <c r="F28" i="36"/>
  <c r="J72" i="39"/>
  <c r="F34" i="36"/>
  <c r="J111" i="39"/>
  <c r="G10" i="41"/>
  <c r="J136" i="39"/>
  <c r="G8" i="41"/>
  <c r="G9" i="41"/>
  <c r="J121" i="39"/>
  <c r="L27" i="41"/>
  <c r="L33" i="41" s="1"/>
  <c r="F34" i="9"/>
  <c r="F44" i="9" s="1"/>
  <c r="D34" i="9"/>
  <c r="G9" i="9"/>
  <c r="G42" i="9"/>
  <c r="F14" i="36"/>
  <c r="F94" i="36"/>
  <c r="G33" i="9"/>
  <c r="K14" i="41"/>
  <c r="M14" i="41" s="1"/>
  <c r="M38" i="41"/>
  <c r="L12" i="41"/>
  <c r="M12" i="41" s="1"/>
  <c r="F99" i="14"/>
  <c r="F36" i="36"/>
  <c r="K33" i="41" l="1"/>
  <c r="K42" i="41" s="1"/>
  <c r="K11" i="41"/>
  <c r="K6" i="41"/>
  <c r="D36" i="12"/>
  <c r="F36" i="12" s="1"/>
  <c r="H31" i="24"/>
  <c r="J9" i="41"/>
  <c r="G71" i="40"/>
  <c r="D25" i="13"/>
  <c r="E44" i="9"/>
  <c r="G44" i="9" s="1"/>
  <c r="F69" i="36"/>
  <c r="E96" i="36"/>
  <c r="E101" i="14"/>
  <c r="L11" i="41" s="1"/>
  <c r="F31" i="11"/>
  <c r="L10" i="41"/>
  <c r="M10" i="41" s="1"/>
  <c r="F100" i="14"/>
  <c r="F26" i="12"/>
  <c r="L9" i="41"/>
  <c r="M9" i="41" s="1"/>
  <c r="M34" i="41"/>
  <c r="D7" i="41"/>
  <c r="D21" i="41" s="1"/>
  <c r="D41" i="11"/>
  <c r="K8" i="41"/>
  <c r="C25" i="13"/>
  <c r="D111" i="14"/>
  <c r="C111" i="14"/>
  <c r="E25" i="13"/>
  <c r="E32" i="11"/>
  <c r="L8" i="41" s="1"/>
  <c r="J42" i="41"/>
  <c r="F72" i="40"/>
  <c r="F27" i="41"/>
  <c r="F42" i="41" s="1"/>
  <c r="D27" i="41"/>
  <c r="D42" i="41" s="1"/>
  <c r="D56" i="40"/>
  <c r="D72" i="40" s="1"/>
  <c r="G34" i="9"/>
  <c r="J8" i="41"/>
  <c r="C41" i="11"/>
  <c r="C97" i="36"/>
  <c r="C123" i="36" s="1"/>
  <c r="D97" i="36"/>
  <c r="F88" i="36"/>
  <c r="F37" i="36"/>
  <c r="F24" i="36"/>
  <c r="L6" i="41"/>
  <c r="M27" i="41"/>
  <c r="J6" i="41"/>
  <c r="D44" i="9"/>
  <c r="F95" i="36"/>
  <c r="L41" i="41"/>
  <c r="E18" i="36"/>
  <c r="F13" i="36"/>
  <c r="F7" i="41"/>
  <c r="I137" i="39"/>
  <c r="F25" i="13" l="1"/>
  <c r="M33" i="41"/>
  <c r="M11" i="41"/>
  <c r="D123" i="36"/>
  <c r="M6" i="41"/>
  <c r="K13" i="41"/>
  <c r="F101" i="14"/>
  <c r="E111" i="14"/>
  <c r="F111" i="14" s="1"/>
  <c r="D55" i="41"/>
  <c r="H137" i="39"/>
  <c r="J137" i="39" s="1"/>
  <c r="J54" i="39"/>
  <c r="J55" i="39"/>
  <c r="M8" i="41"/>
  <c r="J7" i="41"/>
  <c r="J21" i="41" s="1"/>
  <c r="J55" i="41" s="1"/>
  <c r="E41" i="11"/>
  <c r="F41" i="11" s="1"/>
  <c r="F32" i="11"/>
  <c r="K7" i="41"/>
  <c r="E7" i="41"/>
  <c r="E21" i="41" s="1"/>
  <c r="L42" i="41"/>
  <c r="M41" i="41"/>
  <c r="F21" i="41"/>
  <c r="F18" i="36"/>
  <c r="E38" i="36"/>
  <c r="F96" i="36"/>
  <c r="K21" i="41" l="1"/>
  <c r="K55" i="41" s="1"/>
  <c r="G7" i="41"/>
  <c r="G21" i="41"/>
  <c r="F55" i="41"/>
  <c r="F38" i="36"/>
  <c r="E56" i="36"/>
  <c r="M42" i="41"/>
  <c r="F56" i="36" l="1"/>
  <c r="E97" i="36"/>
  <c r="F97" i="36" s="1"/>
  <c r="E123" i="36" l="1"/>
  <c r="F123" i="36" s="1"/>
  <c r="L7" i="41"/>
  <c r="M7" i="41" l="1"/>
  <c r="G42" i="40" l="1"/>
  <c r="E43" i="40"/>
  <c r="E56" i="40" s="1"/>
  <c r="E27" i="41" l="1"/>
  <c r="G27" i="41" s="1"/>
  <c r="G56" i="40"/>
  <c r="E72" i="40"/>
  <c r="G72" i="40" s="1"/>
  <c r="G43" i="40"/>
  <c r="E42" i="41" l="1"/>
  <c r="G42" i="41" s="1"/>
  <c r="E55" i="41" l="1"/>
  <c r="G55" i="41" l="1"/>
  <c r="J11" i="24"/>
  <c r="I26" i="24"/>
  <c r="J26" i="24" l="1"/>
  <c r="I31" i="24"/>
  <c r="L13" i="41" l="1"/>
  <c r="L21" i="41" s="1"/>
  <c r="J31" i="24"/>
  <c r="M13" i="41" l="1"/>
  <c r="L55" i="41"/>
  <c r="M21" i="41"/>
  <c r="M55" i="41" l="1"/>
</calcChain>
</file>

<file path=xl/sharedStrings.xml><?xml version="1.0" encoding="utf-8"?>
<sst xmlns="http://schemas.openxmlformats.org/spreadsheetml/2006/main" count="3171" uniqueCount="1791">
  <si>
    <t>FELHALMOZÁSI CÉLÚ ÁTVETT PÉNZESZKÖZÖK ÖSSZESEN</t>
  </si>
  <si>
    <t>FELHALMOZÁSI BEVÉTELEK MINDÖSSZESEN</t>
  </si>
  <si>
    <t>Óvodai és Iskolai úszásoktatás feladatai</t>
  </si>
  <si>
    <t>Arany János ösztöndíj</t>
  </si>
  <si>
    <t>Oktatási intézmények összesen</t>
  </si>
  <si>
    <t>Savaria Múzeum összesen</t>
  </si>
  <si>
    <t>Capella Savaria</t>
  </si>
  <si>
    <t>Ferrum Színházi Társulat</t>
  </si>
  <si>
    <t>Kulturális ágazat kiadásai mindösszesen</t>
  </si>
  <si>
    <t>Lakás bérleti díj támogatása</t>
  </si>
  <si>
    <t>Savaria Turizmus Nonprofit Kft - támogatása</t>
  </si>
  <si>
    <t>Parkolásgazdálkodási kiadás</t>
  </si>
  <si>
    <t>SZMJV Bűnmegelőzési és Közbiztonsági Cselekvési programjának a fedezete, 
melynek része a pályázati önrész</t>
  </si>
  <si>
    <t>Külterületi utak fenntartása</t>
  </si>
  <si>
    <t>Csapadékvízelvezetés fejlesztése</t>
  </si>
  <si>
    <t>Óvoda adminisztrációs szoftver</t>
  </si>
  <si>
    <t>Áfa befizetés (saját bevételből)</t>
  </si>
  <si>
    <t>Intézményi vagyonbiztosítások</t>
  </si>
  <si>
    <t>Egészségügyi ágazat kiadásai mindösszesen</t>
  </si>
  <si>
    <t xml:space="preserve">Oktatási ágazat </t>
  </si>
  <si>
    <t>Sportágazat kiadásai mindösszesen</t>
  </si>
  <si>
    <t>Szociális ágazat kiadásai mindösszesen</t>
  </si>
  <si>
    <t>Oktatási ágazat kiadásai mindösszesen</t>
  </si>
  <si>
    <t>SZMJV Településfejlesztési koncepciójának és programjának elkészítése</t>
  </si>
  <si>
    <t>Segély központi támogatásból</t>
  </si>
  <si>
    <t>Savaria Városfejlesztési Kft. Támogatása</t>
  </si>
  <si>
    <t xml:space="preserve">Fejlesztési céltartalékok </t>
  </si>
  <si>
    <t>Termőföld bérbeadásából szárm.jöv.adó</t>
  </si>
  <si>
    <t>Helyi iparűzési adó</t>
  </si>
  <si>
    <t>Helyettes szülői hálózat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</si>
  <si>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</si>
  <si>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</si>
  <si>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</si>
  <si>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</si>
  <si>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</si>
  <si>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</si>
  <si>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</si>
  <si>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</si>
  <si>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</si>
  <si>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</si>
  <si>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</si>
  <si>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Nyilt árok tisztítás, árokrendezés 
(árvízvédelmi művek, berendezések karbantartása)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</si>
  <si>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</si>
  <si>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</si>
  <si>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</si>
  <si>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(Városüzemeltetési kiadások)</t>
  </si>
  <si>
    <t>Önkormányzat egyéb kiadásai (Hatósági kiadások)</t>
  </si>
  <si>
    <t>Önkormányzat egyéb kiadásai (Főépítészi kiadások)</t>
  </si>
  <si>
    <t>Közterület felügyelet bírság bevétel</t>
  </si>
  <si>
    <t>Nagy Lajos Gimnázium fűtése, hőszolgáltatási ktg</t>
  </si>
  <si>
    <t>Megnevezés</t>
  </si>
  <si>
    <t>Épitményadó</t>
  </si>
  <si>
    <t>Gyermekvédelmi kiadások</t>
  </si>
  <si>
    <t>Temetők sírhelyeladása, egyéb szolg.díja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</si>
  <si>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</si>
  <si>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family val="2"/>
        <charset val="238"/>
      </rPr>
      <t>saját bevételéből és OEP támogatásból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</si>
  <si>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</si>
  <si>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>Egyesített Bölcsődei Intézmény</t>
    </r>
    <r>
      <rPr>
        <b/>
        <i/>
        <sz val="12"/>
        <rFont val="Arial CE"/>
        <family val="2"/>
        <charset val="238"/>
      </rPr>
      <t xml:space="preserve"> saját bevételéből fedezett kiadás</t>
    </r>
  </si>
  <si>
    <t>Működési célú maradvány</t>
  </si>
  <si>
    <t>Költségvetési szervek beruházásai és felújításai</t>
  </si>
  <si>
    <t>2.</t>
  </si>
  <si>
    <t>Nagyprojektek, projektek</t>
  </si>
  <si>
    <t>Talajterhelési díj</t>
  </si>
  <si>
    <t>Bérleti díj</t>
  </si>
  <si>
    <t>Lakáskölcsöntörlesztés</t>
  </si>
  <si>
    <t>Nyugdíjasok háza befizetés</t>
  </si>
  <si>
    <t>Könyvtári érdekeltségnövelő támogatás</t>
  </si>
  <si>
    <t>Határont túli magyar egyesületek támogatása</t>
  </si>
  <si>
    <t xml:space="preserve">     Beruházások  összesen</t>
  </si>
  <si>
    <t>Vásárcsarnok átadott pénzeszköze</t>
  </si>
  <si>
    <t>Kátyuzás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</si>
  <si>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</si>
  <si>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</si>
  <si>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</si>
  <si>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</si>
  <si>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</si>
  <si>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</si>
  <si>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Jelzőrendszeres házi segítségnyújtás támogatása</t>
  </si>
  <si>
    <t>Pálos K. Szociális Szolgáltató Központ és Gyermekjóléti Szolgálat</t>
  </si>
  <si>
    <t>Egységes ügyiratkezelő szoftver az önk. által mük. Intézményekben</t>
  </si>
  <si>
    <t>KULTURÁLIS MŰKÖDÉSI KIADÁSOK ÖSSZESEN</t>
  </si>
  <si>
    <t>Esőemberke Alapítvány támogatása</t>
  </si>
  <si>
    <t>Mérőkészülékek felszerelése, és egyéb lakásgazdálkodási kiadások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</si>
  <si>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</si>
  <si>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</si>
  <si>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</si>
  <si>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</si>
  <si>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Közösségi és szabadidős sportrendezvények támogatása</t>
  </si>
  <si>
    <t>Szombathelyi Szabadidősport Szövetség támogatása</t>
  </si>
  <si>
    <t>Gyermek és ifjúsági kitüntetések</t>
  </si>
  <si>
    <t>Dobó Se támogatása</t>
  </si>
  <si>
    <t>Éves hídvizsgálat</t>
  </si>
  <si>
    <t>Önkormányzati sport kitüntetés</t>
  </si>
  <si>
    <t>Sugár úti Sportcentrum üzemeltetéséhez kapacitás lekötés</t>
  </si>
  <si>
    <t>Panel program - 2009.évi</t>
  </si>
  <si>
    <t>Környezetvédelmi birság</t>
  </si>
  <si>
    <t>Tartalékok</t>
  </si>
  <si>
    <t xml:space="preserve"> </t>
  </si>
  <si>
    <t>Drogellenes stratégiai feladatok</t>
  </si>
  <si>
    <t>Csaba Úti felüljáró fenntartása, karbantartása</t>
  </si>
  <si>
    <t>Munkáltatói kölcsön</t>
  </si>
  <si>
    <t xml:space="preserve">Stromfeldtől északra eső ter. csapvíz elvezetés </t>
  </si>
  <si>
    <t>Szombathelyi Hospice Alapítvány</t>
  </si>
  <si>
    <t>Közterület felügyelet</t>
  </si>
  <si>
    <t>Egyéb bevételek</t>
  </si>
  <si>
    <t>Közterület foglalás</t>
  </si>
  <si>
    <t>1. Város és községgazd. szolg.</t>
  </si>
  <si>
    <t>Közvilágitás</t>
  </si>
  <si>
    <t>Egyéb feladatok</t>
  </si>
  <si>
    <t xml:space="preserve">Összesen:                    </t>
  </si>
  <si>
    <t>Csapadékvízelvezetés</t>
  </si>
  <si>
    <t xml:space="preserve">Mindösszesen:          </t>
  </si>
  <si>
    <t>Jelzőlámpák</t>
  </si>
  <si>
    <t>Burkolati jelek festése</t>
  </si>
  <si>
    <t>Posta költség</t>
  </si>
  <si>
    <t>Egyesített Bölcsődei Intézmény</t>
  </si>
  <si>
    <t>Vásárcsarnok</t>
  </si>
  <si>
    <t xml:space="preserve">Pedagógus kituntetések </t>
  </si>
  <si>
    <t>Helyiségek és lakások bérleti díja</t>
  </si>
  <si>
    <t>Földhaszonbérlet</t>
  </si>
  <si>
    <t>Egészség-hét</t>
  </si>
  <si>
    <t>Egyéb rendezvények</t>
  </si>
  <si>
    <t>Humán Civil ház</t>
  </si>
  <si>
    <t>Kiegészítő gyermekvédelmi támogatás</t>
  </si>
  <si>
    <t>Segély önkormányzati támogatásból</t>
  </si>
  <si>
    <t>Szociális ágazat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</si>
  <si>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</si>
  <si>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</si>
  <si>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</si>
  <si>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</si>
  <si>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KULTURÁLIS INTÉZMÉNYEK TÁMOGATÁSA ÖSSZESEN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</si>
  <si>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</si>
  <si>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</si>
  <si>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</si>
  <si>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</si>
  <si>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</si>
  <si>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Önerő támogatás kulturális pályázatokhoz összesen</t>
  </si>
  <si>
    <t>Egészségügyi civil szervezetek támogatása</t>
  </si>
  <si>
    <t>Óvodák</t>
  </si>
  <si>
    <t>Finanszírozási műveletek</t>
  </si>
  <si>
    <t>Finanszírozási műveletek összesen</t>
  </si>
  <si>
    <t>Olimpiai reménységeket nevelő egyesületek támogatása</t>
  </si>
  <si>
    <t>Szemünk fénye program - bérleti díj 12 hónapra</t>
  </si>
  <si>
    <t>Önk.int.-ek fűtéskorszerűsítés - bérleti díj 12 hónapra</t>
  </si>
  <si>
    <t>Sportszervezetek támogatása</t>
  </si>
  <si>
    <t>Felhalmozási célú visszatérítendő támogatások, kölcsönök visszatérülése államháztartáson kívülről</t>
  </si>
  <si>
    <t>EPCOS telephely városfejlesztési akcióterv</t>
  </si>
  <si>
    <t>Egészségügyi ágazat</t>
  </si>
  <si>
    <t>Bursa Hungarica felsőokt.ösztöndíj</t>
  </si>
  <si>
    <t>összesen</t>
  </si>
  <si>
    <t>Pénzeszközátadás</t>
  </si>
  <si>
    <t>Egyéb szociális kiadások, támogatások</t>
  </si>
  <si>
    <t>Szombathelyi Képző Központ Nonprofit Kft. működési kiadások</t>
  </si>
  <si>
    <t>Kalandváros és Műjégpálya óvodai és iskolai csoportok által történő szervezett látogatásának támogatása</t>
  </si>
  <si>
    <t>KULTURÁLIS ÉS CIVIL ALAP ÖSSZESEN</t>
  </si>
  <si>
    <t>Közhatalmi bevételek</t>
  </si>
  <si>
    <t>Folyószámla hitel kamata, bankköltségek</t>
  </si>
  <si>
    <t>Tervezések hatósági díja lejáró engedélyekhez</t>
  </si>
  <si>
    <t>Lakás és helységüzemeltetés veszteség pótlás</t>
  </si>
  <si>
    <t>Közterület-felügyelet átjátszó bérleti díj</t>
  </si>
  <si>
    <t xml:space="preserve">               </t>
  </si>
  <si>
    <t>Szombathelypont facebook reklám, angol fordítás</t>
  </si>
  <si>
    <t>Markusovszky kórház támogatása</t>
  </si>
  <si>
    <t>Buszmegálló kialakítása</t>
  </si>
  <si>
    <t>I. világháborús emlékmű + Pápa látogatás évfordulójára köztéri alkotások elhelyezése</t>
  </si>
  <si>
    <t>Városmakett</t>
  </si>
  <si>
    <t>Városi strandterület hasznosítás eng.és kiviteli tervek</t>
  </si>
  <si>
    <t>Városi térfigyelő kamera rendszer továbbfejlesztése</t>
  </si>
  <si>
    <t>Nem oktatási intézmények eszközfejlesztése</t>
  </si>
  <si>
    <t>Petz ösztöndíj</t>
  </si>
  <si>
    <t>Erdőgazdálkodási költség</t>
  </si>
  <si>
    <t>Önkormányzati konferenciák, rendezvények, fogadások</t>
  </si>
  <si>
    <t>Temetkezés és ezzel kapcsolatos szolg.</t>
  </si>
  <si>
    <t>Vizhasználati dij</t>
  </si>
  <si>
    <t>Szolgalmi joggal terhelt épületrész karbantartása</t>
  </si>
  <si>
    <t>Parkfenntartás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</si>
  <si>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</si>
  <si>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</si>
  <si>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</si>
  <si>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</si>
  <si>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</si>
  <si>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</si>
  <si>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Horvát Nemzetiségi nap támogatása</t>
  </si>
  <si>
    <t>Működési célú nagyprojektek, projektek</t>
  </si>
  <si>
    <t>FALCO KC Kft. támogatás</t>
  </si>
  <si>
    <t>Jelzőtáblák (forgalmi rend változás)</t>
  </si>
  <si>
    <t>Környezetvédelmi kiadások</t>
  </si>
  <si>
    <t>Kommunális és vároüzemeltetési kiadások összesen</t>
  </si>
  <si>
    <t>Kommunális, vároüzemeltetési és környezetvédelmi kiadások összesen</t>
  </si>
  <si>
    <t>Városfejlesztési alap</t>
  </si>
  <si>
    <t>ÖNKORMÁNYZATOK MŰKÖDÉSI TÁMOGATÁSAI</t>
  </si>
  <si>
    <t>Vas Megyei Tudományos Ismeretterjesztő Egyesület közművelődési megállapodás</t>
  </si>
  <si>
    <t>Települési Önkormányzatok kulturális feladatainak támogatása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</si>
  <si>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</si>
  <si>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</si>
  <si>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</si>
  <si>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</si>
  <si>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</si>
  <si>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</si>
  <si>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</si>
  <si>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</si>
  <si>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</si>
  <si>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</si>
  <si>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</si>
  <si>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</si>
  <si>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</si>
  <si>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</si>
  <si>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</si>
  <si>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</si>
  <si>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</si>
  <si>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</si>
  <si>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</si>
  <si>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</si>
  <si>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</si>
  <si>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Prémium évek program</t>
  </si>
  <si>
    <t>Savaria Fórum</t>
  </si>
  <si>
    <t>Felhalmozási célú maradvány</t>
  </si>
  <si>
    <t>Vásárok, rendezvények, karácsonyi díszkivilágítás</t>
  </si>
  <si>
    <t>Könyvvizsgálói költség</t>
  </si>
  <si>
    <t>Állami és önkormányzati adatbázisok használati, továbbvezetési, karbantartási és szolgáltatási díja</t>
  </si>
  <si>
    <t>Erzsébet utalványok formájában nyújtott gyermekvédelmi támogatások</t>
  </si>
  <si>
    <t>Nyugdíjba vonuló vezetők ped.szolg.emlékérme és juttatása</t>
  </si>
  <si>
    <t>Közösségi közlekedés (buszmegállók kialakítása, leszálló szigetek helyreállítása, kialakítása)</t>
  </si>
  <si>
    <t>Osztalék bevétel</t>
  </si>
  <si>
    <t>vagyongazdálkodási kiadások (ingatlan kisajátítás, vásárlás)</t>
  </si>
  <si>
    <t>2014-2020 évekre szóló projektek előkészítése</t>
  </si>
  <si>
    <t>Szombathelyi Köznevelési GAMESZ</t>
  </si>
  <si>
    <t>Működési célú költségvetési támogatások és kiegészítő támogatások</t>
  </si>
  <si>
    <t>Elszámolásból származó bevételek</t>
  </si>
  <si>
    <t xml:space="preserve">Helyi közösségi közlekedés támogatása </t>
  </si>
  <si>
    <t>Felhalmozási célú visszatérítendő támogatások, kölcsönök visszatérülése államháztartáson belülről</t>
  </si>
  <si>
    <t>Folyékony hulladékgyűjtés</t>
  </si>
  <si>
    <t>Oktatási, szociális és ifjúsági kiadások - tartalék</t>
  </si>
  <si>
    <t>KISZ Lakótelepért Egyesület</t>
  </si>
  <si>
    <t>ISIS Big Band támogatása</t>
  </si>
  <si>
    <t>Közterület - felügyelet</t>
  </si>
  <si>
    <t>Térfigyelő Kamerarendszer üzemeltetése</t>
  </si>
  <si>
    <t>Office 365 rendszer működtetése</t>
  </si>
  <si>
    <t>Integrált pénzügyi rendszer üzemeltetés az intézményekben</t>
  </si>
  <si>
    <t>Szomhull illegális hulladéklerakás</t>
  </si>
  <si>
    <t>Forgalmi rend felülvizsgálata</t>
  </si>
  <si>
    <t>EPCOS ingatlan vásárlás</t>
  </si>
  <si>
    <t>Költségvetési szervek beruházásai és felújításai összesen:</t>
  </si>
  <si>
    <t xml:space="preserve">Önkormányzati bérlakások felújítása </t>
  </si>
  <si>
    <t>Központi bevételekkel fedezett kiadások</t>
  </si>
  <si>
    <t>Központi bevételekkel fedezett kiadások összesen</t>
  </si>
  <si>
    <t>Önkormányzati bevételekkel fedezett kiadások</t>
  </si>
  <si>
    <t>Szociális hét</t>
  </si>
  <si>
    <t>Önkormányzati bevételekkel fedezett kiadások összesen intézményi kiadások nélkül</t>
  </si>
  <si>
    <t>Könyv, film</t>
  </si>
  <si>
    <t>Működési kiadások</t>
  </si>
  <si>
    <t>Támogatások elszámolása</t>
  </si>
  <si>
    <t>Önkormányzati gyermekvédelmi kiadások összesen</t>
  </si>
  <si>
    <t>Gyermekvédelmi működési kiadások összesen</t>
  </si>
  <si>
    <t xml:space="preserve">Áfa visszaigénylés </t>
  </si>
  <si>
    <t>Önkormányzati szociális kiadások összesen</t>
  </si>
  <si>
    <t>Szociális működési kiadások összesen</t>
  </si>
  <si>
    <t>Önkormányzati egészségügyi kiadások összesen</t>
  </si>
  <si>
    <t>Egészségügyi működési kiadások összesen</t>
  </si>
  <si>
    <t>Gyermekvédelmi ágazat kiadásai mindösszesen</t>
  </si>
  <si>
    <t>Berzsenyi Dániel Könyvtár összesen</t>
  </si>
  <si>
    <t>0632/11, 0632/13, 0632/31 hrsz ingatlanok vételárának kifizetése (Csónakázó tó)</t>
  </si>
  <si>
    <t>Egyéb, más ágazathoz nem sorolható intézmények és feladatok kiadásai mindösszesen</t>
  </si>
  <si>
    <t>Egyéb más ágazathoz nem sorolható feladatok és intézmények működési kiadásai összesen</t>
  </si>
  <si>
    <t>Egyéb pénzügyi műveletek bevételei</t>
  </si>
  <si>
    <t>Önkormányzati felhalmozási kiadások mindösszesen</t>
  </si>
  <si>
    <t>Működési célú támogatások ÁH-on belülről</t>
  </si>
  <si>
    <t>URBACT III program Disarned cities projekt támogatás I. ütem</t>
  </si>
  <si>
    <t>URBACT III program Disarned cities projekt támogatás II. ütem</t>
  </si>
  <si>
    <t>Szent Márton kártya értékesítése</t>
  </si>
  <si>
    <t>Szent Márton Emlékévhez kapcsolódó beruházások után áfa visszaigénylés</t>
  </si>
  <si>
    <t>Szent Márton Emlékévhez kapcsolódó beruházások után</t>
  </si>
  <si>
    <t>Bartók Fesztivál</t>
  </si>
  <si>
    <t>Érzékenyítő programok - Helyi esélyegyenlőségi program keretében</t>
  </si>
  <si>
    <t>Szociális önkormányzati kitüntetések</t>
  </si>
  <si>
    <t>"Szombathely Szent Márton városa" Jóléti Alapítvány támogatás</t>
  </si>
  <si>
    <t>Egészségügyi dolgozók kitüntetése</t>
  </si>
  <si>
    <t>Kéményseprő ipari közszolgáltatás elllátásának támogatása (központi ei.)</t>
  </si>
  <si>
    <t>Helyi közösségi közlekedés támogatása (központi ei)</t>
  </si>
  <si>
    <t>URBACT III program Disarmed citis projekt (önerő+támogatás) II.ütem</t>
  </si>
  <si>
    <t xml:space="preserve">Szombathelyi Sportközpont és Sportiskola Nonprofit Kft. </t>
  </si>
  <si>
    <t xml:space="preserve">Sport létesítmény üzemeltetés </t>
  </si>
  <si>
    <t>FALCO imisszió folyamatos mérése</t>
  </si>
  <si>
    <t xml:space="preserve">Teljes pályaszerkezet helyreállítás </t>
  </si>
  <si>
    <t>Járászszékhely települési önkormányzatok által fenntartott múzeumok szakmai támogatása</t>
  </si>
  <si>
    <t>Gyalogátkelőhelyek akadálymentesítése - helyi esélyegyenlőségi program keretében</t>
  </si>
  <si>
    <t>Csónakázó tó szigetén mozgáskorlátozott közelekedés kialakítása</t>
  </si>
  <si>
    <t>Herényi temető bővítés</t>
  </si>
  <si>
    <t>TOP projektek auditálási kiadásai</t>
  </si>
  <si>
    <t>Kulturális kiadások, média</t>
  </si>
  <si>
    <t>Működési célú átvett pénzeszközök</t>
  </si>
  <si>
    <t xml:space="preserve">Gyermekvédelem 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</si>
  <si>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</si>
  <si>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</si>
  <si>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</si>
  <si>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</si>
  <si>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</si>
  <si>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</si>
  <si>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</si>
  <si>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</si>
  <si>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</si>
  <si>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Központi költségvetés részére visszafizetési kötelezettség </t>
  </si>
  <si>
    <t>Felhalmozási bevételek</t>
  </si>
  <si>
    <t xml:space="preserve">WHO Egészséges városok tagdij, elnökséget adó városi 
cím és projektváros cím </t>
  </si>
  <si>
    <t>Közbeszerzési kiadások</t>
  </si>
  <si>
    <t>Vízelnyelők tisztítása</t>
  </si>
  <si>
    <t>Egyéb más ágazathoz nem sorolható int.és feladatok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</si>
  <si>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</si>
  <si>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</si>
  <si>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</si>
  <si>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</si>
  <si>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</si>
  <si>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</si>
  <si>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</si>
  <si>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</si>
  <si>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</si>
  <si>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</si>
  <si>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6.</t>
  </si>
  <si>
    <t>7.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</si>
  <si>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</si>
  <si>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</si>
  <si>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</si>
  <si>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</si>
  <si>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</si>
  <si>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</si>
  <si>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</si>
  <si>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</si>
  <si>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</si>
  <si>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összesen</t>
  </si>
  <si>
    <t>MÉDIA MINDÖSSZESEN</t>
  </si>
  <si>
    <t>Rendőrség támogatása</t>
  </si>
  <si>
    <t>Szökőkutak előre nem látható hibaelhárítása</t>
  </si>
  <si>
    <t xml:space="preserve"> Működési célú kiadások összesen :</t>
  </si>
  <si>
    <t>Fejlesztési céltartalék</t>
  </si>
  <si>
    <t>Sport</t>
  </si>
  <si>
    <t>eredeti ei.</t>
  </si>
  <si>
    <t>Foltos bevonat</t>
  </si>
  <si>
    <t>Helyreállítások (teljes pályaszerkezet csere)</t>
  </si>
  <si>
    <t>Padkarendezés</t>
  </si>
  <si>
    <t>Hidak, műtárgyak üzemeltetése (lemosása)</t>
  </si>
  <si>
    <t>Járdafenntartás</t>
  </si>
  <si>
    <t>Kerékpárútfenntartás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</si>
  <si>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</si>
  <si>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</si>
  <si>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</si>
  <si>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</si>
  <si>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</si>
  <si>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</si>
  <si>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Egyéb, más ágazathoz nem sorolható intézmények és feladatok kiadásai</t>
  </si>
  <si>
    <t>MŰKÖDÉSI BEVÉTELEK</t>
  </si>
  <si>
    <t>MŰKÖDÉSI KIADÁSOK</t>
  </si>
  <si>
    <t xml:space="preserve">Külföldi  kapcsolatok, kiküldetés </t>
  </si>
  <si>
    <t>Egyéb fejlesztések</t>
  </si>
  <si>
    <t>Egyéb adó és bírságok, pótlékok</t>
  </si>
  <si>
    <t>Légszennyezettségi mérőállomások villamos energia ellátása</t>
  </si>
  <si>
    <t>Térfigyelő kamerarendszer adatátviteli hálózat üzemeltetés</t>
  </si>
  <si>
    <t>FALCO KC Kft. pótbefizetés</t>
  </si>
  <si>
    <t>ÉNYKK  Zrt. - helyi tömegközlekedés támogatása</t>
  </si>
  <si>
    <t>FALCO kártalanítás</t>
  </si>
  <si>
    <t>Szombathelyi Civil Kerekasztal támogatása</t>
  </si>
  <si>
    <t>Szombathelyi Egyházmegyei Karitász - Hársfa-ház Pszichiátriai- és Szenvedélybetegek Nappali Ellátója és Átmeneti Otthona, RÉV Szenvedélybeteg-segítő Szolgálta és Közösségi Gondozó</t>
  </si>
  <si>
    <t>Múzeális intézmények szakmai támogatása</t>
  </si>
  <si>
    <t>Víziközmű és szennyvízközmű használati díjbevétel</t>
  </si>
  <si>
    <t>Működési bevételek</t>
  </si>
  <si>
    <t>Közművelődési kiegészítő támogatás - Berzsenyi D. Könyvtár</t>
  </si>
  <si>
    <t>Települési hulladékkezelés és köztisztasági tevékenység, és hóeltakarítás</t>
  </si>
  <si>
    <t>Nagyrendezvények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</si>
  <si>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</si>
  <si>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</si>
  <si>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</si>
  <si>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</si>
  <si>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Köznevelési feladatellátás ellenőrzése</t>
  </si>
  <si>
    <t>Fogyatékkal élőket és hajléktalanokat ellátó Nkft.</t>
  </si>
  <si>
    <t>Aktív időskor Szombathelyen program</t>
  </si>
  <si>
    <t>Egészségügyi kiadások tartaléka</t>
  </si>
  <si>
    <t>Szombathely a segítés városa program</t>
  </si>
  <si>
    <t>Nemzetközi diákjátékok</t>
  </si>
  <si>
    <t>HVSE támogatása</t>
  </si>
  <si>
    <t>Viktória FC támogatása</t>
  </si>
  <si>
    <t>Vívók támogatása</t>
  </si>
  <si>
    <t>Városi rendezvények köztisztasági tevékenysége</t>
  </si>
  <si>
    <t>Környezetállapot értékelés (talaj, víz, levegő)</t>
  </si>
  <si>
    <t>Egészségügyi és Kulturális intézmények GESZ</t>
  </si>
  <si>
    <t>Általános tartalék</t>
  </si>
  <si>
    <t>Útigénybevételi díj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</si>
  <si>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</si>
  <si>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</si>
  <si>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</si>
  <si>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</si>
  <si>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</si>
  <si>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</si>
  <si>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</si>
  <si>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</si>
  <si>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</si>
  <si>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Savaria Szimfónikus Zenekar összesen</t>
  </si>
  <si>
    <t>Kulturális és Civil Alap</t>
  </si>
  <si>
    <t>Támogatás kulturális pályázatokhoz, egyéb szervezetek, társaságok támogatása</t>
  </si>
  <si>
    <r>
      <t>Weöres Sándor Színház Nonprofit Kft.</t>
    </r>
    <r>
      <rPr>
        <b/>
        <i/>
        <sz val="12"/>
        <rFont val="Arial CE"/>
        <charset val="238"/>
      </rPr>
      <t xml:space="preserve"> önkormányzati támogatása</t>
    </r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</si>
  <si>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</si>
  <si>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</si>
  <si>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</si>
  <si>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</si>
  <si>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Köztemetés bevétele</t>
  </si>
  <si>
    <t>OMSZ részére Orvosi Ügyelet ellátására</t>
  </si>
  <si>
    <t>Önkormányzati felhalmozási kiadások</t>
  </si>
  <si>
    <t>Költségvetési működési bevételek</t>
  </si>
  <si>
    <t>ELAMEN RT, és egyéb  bérleti díjak</t>
  </si>
  <si>
    <t>Hemo épülétenek bérbeadása</t>
  </si>
  <si>
    <t xml:space="preserve">Önkormányzat </t>
  </si>
  <si>
    <t>MŰKÖDÉSI CÉLÚ TÁMOGATÁSOK ÁLLAMHÁZTARTÁSON BELÜLRŐL</t>
  </si>
  <si>
    <t>Weöres S. Színház művészeti támogatása</t>
  </si>
  <si>
    <t>Weöres S. Színház működési támogatása</t>
  </si>
  <si>
    <t>Mesebolt Bábszínház művészeti támogatása</t>
  </si>
  <si>
    <r>
      <t xml:space="preserve">Agora Szombathelyi Kulturális Központ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</si>
  <si>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önkormányzati támogatásból fedezett kiadása </t>
    </r>
  </si>
  <si>
    <t>Egyéb kiadások</t>
  </si>
  <si>
    <r>
      <t xml:space="preserve">Savaria Szimfonikus Zenekar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</si>
  <si>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 xml:space="preserve">Savaria Múzeum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</si>
  <si>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>Berzsenyi Dániel könyvtár</t>
    </r>
    <r>
      <rPr>
        <b/>
        <sz val="12"/>
        <rFont val="Arial CE"/>
        <family val="2"/>
        <charset val="238"/>
      </rPr>
      <t xml:space="preserve"> 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</si>
  <si>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</si>
  <si>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saját bevételéből fedezett kiadás</t>
    </r>
  </si>
  <si>
    <r>
      <t xml:space="preserve">Pálos Károly Szociális Szolgáltató Központ és Gyermekjóléti Szolgálat </t>
    </r>
    <r>
      <rPr>
        <b/>
        <sz val="12"/>
        <rFont val="Arial CE"/>
        <family val="2"/>
        <charset val="238"/>
      </rPr>
      <t>önkormányzati támogatásból fedezett kiadás</t>
    </r>
  </si>
  <si>
    <t>Mesebolt Bábszínház működési támogatása</t>
  </si>
  <si>
    <t>Savaria Szimfónikus zenekar központi támogatása</t>
  </si>
  <si>
    <t xml:space="preserve">Vagyongazdálkodási kiadások - szakértők igénybevétele, ügyvédi munkadíj, egyéb kiadások </t>
  </si>
  <si>
    <t>Intézményi felhalmozási maradvány</t>
  </si>
  <si>
    <t>Intézményi működési maradvány</t>
  </si>
  <si>
    <t>Gencsapáti Község Önkormányzata - felnőtt háziorvosok ügyeleti díja</t>
  </si>
  <si>
    <t xml:space="preserve">Savaria Városfejlesztési Kft. - tagi kölcsön </t>
  </si>
  <si>
    <t>Savaria Történelmi Karnevál Közhasznú Közalapítvány NKA pályázati önrész</t>
  </si>
  <si>
    <t>Szünidei gyermekétkeztetés</t>
  </si>
  <si>
    <t>Sportkoncepió</t>
  </si>
  <si>
    <t>Szombathely, Kőszeg u. 44.műemlék épület felújításának támogatása</t>
  </si>
  <si>
    <t xml:space="preserve">Nemzeti ovi foci - ovi sport program pályázati önrész </t>
  </si>
  <si>
    <t>Tömbbelső felújítás</t>
  </si>
  <si>
    <t xml:space="preserve">Gyalogátkelőhelyek kialakítása </t>
  </si>
  <si>
    <t>SZTK épület közműveinek leszakaszolása</t>
  </si>
  <si>
    <t>Vak Bottyán u. Gyöngyös patak híd felújítás engedély, korsz.vizsg.,tervezői ktg.</t>
  </si>
  <si>
    <t>Szombathelyi Kőszegi u. 44.sz. alatti épület felújítása pályázat (önrész+támogatás)</t>
  </si>
  <si>
    <t>"Zöld városrész" projekt - akcióterületi terv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</si>
  <si>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</si>
  <si>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charset val="238"/>
      </rPr>
      <t>saját bevételéből és OEP támogatásból fedezett kiadás</t>
    </r>
  </si>
  <si>
    <t>MŰKÖDÉSI CÉLÚ ÁTVETT PÉNZESZKÖZÖK</t>
  </si>
  <si>
    <t>Kamatmentes kölcsön visszatérülése - segély elszámolás</t>
  </si>
  <si>
    <t>KÖZHATALMI BEVÉTELEK</t>
  </si>
  <si>
    <t>KÖZHATALMI BEVÉTELEK ÖSSZESEN</t>
  </si>
  <si>
    <t>KÖLTSÉGVETÉSI SZERVEK BEVÉTELEI</t>
  </si>
  <si>
    <t>AGORA Szombathelyi Kulturális Központ</t>
  </si>
  <si>
    <t xml:space="preserve">Savaria Múzeum </t>
  </si>
  <si>
    <t xml:space="preserve">Berzsenyi Dániel könyvtár </t>
  </si>
  <si>
    <t>Szegélyek javítása (akadálymentesítés, szintbehelyezés)</t>
  </si>
  <si>
    <t>Zárt csapadék csatorna fenntartása</t>
  </si>
  <si>
    <t>Prenor Kft. telephely felújítása</t>
  </si>
  <si>
    <t>évközi tervezések, útfelújítás tervezések</t>
  </si>
  <si>
    <t>MŰKÖDÉSI BEVÉTELEK ÖSSZESEN</t>
  </si>
  <si>
    <t>Önkormányzati felhalmozási célú bevételek</t>
  </si>
  <si>
    <t>FELHALMOZÁSI BEVÉTELEK</t>
  </si>
  <si>
    <t>FELHALMOZÁSI BEVÉTELEK ÖSSZESEN</t>
  </si>
  <si>
    <t>SZAK támogatás</t>
  </si>
  <si>
    <t xml:space="preserve"> MŰKÖDÉSI BEVÉTELEK</t>
  </si>
  <si>
    <t>Főépítészi iroda (tervtanács, rendezési terv)</t>
  </si>
  <si>
    <t>Önk.tulajdonú területek kaszálása</t>
  </si>
  <si>
    <t>FELHALMZÁSI CÉLÚ TÁMOGATÁSOK ÁLLAMHÁZTARTÁSON BELÜLRŐL ÖSSZESEN</t>
  </si>
  <si>
    <t>FELHALMOZÁSI CÉLÚ ÁTVETT PÉNZESZKÖZÖK</t>
  </si>
  <si>
    <t>Közművelődési érdekeltségnövelő támogatás</t>
  </si>
  <si>
    <t>Nyugat-Pannon Zrt. Tőkeleszállítás bevétele</t>
  </si>
  <si>
    <t>TOP-6.9.1-15 Társadalmi együttműködést elősegítő  komplex programok az Óperint városrészen</t>
  </si>
  <si>
    <t>TOP-6.8.2-15 Gazdaság- és fogl.fejl.partnerség a szhelyi járás területén</t>
  </si>
  <si>
    <t>Városmarketing, kommunikáció - Modern városok programhoz, TOP és egyéb fejlesztésekhez kapcsolódóan</t>
  </si>
  <si>
    <t>Vasivíz Zrt. - Uszoda fenntartás</t>
  </si>
  <si>
    <t>Vasivíz Zrt. - Szent Márton kártyával kapcsolatos kedvezmény megtérítése</t>
  </si>
  <si>
    <t>TOP-6.2.1-15-00004 Weöres S. és Pipitér Óvoda fejlesztése Szombathelyen</t>
  </si>
  <si>
    <t>TOP-6.2.1-15-00003 Százszorszép Bölcsőde és Mocorgó Óvoda fejlesztése Szombathelyen</t>
  </si>
  <si>
    <t>TOP-6.6.1-15 Új Egészségügyi Alapellátó központ kialakítása</t>
  </si>
  <si>
    <t>TOP-6.4.1-15 SZMJV kerékpárosbarát fejlesztése</t>
  </si>
  <si>
    <t>TOP-6.1.5-15 SZMJV közúthálózati elemeinek gazdfejl.célú megújítása</t>
  </si>
  <si>
    <t>Savaria Történelmi Karnevál Közhasznú Közalapítvány NKA pályázat nevezési díj</t>
  </si>
  <si>
    <t>Felhalmozási célú hitelfelvétel</t>
  </si>
  <si>
    <t>TOP-6.3.2-15 A szombathelyi Sportliget fejlesztése</t>
  </si>
  <si>
    <t>TOP-6.5.1-15-00003 Neumann János Általános Iskola felújítása</t>
  </si>
  <si>
    <t>TOP-6.1.1-15-00002 Szombathely, Sárdi-ér úti terület alapinfrastruktúrájának kiépítése</t>
  </si>
  <si>
    <t>TOP-6.5.1-15-00004 Óvodák energetikai korszerűsítése</t>
  </si>
  <si>
    <t>TOP-6.1.1-15 A szombathelyi Északi Iparterület fejlesztése</t>
  </si>
  <si>
    <t>TOP-6.1.1-15-00001 A szombathelyi Északi Iparterület fejlesztése</t>
  </si>
  <si>
    <t>TOP-6.2.1-00002 Óvoda fejlesztések Szombathelyen</t>
  </si>
  <si>
    <t>TOP-6.1.3-15- Szombathelyi Vásárcsarnok felújítása</t>
  </si>
  <si>
    <t>TOP-6.1.5-15 SZMJV közúthálózati elemeinek gazdaságfejlesztési célú megújítása</t>
  </si>
  <si>
    <t>TOP-6.2.1-15-00004 Weöres Sándor és Pipitér Óvoda fejlesztése Szombathelyen</t>
  </si>
  <si>
    <t>TOP-6.2.1-00005 Bölcsőde fejlesztések Szombathelyen</t>
  </si>
  <si>
    <t>TOP-6.3.1-15 Szombathely Szent László Király utcai felhagyott iparterület fejlesztése</t>
  </si>
  <si>
    <t>TOP-6.3.3-15 Szombathely bel- és csapadékvíz védelmi rendszerének fejlesztése</t>
  </si>
  <si>
    <t>TOP-6.5.1-15-00005 Egészségügyi intézmények energetikai korszerűsítése</t>
  </si>
  <si>
    <t>TOP-6.5.1-15-00004 Óvodák energetikai korszerűsítés</t>
  </si>
  <si>
    <t>TOP-6.5.1-15-00002 AGORA Központ energetikai korszerűsítés</t>
  </si>
  <si>
    <t>TOP-6.5.1-15-00001 Városháza épületének felújítása</t>
  </si>
  <si>
    <t>TOP-6.6.2-15 Szociális alapszolgáltatások fejlesztése Szombathelyen</t>
  </si>
  <si>
    <t>TOP-6.7.1-15 Szociális városrehabilitáció II. ütem</t>
  </si>
  <si>
    <t>TOP-6.2.1-00005 Bölcsöde fejlesztések Szombathelyen</t>
  </si>
  <si>
    <t>TOP-6.5.1-00001 Városháza épületek felújítása</t>
  </si>
  <si>
    <t>TOP-6.7.1-15-SH1-2016-00001 Szociális városrehabilitáció II. ütem</t>
  </si>
  <si>
    <t xml:space="preserve">2017. évi költségvetési támogatási előleg </t>
  </si>
  <si>
    <t>TOP-6.2.1-15-00002 Óvoda fejlesztések Szombathelyen</t>
  </si>
  <si>
    <t>TOP-6.1.3-15 Szombathelyi Vásárcsarnok felújítása</t>
  </si>
  <si>
    <t>Szombathelyi Kézilabda klub és Akadémia támogatása</t>
  </si>
  <si>
    <t>TOP-6.3.1-15 Szhely Szent.L.kir.u.felhagyott iparterület fejl.áfa visszaigénylés</t>
  </si>
  <si>
    <t>TOP-6.3.1-15 Szombathely Szent László Király utcai felhagyott iparterület fejlesztése -fordított áfa</t>
  </si>
  <si>
    <t>Vízközmű- és szennyvízközmű használati díj terhére végzett beruházás</t>
  </si>
  <si>
    <t>Európai Mobilitási hét</t>
  </si>
  <si>
    <t>Szent Márton Emlékévhez kapcsolódó beruházások</t>
  </si>
  <si>
    <t>Összesen</t>
  </si>
  <si>
    <t>FELHALMOZÁSI CÉLÚ TÁMOGATÁSOK ÁLLAMHÁZTARTÁSON BELÜLRŐL</t>
  </si>
  <si>
    <t>TOP 6.1.1-15. Ipari parkok iparterületek fejlesztése SZOVA önerő (Sárdi-ér út)</t>
  </si>
  <si>
    <t>2017.évi</t>
  </si>
  <si>
    <t>Egyéb működési célú bevétel</t>
  </si>
  <si>
    <t>STYL FASCHION Kft. Tagi kölcsön visszatérülés</t>
  </si>
  <si>
    <t>GAMESZ</t>
  </si>
  <si>
    <t>Szombathelyi Egészségügyi és Kulturális Intézmények GESZ</t>
  </si>
  <si>
    <t>Nyugat Magyarországi Egyetem közösségi szolgálat támogatása</t>
  </si>
  <si>
    <t>Szépítő Egyesület városvédők nyári tábora</t>
  </si>
  <si>
    <t>Városi rendezvények és kiemelt rendezvénnyek</t>
  </si>
  <si>
    <t>Iseumi játékok</t>
  </si>
  <si>
    <t>Savaria Turizmus Nonprofit Kft - Karnevál megrendezése</t>
  </si>
  <si>
    <t>EU kulturális főváros előkészületek</t>
  </si>
  <si>
    <t>Hatósági díjak, egyéb kiadások</t>
  </si>
  <si>
    <t>Szombathelyi Médiaközpont Nonprofit Kft. támogatása</t>
  </si>
  <si>
    <t>Zajszintmérő készülék beszerzése</t>
  </si>
  <si>
    <t>Települési Önkormányzatok kulturális feladatainak támogatása összesen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</si>
  <si>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</si>
  <si>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</si>
  <si>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</si>
  <si>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</si>
  <si>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</si>
  <si>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c.)</t>
  </si>
  <si>
    <t>MŰKÖDÉSI CÉLÚ ÁTVETT PÉNZESZKÖZÖK ÖSSZESEN:</t>
  </si>
  <si>
    <t>KÖLTSÉGVETÉSI SZERVEK MŰKÖDÉSI BEVÉTELEI ÖSSZESEN</t>
  </si>
  <si>
    <t>Óvodai Intézményi karbantartás</t>
  </si>
  <si>
    <t>KLIK által működtetett többcélú intézmények és kollégiumok működési hozzájárulás</t>
  </si>
  <si>
    <t>SNI gyermekek (Óvoda) szakszolgálati ellátása</t>
  </si>
  <si>
    <t>Pedagódus továbbképzés (Óvoda)</t>
  </si>
  <si>
    <t xml:space="preserve">Önkormányzati oktatási kiadások összesen </t>
  </si>
  <si>
    <t>Oktatási működési kiadások összesen</t>
  </si>
  <si>
    <t>Agora Szombathelyi Kulturális Központ összesen</t>
  </si>
  <si>
    <t>Nem önkormányzati kulturális és civil szervezetek támogatása</t>
  </si>
  <si>
    <t xml:space="preserve">Nem önkormányzati kulturális és civil szervezetek támogatása </t>
  </si>
  <si>
    <t xml:space="preserve">Kulturális kitüntetés díja, Év Civil Szervezete díja …. </t>
  </si>
  <si>
    <t>ÖNKORMÁNYZATI KULTURÁLIS KIADÁSOK ÖSSZESEN</t>
  </si>
  <si>
    <t>Nemzetiségi önkormányzatok működéséhez tartalék, nemzetiségi nap</t>
  </si>
  <si>
    <t>Roma Nemzetiségi Önkormányzat</t>
  </si>
  <si>
    <t>Választott képviselők és bizottsági tagok juttatásai</t>
  </si>
  <si>
    <t>Kariatida tanulmányi támogatás rendszerének működtetése - "Szombathely Szent Márton városa"  Jóléti Alapítvány</t>
  </si>
  <si>
    <t>Gazdaságfejlesztési alap</t>
  </si>
  <si>
    <t>-ELTE - SZOESE támogatás</t>
  </si>
  <si>
    <t>-Egyetemi oktatók támogatása</t>
  </si>
  <si>
    <t>-Nyugat-Pannon Járműipari és Mechatronikai Központ Szolgáltató Nonprofit Kft. Támogatása</t>
  </si>
  <si>
    <t>- Pécsi Tudományegyetem Egészségtudományi Kar Szombathelyi Képzési Központ támogatása</t>
  </si>
  <si>
    <t>- Egyéb gazdaságfejlesztés</t>
  </si>
  <si>
    <t>Szolidaritási adó</t>
  </si>
  <si>
    <t>Segítő kezek infokommunikációs modell program</t>
  </si>
  <si>
    <t>Településrendezési terv felülvizsgálata</t>
  </si>
  <si>
    <t>STYL FASHION Kft tagi kölcsön</t>
  </si>
  <si>
    <t>Kiemelkedő sporteredmények jutalmazása (Sportkarácsony)</t>
  </si>
  <si>
    <t>ELTE - SZOESE támogatása</t>
  </si>
  <si>
    <t>Tour de Hongrie támogatása</t>
  </si>
  <si>
    <t>Birkózó U23 EB és Grand Prix támogatása</t>
  </si>
  <si>
    <t>Szhelyi Haladás Labdarúgó és Sportszolg. Kft támogatása</t>
  </si>
  <si>
    <t>Óvoda felújítások</t>
  </si>
  <si>
    <t>Sugár u. Sportkomplexum fejlesztése TAO pályázat keretében</t>
  </si>
  <si>
    <t>Aranypatak híd forgalmi rend felülvizsgálat</t>
  </si>
  <si>
    <t>2018. évi útfelújítás tervezése</t>
  </si>
  <si>
    <t>Oladi lakótelep - Nagy László utcai parkoló építés</t>
  </si>
  <si>
    <t>Körmendi úti kerékpárút ívkorrekció</t>
  </si>
  <si>
    <t>Új egészségügyi alapellátó központ beruházás - légtechnikai berendezés biztosítása</t>
  </si>
  <si>
    <t xml:space="preserve">Új egészségügyi alapellátó központban eszközfejlesztés </t>
  </si>
  <si>
    <t>Szarka Zoltán síremlék tervezése és kivitelezése</t>
  </si>
  <si>
    <t>Óvodák informatikai eszközfejlesztése</t>
  </si>
  <si>
    <t>Szent Márton kártya rendszer kialakítása, QR kód alapú továbbfejlesztése</t>
  </si>
  <si>
    <t>Fejlesztési céltartalékok összesen</t>
  </si>
  <si>
    <t>2017.évi bérkiadások tartaléka (EBI - központi támogatásból)</t>
  </si>
  <si>
    <t>INTERREG V-A Ausztria - Magyarország Együttműködési Program megvalósítása (önerő)</t>
  </si>
  <si>
    <t>Veloregio határon átnyúló osztrák-magyar kerékpár turisztikai pályázat  (önerő)</t>
  </si>
  <si>
    <t>Kulturális illetménypótlék</t>
  </si>
  <si>
    <t>TOP-6.3.1-15 Szombathely Szent László Király utcai felhagyott iparterület fejlesztése támogatási szerződés módosítása (bevont partner)</t>
  </si>
  <si>
    <t>Hiszek Benned Sportprogram (EMMI támogatásból)</t>
  </si>
  <si>
    <t>Guruló forint elnevezésű alkotás felújítására átvett pénzeszköz az OTP Bank Zrt-től</t>
  </si>
  <si>
    <t>Földvédelmi járulék betérítése - NSK</t>
  </si>
  <si>
    <t>Költségvetési szerveknél foglalkoztatottak 2017. évi bérkompenzációja</t>
  </si>
  <si>
    <t>Szombathely a Segítés Városa kiadvány megjelentetésének támogatása (EMMI)</t>
  </si>
  <si>
    <r>
      <t xml:space="preserve">Agora Szombathelyi Kulturális Központ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</si>
  <si>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Agora Szombathelyi Kulturális Központ </t>
    </r>
    <r>
      <rPr>
        <b/>
        <i/>
        <sz val="12"/>
        <rFont val="Arial CE"/>
        <charset val="238"/>
      </rPr>
      <t>saját bevételből fedezett kiadás</t>
    </r>
  </si>
  <si>
    <r>
      <t>Agora Szombathelyi Kulturális Központ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</si>
  <si>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</si>
  <si>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>Mesebolt Bábszínház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</si>
  <si>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saját bevételből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</si>
  <si>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2016.évi maradványból fedezett kiadás</t>
    </r>
  </si>
  <si>
    <t>Savaria Szimfonikus Zenekar összesen</t>
  </si>
  <si>
    <r>
      <t xml:space="preserve">Berzsenyi Dániel könyvtár </t>
    </r>
    <r>
      <rPr>
        <b/>
        <i/>
        <sz val="12"/>
        <rFont val="Arial CE"/>
        <charset val="238"/>
      </rPr>
      <t>önkormányzati támogatásból fedezett kiadás</t>
    </r>
  </si>
  <si>
    <r>
      <t>Berzsenyi Dániel könyvtár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2016.évi maradványból fedezett kiadás</t>
    </r>
  </si>
  <si>
    <r>
      <t xml:space="preserve">Savaria Múzeum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</si>
  <si>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saját bevételből fedezett kiadás</t>
    </r>
  </si>
  <si>
    <r>
      <t xml:space="preserve">Savaria Múzeum 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</si>
  <si>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t>Kulturális intézmények felhalmozási kiadásai összesen:</t>
  </si>
  <si>
    <r>
      <t>Pálos Károly Szociális Szolgáltató Központ és Gyermekjóléti Szolgálat intézményi</t>
    </r>
    <r>
      <rPr>
        <b/>
        <sz val="12"/>
        <rFont val="Arial CE"/>
        <family val="2"/>
        <charset val="238"/>
      </rPr>
      <t xml:space="preserve"> 2016. évi maradványból fedezett kiadás</t>
    </r>
  </si>
  <si>
    <r>
      <t xml:space="preserve">Szombathelyi Egészségügyi és Kulturális Intézmények GESZ  </t>
    </r>
    <r>
      <rPr>
        <b/>
        <i/>
        <sz val="12"/>
        <rFont val="Arial CE"/>
        <family val="2"/>
        <charset val="238"/>
      </rPr>
      <t>2016. évi maradványból fedezett kiadás</t>
    </r>
  </si>
  <si>
    <t>Szombathely a Segítés Városa kiadvány megjelentetse (EMMI támogatásból)</t>
  </si>
  <si>
    <r>
      <t xml:space="preserve">Szombathelyi Egészségügyi és Kulturális Intézmények  GESZ </t>
    </r>
    <r>
      <rPr>
        <b/>
        <i/>
        <sz val="12"/>
        <rFont val="Arial CE"/>
        <charset val="238"/>
      </rPr>
      <t>2016.évi maradványából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</si>
  <si>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2016.évi maradványából fedezett kiadás</t>
    </r>
  </si>
  <si>
    <t>Szilveszter kupa 2016.</t>
  </si>
  <si>
    <t>Gazdasági zöldítési rendszer - villámtöltő telepítése NGM támogatás</t>
  </si>
  <si>
    <t>"Guruló Forint" alkotás felújítása</t>
  </si>
  <si>
    <t>Bölcsődék informatikai eszközfejlesztése</t>
  </si>
  <si>
    <t>Tartalék - Kneipp-módszer óvodai program pályázati önrész</t>
  </si>
  <si>
    <t>Jáki u. temető első világháborús hadisírjainak és emlékműveinek felújítása (HM támogatás)</t>
  </si>
  <si>
    <t>Környezettanulmány díja</t>
  </si>
  <si>
    <t xml:space="preserve">SZOMHULL Nonprofit Kft. - tagi kölcsön visszatérülés </t>
  </si>
  <si>
    <t xml:space="preserve">Brenner János Általános Iskola és Gimnázium - 3 db robotika beszerzése </t>
  </si>
  <si>
    <t>Lamantin Jazz Fesztivál</t>
  </si>
  <si>
    <t xml:space="preserve">Savaria Történelmi Karnevál Közhasznú Közalapítvány - Savaria Történelmi Karnevál Magyar Udvar programelemének támogatása </t>
  </si>
  <si>
    <t>SZOMHULL Nonpriofit Kft. pótbefizetés tőkehelyzet rendezéséhez</t>
  </si>
  <si>
    <t>Gazdaságfejlesztési program informatikai támogatása</t>
  </si>
  <si>
    <t>Jáki u. temető első világháborús hadisírjainak és emlékműveinek felújítása HM támogatásból</t>
  </si>
  <si>
    <t>Szent Márton Emlékévhez kapcsolódó beruházások - fordított áfa kiadása</t>
  </si>
  <si>
    <t>KÖFOP-1.2.1-VEKOP ASP fejlesztés</t>
  </si>
  <si>
    <t>Kincstárjegy beváltása</t>
  </si>
  <si>
    <t>Szombathely és Balogunyom hiányzó kerékpárútjának terv.ktg.</t>
  </si>
  <si>
    <t>Székesegyház (óra rekonstrukció+kiadvány)</t>
  </si>
  <si>
    <t>II. Tornász Világkupa</t>
  </si>
  <si>
    <t>AVUS támogatás</t>
  </si>
  <si>
    <t>Modern Városok Program - Multifunkcionális városi közszolgáltatási telephely Szombathely - Sárdi ér út</t>
  </si>
  <si>
    <t>Kárpátaljai magyarok megsegítésére szervezett segélyprogram (MJV Szövetsége)</t>
  </si>
  <si>
    <t>"Szombathely Szent Márton városa" Jóléti Alapítvány - Családok Karácsonya 2017.</t>
  </si>
  <si>
    <t>Szombathelyi Huszárlaktanya ún. "B" területének beépítési terve és fejlesztési javaslatok kidolgozása</t>
  </si>
  <si>
    <t>Szent Márton kártya rendszer kialakítása,  QR kód alapú továbbfejlesztése</t>
  </si>
  <si>
    <t>Szentkirályi temető felújításához hozzájárulás</t>
  </si>
  <si>
    <t>Szombathelyi Szolgáltatási Szakképzési Centrum - Oladi Szakgimnázium és Szakközépiskola tetőfelújításához hozzájárulás</t>
  </si>
  <si>
    <t>Zsidó Hitközség -homlokzat rekonstrukció</t>
  </si>
  <si>
    <t>Szabadtéri kosárlabda félpálya - Sugár úti sporttelepen fogadófelület kialakítása</t>
  </si>
  <si>
    <t xml:space="preserve">KÖFOP-1.2.1-VEKOP ASP fejlesztés </t>
  </si>
  <si>
    <t>TOP-6.2.1-00002 Óvoda fejlesztések Szombathelyen fordított áfa kiadás</t>
  </si>
  <si>
    <t>TOP-6.1.5-15 SZMJV közúthálózati elemeinek gazdfejl.célú megújítása - fordított áfa</t>
  </si>
  <si>
    <t>TOP-6.1.3-15- Szombathelyi Vásárcsarnok felújítása  -fordított áfa</t>
  </si>
  <si>
    <t>TOP-6.2.1-15-00004 Weöres S. és Pipitér Óvoda fejlesztése Szombathelyen - fordított áfa kiadás</t>
  </si>
  <si>
    <t>TOP-6.3.1-15 Szombathely Szent László Király utcai felhagyott iparterület fejlesztése  - BMSK támogatás</t>
  </si>
  <si>
    <t>TOP-6.3.2-15 A szombathelyi Sportliget fejlesztése - fordított áfa</t>
  </si>
  <si>
    <t>TOP-6.3.3-15 Szombathely bel- és csapadékvíz védelmi rendszerének fejlesztése - fordított áfa kiadás</t>
  </si>
  <si>
    <t>TOP-6.5.1-15 Városháza épületének felújítása - nem elszámolható kiadások</t>
  </si>
  <si>
    <t>TOP-6.5.1-15-00003 Neumann János Általános Iskola felújítása - fordított áfa</t>
  </si>
  <si>
    <t>TOP-6.6.1-15 Új Egészségügyi Alapellátó központ kialakítása - fordított áfa</t>
  </si>
  <si>
    <t>Elektromos töltő fenntartása (Zeneiskola)</t>
  </si>
  <si>
    <t>Önkormányzati kiadvány, logó oltalom alá vétele</t>
  </si>
  <si>
    <t>TOP-6.1.1-15 A szombathelyi Északi Iparterület fejlesztése - hozzájárulás</t>
  </si>
  <si>
    <t>TOP-6.2.1-00002 Óvoda fejlesztések Szombathelyen - hozzájárulás</t>
  </si>
  <si>
    <t>TOP-6.2.1-15-00004 Weöres S. és Pipitér Óvoda fejlesztése Szombathelyen - hozzájárulás</t>
  </si>
  <si>
    <t>TOP-6.2.1-00005 Bölcsöde fejlesztések Szombathelyen - hozzájárulás</t>
  </si>
  <si>
    <t>TOP-6.3.2-15 A szombathelyi Sportliget fejlesztése - hozzájárulás</t>
  </si>
  <si>
    <t>TOP-6.5.1-15-00002 AGORA Központ energetikai korszerűsítés - hozzájárulás</t>
  </si>
  <si>
    <t>TOP-6.5.1-15-00004 Óvodák energetikai korszerűsítése - hozzájárulás</t>
  </si>
  <si>
    <t>TOP-6.5.1-15-00005 Egészségügyi intézmények energetikai korszerűsítése - hozzájárulás</t>
  </si>
  <si>
    <t>TOP-6.6.1-15 Új Egészségügyi Alapellátó központ kialakítása - hozzájárulás</t>
  </si>
  <si>
    <t>TOP-6.6.2-15 Szociális alapszolgáltatások fejlesztése Szombathelyen - hozzájárulás</t>
  </si>
  <si>
    <t>TOP-6.1.4-00003 Víztorony és környezetének turisztikai célú fejlesztése</t>
  </si>
  <si>
    <t>TOP-6.1.4-00001 Képtár turisztikai célú felújítása</t>
  </si>
  <si>
    <t>TOP-6.1.4-00002 Romkert turisztikai célú fejlesztése – védőépület megépítése</t>
  </si>
  <si>
    <t>I-XII.hó</t>
  </si>
  <si>
    <t xml:space="preserve">Veloregio határon átnyúló osztrák-magyar kerékpár turisztikai pályázat  (önerő) - Savaria Turizmus Nonprofit Kft. </t>
  </si>
  <si>
    <t>Szilveszter kupa Teremlabdarúgó Torna (2017.)</t>
  </si>
  <si>
    <t>Út és járdafelújítás, csapadékvíz elvezetés (központi támogatás)</t>
  </si>
  <si>
    <t>Szombathely Szent László Király utcai felhagyott iparterület fejlesztése(BMSK támogatás)</t>
  </si>
  <si>
    <t>TOP-6.1.4-16-SH1-2017-00003 Víztorony és környezetének turisztikai célú fejlesztése</t>
  </si>
  <si>
    <t>TOP-6.1.4-16-SH1-2017-00002 Romkert turisztikai célú fejlesztése - védőépület megépítése</t>
  </si>
  <si>
    <t>Jedlik Ányos Terv - "A" típusú elektromos autótöltő állomások telepítése pályázat NGM támogatás</t>
  </si>
  <si>
    <t>Király u. 1-11.közötti tömbbelsőben parkoló építése</t>
  </si>
  <si>
    <t>Út és járdafelújítás, csapadékvíz elvezetés (központi támogatásból)</t>
  </si>
  <si>
    <t>TOP-6.3.1-15 Szombathely Szent László Király utcai felhagyott iparterület fejlesztése  - BMSK támogatás fordított áfa kiadás</t>
  </si>
  <si>
    <t>TOP-6.2.1-15-00004 Weöres S. és Pipitér Óvoda fejlesztése Szombathelyen - hozzájárulás fordított áfa kiadás</t>
  </si>
  <si>
    <t>TOP-6.3.1-15 Szombathely Szent László Király utcai felhagyott iparterület fejlesztése  - hozzájárulás (önerő)</t>
  </si>
  <si>
    <t>Modern Városok Program - A szombathelyi Késmárk utcai Teniszcentrum fejlesztése</t>
  </si>
  <si>
    <t xml:space="preserve">Modern Városok Program  - Szent Márton Terv II.ütem </t>
  </si>
  <si>
    <t>Modern Városok Program - Fedett uszoda további fejl. és bővítése</t>
  </si>
  <si>
    <t xml:space="preserve">Modern Városok Program - Multifunkcionális városi közszolgáltatási telephely Szombathely - Sárdi ér út </t>
  </si>
  <si>
    <t>Modern Városok Program - Szent Márton Lovas Sport, Hagyományőrző és Rendezvényközpont fejlesztésének előkészítése</t>
  </si>
  <si>
    <t>Modern Városok Program - Gothard kastély fejlesztése</t>
  </si>
  <si>
    <t>2018. évi költségvetési támogatási előleg</t>
  </si>
  <si>
    <t>STYL ingatlan vásárlás</t>
  </si>
  <si>
    <t>Szent M. szellemiségével összefüggő nemzetközi projekt - ERFA támogatás, hazai társfinanszírozás</t>
  </si>
  <si>
    <t>EFOP-1.9.9-17-2017-00002 - Bölcsődei szakemberek szakmai fejlesztése Szombathelyen</t>
  </si>
  <si>
    <t>EBBŐL:</t>
  </si>
  <si>
    <t>STYL adótartozás kiegyenlítése</t>
  </si>
  <si>
    <t>STYL bérleti díj visszatérülése (költség visszatérülés)</t>
  </si>
  <si>
    <t>TOP-6.1.1-15-00001 A szombathelyi északi iparterület fejlesztése áfa visszaigénylés</t>
  </si>
  <si>
    <t>STYL ingatlan vásárlás - elszámolásokkal kapcsolatban</t>
  </si>
  <si>
    <t>TOP-6.1.4-16-SH1-2017-00001 Képtár turisztikai c.felújítása</t>
  </si>
  <si>
    <t xml:space="preserve">2018. évi költségvetési támogatási előleg </t>
  </si>
  <si>
    <t>Pénzeszközök változásának bemutatása</t>
  </si>
  <si>
    <t>Nyitó pénzkészlet</t>
  </si>
  <si>
    <t>+ Bevételek 1.sz.melléklet szerinti összege</t>
  </si>
  <si>
    <t>+-Sajátos elszámolások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</si>
  <si>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</si>
  <si>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</si>
  <si>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</si>
  <si>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</si>
  <si>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</si>
  <si>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</si>
  <si>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Szombathely Megyei Jogú Város Önkormányzata</t>
  </si>
  <si>
    <t>Sorszám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</si>
  <si>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</si>
  <si>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</si>
  <si>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</si>
  <si>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</si>
  <si>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</si>
  <si>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</si>
  <si>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</si>
  <si>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</si>
  <si>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</si>
  <si>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</si>
  <si>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</si>
  <si>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</si>
  <si>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3. SZMJV Önkormányzatának helyi adókról szóló rendelete alapján adott mentességek és kedvezmények.</t>
  </si>
  <si>
    <t>4. SZMJV Önkormányzatának vagyonrendelet alapján nyújtott kedvezmények, mentességek összege.</t>
  </si>
  <si>
    <t>5. Közterülethasználati díj mentesség az Önkormányzat rendelete alapján.</t>
  </si>
  <si>
    <t>Kimutatás az Európai Unios támogatással megvalósuló projektek</t>
  </si>
  <si>
    <t>BEVÉTELEK</t>
  </si>
  <si>
    <t>Működés</t>
  </si>
  <si>
    <t>URBACT III program Disarned citis projekt támogatás I. ütem</t>
  </si>
  <si>
    <t>URBACT III program Disarned citis projekt támogatás II. ütem</t>
  </si>
  <si>
    <t>TOP-6.5.2-15 Megújuló Szombathely - tiszta energia saját erőből</t>
  </si>
  <si>
    <t>TOP-6.1.1-15-00002 Sombathely, Sárdi-ér úti terület alapinfrastruktúrájának kiépítése</t>
  </si>
  <si>
    <t>Fejlesztés</t>
  </si>
  <si>
    <t>TOP 6.2.1-15-00004 Weöres S. és Pipitér Óvoda fejlesztése Szombathelyen</t>
  </si>
  <si>
    <t>TOP 6.3.3-15-Szhely bel- és csapadékvíz védelmi rendsz.fejl.</t>
  </si>
  <si>
    <t>TOP 6.2.1-15-00003 Százszorszép Bölcsőde és Mocorgó Óvoda fejlesztése Szombathelyen</t>
  </si>
  <si>
    <t>TOP 6.6.1-15-00003 Új Egészségügyi Alapellátó Központ kialakítása</t>
  </si>
  <si>
    <t>TOP 6.6.1-15 SZMJV kerékpárosbarát fejlesztése</t>
  </si>
  <si>
    <t>TOP 6.1.5-15 SZMJV közúthálózati elemeinekgazd.fejl.célú megújítása</t>
  </si>
  <si>
    <t>BEVÉTELEK ÖSSZESEN</t>
  </si>
  <si>
    <t>KIADÁSOK</t>
  </si>
  <si>
    <t>Egyéb más ágazathoz nem sorolható intézmények és feladatok kiadásai</t>
  </si>
  <si>
    <t>TOP-6.3.3-15 Szhely bel- és csapadékvíz védelmi rendsz.fejl.</t>
  </si>
  <si>
    <t>KIADÁSOK ÖSSZESEN</t>
  </si>
  <si>
    <t>következő évekre áthúzódó hatásairól</t>
  </si>
  <si>
    <t>2016.</t>
  </si>
  <si>
    <t>2017.</t>
  </si>
  <si>
    <t>2018.</t>
  </si>
  <si>
    <t>2019.</t>
  </si>
  <si>
    <t>Lakásalap összesen</t>
  </si>
  <si>
    <t>Vagyongazdálkodási kiadások (ingatlan kisajátítás, vásárlás)</t>
  </si>
  <si>
    <t xml:space="preserve">út, járda, híd, kerékpárút, parkoló, közvilágítási építési és felújítási program </t>
  </si>
  <si>
    <t>Beruházások Összesen:</t>
  </si>
  <si>
    <t>Mindösszesen</t>
  </si>
  <si>
    <t>Szöveges indoklás:</t>
  </si>
  <si>
    <t xml:space="preserve">A többéves kihatással járó költségvetési tételek egyrészt Szombathely Megyei Jogú Város közgyűlésének </t>
  </si>
  <si>
    <t>közgyűlési döntések alapján kerültek beépítésre.</t>
  </si>
  <si>
    <t>ESZKÖZÖK</t>
  </si>
  <si>
    <t xml:space="preserve">2016. </t>
  </si>
  <si>
    <t>zárómérleg</t>
  </si>
  <si>
    <t>2016.12.31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</si>
  <si>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</si>
  <si>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</si>
  <si>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</si>
  <si>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</si>
  <si>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</si>
  <si>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</si>
  <si>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</si>
  <si>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</si>
  <si>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</si>
  <si>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</si>
  <si>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</si>
  <si>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</si>
  <si>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</si>
  <si>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</si>
  <si>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</si>
  <si>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</si>
  <si>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</si>
  <si>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</si>
  <si>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</si>
  <si>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</si>
  <si>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</si>
  <si>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</si>
  <si>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</si>
  <si>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</si>
  <si>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</si>
  <si>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</si>
  <si>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</si>
  <si>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</si>
  <si>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</si>
  <si>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</si>
  <si>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</si>
  <si>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</si>
  <si>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</si>
  <si>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</si>
  <si>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</si>
  <si>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</si>
  <si>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</si>
  <si>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</si>
  <si>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</si>
  <si>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</si>
  <si>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</si>
  <si>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</si>
  <si>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</si>
  <si>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</si>
  <si>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</si>
  <si>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</si>
  <si>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</si>
  <si>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</si>
  <si>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</si>
  <si>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</si>
  <si>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</si>
  <si>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</si>
  <si>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</si>
  <si>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</si>
  <si>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</si>
  <si>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</si>
  <si>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</si>
  <si>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</si>
  <si>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</si>
  <si>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</si>
  <si>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</si>
  <si>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</si>
  <si>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</si>
  <si>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</si>
  <si>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</si>
  <si>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</si>
  <si>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</si>
  <si>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</si>
  <si>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</si>
  <si>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</si>
  <si>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</si>
  <si>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</si>
  <si>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</si>
  <si>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</si>
  <si>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</si>
  <si>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</si>
  <si>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</si>
  <si>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</si>
  <si>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</si>
  <si>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</si>
  <si>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</si>
  <si>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</si>
  <si>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</si>
  <si>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</si>
  <si>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</si>
  <si>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</si>
  <si>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</si>
  <si>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</si>
  <si>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</si>
  <si>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</si>
  <si>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</si>
  <si>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</si>
  <si>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</si>
  <si>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</si>
  <si>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</si>
  <si>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</si>
  <si>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</si>
  <si>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</si>
  <si>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</si>
  <si>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</si>
  <si>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</si>
  <si>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J/2.</t>
  </si>
  <si>
    <t>Költségek, ráfordítások passzív időbeli elhatárolása</t>
  </si>
  <si>
    <t>Halasztott eredményszemléletű bevételek</t>
  </si>
  <si>
    <t>J/3.</t>
  </si>
  <si>
    <t>Passzívv időbeli elhatárolások összesen</t>
  </si>
  <si>
    <t>J</t>
  </si>
  <si>
    <t>Passzív időbeli elhatárolások összesen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</si>
  <si>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</si>
  <si>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</si>
  <si>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</si>
  <si>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</si>
  <si>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</si>
  <si>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</si>
  <si>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</si>
  <si>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</si>
  <si>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</si>
  <si>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</si>
  <si>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</si>
  <si>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</si>
  <si>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</si>
  <si>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</si>
  <si>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</si>
  <si>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</si>
  <si>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</si>
  <si>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</si>
  <si>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</si>
  <si>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</si>
  <si>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</si>
  <si>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</si>
  <si>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</si>
  <si>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</si>
  <si>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</si>
  <si>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</si>
  <si>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</si>
  <si>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</si>
  <si>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</si>
  <si>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</si>
  <si>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</si>
  <si>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</si>
  <si>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</si>
  <si>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</si>
  <si>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</si>
  <si>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</si>
  <si>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</si>
  <si>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</si>
  <si>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</si>
  <si>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</si>
  <si>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</si>
  <si>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</si>
  <si>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</si>
  <si>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</si>
  <si>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</si>
  <si>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</si>
  <si>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</si>
  <si>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</si>
  <si>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</si>
  <si>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</si>
  <si>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</si>
  <si>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</si>
  <si>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</si>
  <si>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</si>
  <si>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</si>
  <si>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</si>
  <si>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</si>
  <si>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</si>
  <si>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</si>
  <si>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</si>
  <si>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</si>
  <si>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</si>
  <si>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</si>
  <si>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</si>
  <si>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</si>
  <si>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</si>
  <si>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</si>
  <si>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</si>
  <si>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</si>
  <si>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</si>
  <si>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</si>
  <si>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</si>
  <si>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</si>
  <si>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</si>
  <si>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</si>
  <si>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</si>
  <si>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</si>
  <si>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</si>
  <si>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</si>
  <si>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</si>
  <si>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</si>
  <si>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</si>
  <si>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</si>
  <si>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</si>
  <si>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</si>
  <si>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</si>
  <si>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</si>
  <si>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</si>
  <si>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</si>
  <si>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</si>
  <si>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</si>
  <si>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</si>
  <si>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</si>
  <si>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</si>
  <si>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</si>
  <si>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</si>
  <si>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</si>
  <si>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</si>
  <si>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</si>
  <si>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</si>
  <si>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</si>
  <si>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</si>
  <si>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</si>
  <si>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</si>
  <si>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</si>
  <si>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</si>
  <si>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</si>
  <si>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</si>
  <si>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</si>
  <si>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</si>
  <si>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</si>
  <si>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>Egyéb nem intézményi ellátások</t>
  </si>
  <si>
    <t>8.</t>
  </si>
  <si>
    <t>Köztemetés</t>
  </si>
  <si>
    <t>9.</t>
  </si>
  <si>
    <t>Kamatmentes kölcsön  kifizetés</t>
  </si>
  <si>
    <t>10.</t>
  </si>
  <si>
    <t>Ápolási díj</t>
  </si>
  <si>
    <t>11.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</si>
  <si>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</si>
  <si>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</si>
  <si>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</si>
  <si>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</si>
  <si>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</si>
  <si>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</si>
  <si>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</si>
  <si>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</si>
  <si>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</si>
  <si>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</si>
  <si>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</si>
  <si>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</si>
  <si>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</si>
  <si>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</si>
  <si>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</si>
  <si>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</si>
  <si>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</si>
  <si>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</si>
  <si>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</si>
  <si>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</si>
  <si>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</si>
  <si>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</si>
  <si>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</si>
  <si>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</si>
  <si>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</si>
  <si>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</si>
  <si>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</si>
  <si>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</si>
  <si>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</si>
  <si>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</si>
  <si>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</si>
  <si>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</si>
  <si>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</si>
  <si>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</si>
  <si>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</si>
  <si>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</si>
  <si>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</si>
  <si>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</si>
  <si>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</si>
  <si>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</si>
  <si>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</si>
  <si>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</si>
  <si>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</si>
  <si>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</si>
  <si>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</si>
  <si>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</si>
  <si>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</si>
  <si>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</si>
  <si>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</si>
  <si>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</si>
  <si>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</si>
  <si>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</si>
  <si>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</si>
  <si>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</si>
  <si>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</si>
  <si>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</si>
  <si>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</si>
  <si>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</si>
  <si>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</si>
  <si>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</si>
  <si>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</si>
  <si>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</si>
  <si>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</si>
  <si>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</si>
  <si>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</si>
  <si>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</si>
  <si>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</si>
  <si>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</si>
  <si>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</si>
  <si>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</si>
  <si>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</si>
  <si>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</si>
  <si>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</si>
  <si>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</si>
  <si>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</si>
  <si>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</si>
  <si>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</si>
  <si>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</si>
  <si>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</si>
  <si>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</si>
  <si>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</si>
  <si>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</si>
  <si>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</si>
  <si>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</si>
  <si>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</si>
  <si>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</si>
  <si>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</si>
  <si>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</si>
  <si>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</si>
  <si>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</si>
  <si>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Vizek és közcélú (vizi közműnek nem minősülő) vízi létesítmények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</si>
  <si>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</si>
  <si>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</si>
  <si>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</si>
  <si>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</si>
  <si>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</si>
  <si>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</si>
  <si>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A helyi önkormányzat felügyelete alá tartozó költségvetési szervek ingatlanai</t>
  </si>
  <si>
    <t>Műemlék ingatlanok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</si>
  <si>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</si>
  <si>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</si>
  <si>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</si>
  <si>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</si>
  <si>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</si>
  <si>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</si>
  <si>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</si>
  <si>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</si>
  <si>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</si>
  <si>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</si>
  <si>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</si>
  <si>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</si>
  <si>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</si>
  <si>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</si>
  <si>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</si>
  <si>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</si>
  <si>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</si>
  <si>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</si>
  <si>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</si>
  <si>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</si>
  <si>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</si>
  <si>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</si>
  <si>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</si>
  <si>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</si>
  <si>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</si>
  <si>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</si>
  <si>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</si>
  <si>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KÖVETELÉSEK - forgalomképes</t>
  </si>
  <si>
    <t>EGYÉB SAJÁTOS ELSZÁMOLÁSOK - forgalomképes</t>
  </si>
  <si>
    <t>F.</t>
  </si>
  <si>
    <t>AKTÍV IDŐBELI ELHATÁROLÁSOK - forgalomképes</t>
  </si>
  <si>
    <t>G.</t>
  </si>
  <si>
    <t>SAJÁT TŐKE</t>
  </si>
  <si>
    <t>H.</t>
  </si>
  <si>
    <t>KÖTELEZETTSÉGEK</t>
  </si>
  <si>
    <t>Költségvetési évben esedékes kötelezettségek - forgalomképes</t>
  </si>
  <si>
    <t>Költségvetési évet követően esedékes kötelezettségek - forgalomképes</t>
  </si>
  <si>
    <t>I.</t>
  </si>
  <si>
    <t>KINCSTÁRI SZÁMLAVEZETÉSSEL KAPCSOLATOS ELSZÁMOLÁSOK</t>
  </si>
  <si>
    <t>J.</t>
  </si>
  <si>
    <t>PASSZÍV IDŐBELI ELHATÁROLÁSOK - forgalomképes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</si>
  <si>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</si>
  <si>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</si>
  <si>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</si>
  <si>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</si>
  <si>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</si>
  <si>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</si>
  <si>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</si>
  <si>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</si>
  <si>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01. számlaosztály Vagyonkezelésben lévő önkormányzati tulajdonú eszközök</t>
  </si>
  <si>
    <t>Szombathelyi Műszaki Szakképzési Centrum vagyonkezelésében lévő önkormányzati tulajdonú eszközök</t>
  </si>
  <si>
    <r>
      <t>Szombathelyi Szolgáltatási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Szakképzési Centrum vagyonkezelésében lévő önkormányzati tulajdonú eszközök</t>
    </r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</si>
  <si>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</si>
  <si>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</si>
  <si>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04. Függő kötelezettségek</t>
  </si>
  <si>
    <t>Önkormányzati többségi tulajdonú vállalkozásokhoz kapcsolódó kezességvállalások állománya</t>
  </si>
  <si>
    <t>Támogatás célú előleggel kapcsolatos elszámolási köztelezettség</t>
  </si>
  <si>
    <t>I N T É Z M É N Y</t>
  </si>
  <si>
    <t>Feladat</t>
  </si>
  <si>
    <t>Összeg</t>
  </si>
  <si>
    <t>Ó v o d á k</t>
  </si>
  <si>
    <t>Barátság Óvoda</t>
  </si>
  <si>
    <t>Kisértékű egyéb gép, berendezés</t>
  </si>
  <si>
    <t>Donászy Magda Óvoda</t>
  </si>
  <si>
    <t>Aréna Óvoda</t>
  </si>
  <si>
    <t>Gazdag Erzsi Óvoda</t>
  </si>
  <si>
    <t>Hétszínvirág Óvoda</t>
  </si>
  <si>
    <t>Pipitér Óvoda</t>
  </si>
  <si>
    <t>Szivárvány Óvoda</t>
  </si>
  <si>
    <t>Margaréta Óvoda</t>
  </si>
  <si>
    <t>Maros Óvoda</t>
  </si>
  <si>
    <t>Vadvirág Óvoda</t>
  </si>
  <si>
    <t>Mocorgó Óvoda</t>
  </si>
  <si>
    <t>Mesevár Óvoda</t>
  </si>
  <si>
    <t>Napsugár Óvoda</t>
  </si>
  <si>
    <t>Szűrcsapó Óvoda</t>
  </si>
  <si>
    <t>Weöres Sándor Óvoda</t>
  </si>
  <si>
    <t>Óvodák  összesen</t>
  </si>
  <si>
    <t>Köznevelési Gamesz összesen</t>
  </si>
  <si>
    <t>Kulturális intézmények</t>
  </si>
  <si>
    <t>Hangtechnikai eszközök</t>
  </si>
  <si>
    <t>Rendezvénytechnikai eszközök</t>
  </si>
  <si>
    <t xml:space="preserve">Összesen:                                       </t>
  </si>
  <si>
    <t>Savaria Szimfonikus Zenekar</t>
  </si>
  <si>
    <t>Berzsenyi Dániel Megyei és Városi Könyvtár</t>
  </si>
  <si>
    <t>Savaria Megyei Hatókörű Városi Múzeum</t>
  </si>
  <si>
    <t>Savaria Múzeum</t>
  </si>
  <si>
    <t>Ventilátor</t>
  </si>
  <si>
    <t>Kulturális intézmények összesen:</t>
  </si>
  <si>
    <t>Egyéb intézmények</t>
  </si>
  <si>
    <t xml:space="preserve"> Városi Vásárcsarnok</t>
  </si>
  <si>
    <t>Egészségügyi intézmények</t>
  </si>
  <si>
    <t>Szombathelyi Egészségügyi és Kulturális Intézmények</t>
  </si>
  <si>
    <t>Gazdasági Ellátó Szervezete</t>
  </si>
  <si>
    <t>Védőnői szolgálat szakmai minimum feltételeinek biztosítása</t>
  </si>
  <si>
    <t>Humán Civil Ház felszerelési eszközök pótlása</t>
  </si>
  <si>
    <t>Wesslényi u. GESZ központ eszközbiztosítása</t>
  </si>
  <si>
    <t>Szociális intézmények</t>
  </si>
  <si>
    <t>Szombathelyi Egyesített Bölcsödei Intézmény</t>
  </si>
  <si>
    <t>Gazdasági Hivatal</t>
  </si>
  <si>
    <t>Függöny</t>
  </si>
  <si>
    <t>Napraforgó Bölcsőde</t>
  </si>
  <si>
    <t>Mobiltelefon</t>
  </si>
  <si>
    <t>Bokréta Bölcsőde</t>
  </si>
  <si>
    <t>Meseház Bölcsőde</t>
  </si>
  <si>
    <t>Porszívó</t>
  </si>
  <si>
    <t>Százszorszép Bölcsőde</t>
  </si>
  <si>
    <t>Kuckó Bölcsőde</t>
  </si>
  <si>
    <t>Csicsergő Bölcsőde</t>
  </si>
  <si>
    <t>Csodaország Bölcsőde</t>
  </si>
  <si>
    <t>Karbantartási Csoport</t>
  </si>
  <si>
    <t>Nem oktatási intézmények összesen</t>
  </si>
  <si>
    <t>Intézmények mindösszesen</t>
  </si>
  <si>
    <t>Szombathely Megyei Jogú Város Polgármesteri Hivatala</t>
  </si>
  <si>
    <t>Hivatal működéséhez eszközbeszerzések</t>
  </si>
  <si>
    <t>Hivatali irodákba bútorbeszerzések</t>
  </si>
  <si>
    <t>Multifunkciós eszközök beszerzése</t>
  </si>
  <si>
    <t>Informatikai eszközbeszerzések</t>
  </si>
  <si>
    <t>Összesen:</t>
  </si>
  <si>
    <t>Közterület Felügyelet</t>
  </si>
  <si>
    <t>Szombathely Megyei Jogú Város Önkormányzat Intézményei</t>
  </si>
  <si>
    <t>Cél</t>
  </si>
  <si>
    <t>Számítógépes hálózat kiépítése</t>
  </si>
  <si>
    <t>Játéksziget Óvoda</t>
  </si>
  <si>
    <t>Szombathelyi Köznevelési Gamesz összesen</t>
  </si>
  <si>
    <t>Agora Szombathelyi Kulturális Központ</t>
  </si>
  <si>
    <t>Egézségügyi intézmények</t>
  </si>
  <si>
    <t>Tulajdoni hányad</t>
  </si>
  <si>
    <t>Elszámolt</t>
  </si>
  <si>
    <t>Mérleg</t>
  </si>
  <si>
    <t>%-ban</t>
  </si>
  <si>
    <t>Jegyzett tőke</t>
  </si>
  <si>
    <t>értéke e Ft</t>
  </si>
  <si>
    <t>értékvesztés</t>
  </si>
  <si>
    <t>Szombathelyi Vagyonhasznosító és Városgazd. Zrt.</t>
  </si>
  <si>
    <t>Szhelyi Távhőszolg.KFT</t>
  </si>
  <si>
    <t>FALCO KC</t>
  </si>
  <si>
    <t>Vasivíz RT</t>
  </si>
  <si>
    <t>Szhelyi Haladás Labdarúgó és Sportszolg.KFT</t>
  </si>
  <si>
    <t>Prenor KFT</t>
  </si>
  <si>
    <t>Szombathelyi Parkfenntartási és Temetkezési Kft</t>
  </si>
  <si>
    <t>STYL FASHION INVEST2009 Ruhaipari Kft.</t>
  </si>
  <si>
    <t>Saját alapítású gazdasági társaságok összesen</t>
  </si>
  <si>
    <t>Fogyatékkal Élőket és Hajléktalanokat Ellátó Közhasznú Nonprofit Kft.</t>
  </si>
  <si>
    <t>Szombathelyi Médiaközpont Nonprofit Kft.</t>
  </si>
  <si>
    <t>Szombathelyi Sportközpont és Sportiskola Nonprofit Kft.</t>
  </si>
  <si>
    <t>Weöres Sándor Színház Nonprofit Kft.</t>
  </si>
  <si>
    <t>Szombathelyi Képző Központ Közhasznú Nonprofit Kft.</t>
  </si>
  <si>
    <t>Savaria Városfejlesztési Nonprofit Kft.</t>
  </si>
  <si>
    <t>Savaria Turizmus Nonprofit Kft</t>
  </si>
  <si>
    <t>Nyugat-Pannon Járműipari és Mechatronikai Kp.Szolg. Nonprofit Kft.</t>
  </si>
  <si>
    <t>SZOMHULL  Szombathelyi Hulladékgazdálkodási Közszolgáltató Nonprofit Kft.</t>
  </si>
  <si>
    <t>Haladás Sportkomplexum Fejlesztő Nonprofit Kft.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</si>
  <si>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</si>
  <si>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</si>
  <si>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</si>
  <si>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</si>
  <si>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</si>
  <si>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 xml:space="preserve">Költségvetési </t>
  </si>
  <si>
    <t>Önkormányzat</t>
  </si>
  <si>
    <t>szervek bevételei</t>
  </si>
  <si>
    <t>bevételek</t>
  </si>
  <si>
    <t>szervek kiadásai</t>
  </si>
  <si>
    <t>kiadások</t>
  </si>
  <si>
    <t>bevételei</t>
  </si>
  <si>
    <t>kiadásai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</si>
  <si>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</si>
  <si>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</si>
  <si>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</si>
  <si>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</si>
  <si>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</si>
  <si>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</si>
  <si>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</si>
  <si>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</si>
  <si>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</si>
  <si>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</si>
  <si>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</si>
  <si>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</si>
  <si>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</si>
  <si>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</si>
  <si>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</si>
  <si>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</si>
  <si>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</si>
  <si>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</si>
  <si>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</si>
  <si>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</si>
  <si>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</si>
  <si>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</si>
  <si>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</si>
  <si>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</si>
  <si>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</si>
  <si>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</si>
  <si>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</si>
  <si>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</si>
  <si>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</si>
  <si>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</si>
  <si>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</si>
  <si>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</si>
  <si>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</si>
  <si>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</si>
  <si>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</si>
  <si>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</si>
  <si>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</si>
  <si>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</si>
  <si>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</si>
  <si>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t>Vas Megyei Temetkezési Kft.</t>
  </si>
  <si>
    <t xml:space="preserve">2017. </t>
  </si>
  <si>
    <t>2017.12.31</t>
  </si>
  <si>
    <t>Szombathely Megyei Jogú Város Önkormányzatának mérlegadatai 2017.évben</t>
  </si>
  <si>
    <t>Részesedések, üzletrészek állománya 2017.december 31-én</t>
  </si>
  <si>
    <t>2017. évi segély kifizetésekről</t>
  </si>
  <si>
    <t xml:space="preserve">    Felhalmozási célú kiadások összesen :</t>
  </si>
  <si>
    <t xml:space="preserve">    Felhalmozási célú bevételek összesen :</t>
  </si>
  <si>
    <t xml:space="preserve">    Finanszírozási műveletek összesen</t>
  </si>
  <si>
    <t xml:space="preserve">    Kiadások és finanszírozási műveletek összesen</t>
  </si>
  <si>
    <t xml:space="preserve">   Bevételek és finanszírozási műveletek összesen</t>
  </si>
  <si>
    <t>2017.évi bevételeiről és kiadásairól</t>
  </si>
  <si>
    <t>ERFA támogatás - Szent M. szellemiségével összefüggő nemzetközi projekt</t>
  </si>
  <si>
    <t>Szent Márton szellemiségével összefüggő nemzetközi projekt önrész</t>
  </si>
  <si>
    <t>TOP-6.1.1-15-00001 A szombathelyi Északi Iparterület fejlesztése - fordított áfa</t>
  </si>
  <si>
    <t>TOP-6.1.1-15-00001 A szombathelyi Északi Iparterület fejlesztése - hozzájárulás</t>
  </si>
  <si>
    <t>TOP-6.1.3-15 Szombathelyi Vásárcsarnok felújítása - fordított áfa</t>
  </si>
  <si>
    <t>TOP-6.1.3-15 Szombathelyi Vásárcsarnok felújítása - hozzájárulás</t>
  </si>
  <si>
    <t>TOP-6.1.4-16-SH1-2017-00001 Képtár turisztikai célú felújítása</t>
  </si>
  <si>
    <t xml:space="preserve">TOP-6.1.5-15 SZMJV közúthálózati elemeinek gazdfejl.célú megújítása - fordított áfa </t>
  </si>
  <si>
    <t xml:space="preserve">TOP-6.2.1-15-00002 Óvoda fejlesztések Szombathelyen - fordított áfa </t>
  </si>
  <si>
    <t>TOP-6.2.1-15-00002 Óvoda fejlesztések Szombathelyen - hozzájárulás</t>
  </si>
  <si>
    <t xml:space="preserve">TOP-6.2.1-15-00004 Weöres S. és Pipitér Óvoda fejlesztése Szombathelyen - fordított áfa </t>
  </si>
  <si>
    <t xml:space="preserve">TOP-6.2.1-15-00004 Weöres S. és Pipitér Óvoda fejlesztése Szombathelyen -hozzájárulás fordított áfa </t>
  </si>
  <si>
    <t>TOP-6.2.1-00005 Bölcsőde fejlesztések Szombathelyen - fordított áfa</t>
  </si>
  <si>
    <t>TOP-6.2.1-15-00005 Bölcsőde fejlesztések Szombathelyen - hozzájárulás</t>
  </si>
  <si>
    <t>TOP-6.3.1-15 Szombathely Szent László Király utcai felhagyott iparterület fejlesztése fordított áfa</t>
  </si>
  <si>
    <t>TOP-6.3.1-15 Szombathely Szent László Király utcai felhagyott iparterület fejlesztése támogatási szerződés módosítása (bevont partner - előleg visszafizetése)</t>
  </si>
  <si>
    <t>TOP-6.3.1-15 Szombathely Szent László Király utcai felhagyott iparterület fejlesztése (EPCOS telephely) BMSK támogatás</t>
  </si>
  <si>
    <t xml:space="preserve">TOP-6.3.1-15 Szombathely Szent László Király utcai felhagyott iparterület fejlesztése (EPCOS telephely) BMSK támogatás -  fordított áfa </t>
  </si>
  <si>
    <t>TOP-6.3.1-15 Szombathely Szent László Király utcai felhagyott iparterület fejlesztése  - hozzájárulás</t>
  </si>
  <si>
    <t>TOP-6.3.2-15 Szombathelyi Sportliget fejlesztése - hozzájárulás (közcélú villamoshálózatra való csatlakozás)</t>
  </si>
  <si>
    <t xml:space="preserve">TOP-6.3.3-15 Szhely bel- és csapadékvíz védelmi rendsz.fejl. - fordított áfa </t>
  </si>
  <si>
    <t>TOP-6.3.3-15 Szhely bel- és csapadékvíz védelmi rendsz.fejl. - hozzájárulás</t>
  </si>
  <si>
    <t>TOP-6.5.1-15 Városháza épületének felújítása - nem elszámolható kiadás</t>
  </si>
  <si>
    <t xml:space="preserve">TOP-6.5.1-15-00003 Neumann János Általános Iskola felújítása - fordított áfa </t>
  </si>
  <si>
    <t>TOP-6.5.1-15-00004 Óvodák energetikai korszerűsítés - hozzájárulás</t>
  </si>
  <si>
    <t>TOP-6.6.1-15 Új egészségügyi alapellátó központ beruházás - hozzájárulás (légtechnikai berendezés biztosítása)</t>
  </si>
  <si>
    <t>Szombathely Megyei Jogú Város Önkormányzata ingatlanvagyon-kataszter összesítője 2017.év</t>
  </si>
  <si>
    <t>2020.</t>
  </si>
  <si>
    <t>Szombathely Megyei Jogú Város Önkormányzata 2017.évi fejlesztési kiadásainak</t>
  </si>
  <si>
    <t xml:space="preserve">       A " Lakásalap" 1994-2017. közötti bevételeiről és kiadásairól</t>
  </si>
  <si>
    <t>12.</t>
  </si>
  <si>
    <t xml:space="preserve"> Önkormányzat által saját hatáskörben (nem szociális és gyermekvédelmi előírások alapján) adott más ellátás</t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</si>
  <si>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2016. évi maradványból fedezett kiadás</t>
    </r>
  </si>
  <si>
    <t xml:space="preserve">            Szociális ágazati összevont pótlék</t>
  </si>
  <si>
    <t>-2016.évi pénzmaradvány (pénzforgalom nélküli bevétel)</t>
  </si>
  <si>
    <t>1. Az ÁHT-ra való hivatkozással, a személyes gondoskodást nyújtó szociális és gyermekjóléti ellátások térítési díjáról szóló   11/1993. (VI.I.) sz. önkormányzati rendelet alapján a térítési díj méltányossági alapon történő csökkentése, illetve elengedése.</t>
  </si>
  <si>
    <t>2017. évi közvetett támogatásairól</t>
  </si>
  <si>
    <t>Költségvetési szervek 2017.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</si>
  <si>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</si>
  <si>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</si>
  <si>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</si>
  <si>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</si>
  <si>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</si>
  <si>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</si>
  <si>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Működési</t>
  </si>
  <si>
    <t>Felhalmozási</t>
  </si>
  <si>
    <t>Eredeti előirányzat</t>
  </si>
  <si>
    <t>Módosított előirányzat         RM V.</t>
  </si>
  <si>
    <t>Teljesítés  
%-a</t>
  </si>
  <si>
    <t>Módosított    előirányzat                 RM V.</t>
  </si>
  <si>
    <t>Módosított     előirányzat                RM V.</t>
  </si>
  <si>
    <t>Módosított előirányzat              RM V.</t>
  </si>
  <si>
    <t>Módosított      előirányzat                  RM V.</t>
  </si>
  <si>
    <t>Módosított       előirányzat                  RM V.</t>
  </si>
  <si>
    <t>Módosított            előirányzat                 RM V.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</si>
  <si>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</si>
  <si>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</si>
  <si>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</si>
  <si>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</si>
  <si>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</si>
  <si>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</si>
  <si>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</si>
  <si>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</si>
  <si>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</si>
  <si>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</si>
  <si>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 xml:space="preserve">Margaréta Óvoda  </t>
  </si>
  <si>
    <t>Napsugár  Óvoda</t>
  </si>
  <si>
    <t>Benczur Gyula Utcai Óvoda</t>
  </si>
  <si>
    <t xml:space="preserve">Weöres Sándor  Óvoda </t>
  </si>
  <si>
    <t>Nem oktatási intézmények</t>
  </si>
  <si>
    <t xml:space="preserve">Összesen                             </t>
  </si>
  <si>
    <t>Egyéb intézmény</t>
  </si>
  <si>
    <t>Szombathelyi Városi Vásárcsarnok</t>
  </si>
  <si>
    <t xml:space="preserve">Összesen                                 </t>
  </si>
  <si>
    <t>Egészségügyi intézmény</t>
  </si>
  <si>
    <t>Szombathelyi Egészségügyi és Kulturális GESZ</t>
  </si>
  <si>
    <t xml:space="preserve">Összesen                   </t>
  </si>
  <si>
    <t xml:space="preserve">Szombathelyi Egyesitett Bölcsődei Intézmény </t>
  </si>
  <si>
    <t>Pálos Károly Szociális Szolgáltató Központ és Gyermekjóléti Szolgálat</t>
  </si>
  <si>
    <t xml:space="preserve">Oktatási intézmények összesen </t>
  </si>
  <si>
    <t>Közterület-Felügyelet</t>
  </si>
  <si>
    <t>Költségvetési szervek 2017. évi kiadásai</t>
  </si>
  <si>
    <t xml:space="preserve">Dologi kiadások </t>
  </si>
  <si>
    <t>Költségvetési kiadások összesen</t>
  </si>
  <si>
    <t>Módosított előirányzat 
RM V.</t>
  </si>
  <si>
    <t>Teljesítés          
%-a</t>
  </si>
  <si>
    <t>Eredeti ei</t>
  </si>
  <si>
    <t>Módosított ei</t>
  </si>
  <si>
    <t xml:space="preserve">Mocorgó Óvoda </t>
  </si>
  <si>
    <t>Szombathely Megyei Jogú Város vagyonkimutatása 2017.év</t>
  </si>
  <si>
    <t>A/IV/1</t>
  </si>
  <si>
    <t>Vagyonkezelésbe adott eszközök - forgalomképtelen</t>
  </si>
  <si>
    <t>Szombathelyi Tankerület vagyonkezelésében lévő önkormányzati tulajdonú eszközök</t>
  </si>
  <si>
    <t>SZMJV Német önkormányzatának vagyonkezelésében lévő önkormányzati tulajdonú eszközök</t>
  </si>
  <si>
    <t>Munkaadókat terhelő járulékok és szociális     hozzájárulási adó</t>
  </si>
  <si>
    <t>Szombathely Megyei Jogú Város Önkormányzatának</t>
  </si>
  <si>
    <t>2017. évi  engedélyezett záró létszámelőirányzata</t>
  </si>
  <si>
    <t>2017. év</t>
  </si>
  <si>
    <t>2017. évi  záró engedélyezett  létszám  előirányzat összesen</t>
  </si>
  <si>
    <t>Intézmény</t>
  </si>
  <si>
    <t>SZAKMAI LÉTSZÁM</t>
  </si>
  <si>
    <t>INTÉZMÉNYÜZEMELTETÉSI LÉTSZÁM</t>
  </si>
  <si>
    <t>2017. évi záró létszám</t>
  </si>
  <si>
    <t>átszámítás nélküli</t>
  </si>
  <si>
    <t xml:space="preserve">   kerekített</t>
  </si>
  <si>
    <t>kerekített</t>
  </si>
  <si>
    <t>Intézmények összesen</t>
  </si>
  <si>
    <t>2017.évi felhalmozási kiadások feladatonként</t>
  </si>
  <si>
    <t>Trapéz asztal 56 db, székek 210 db</t>
  </si>
  <si>
    <t>Kisértékű egyéb eszközök, játékok</t>
  </si>
  <si>
    <t>Tornaszerek</t>
  </si>
  <si>
    <t>Napvitorla</t>
  </si>
  <si>
    <t xml:space="preserve">Pad 3 m </t>
  </si>
  <si>
    <t>Kisértékű gépek, berendezések, informatikai eszközök</t>
  </si>
  <si>
    <t>Egyszerű támlás pad 3 db</t>
  </si>
  <si>
    <t>Mókuskerék 2 db</t>
  </si>
  <si>
    <t xml:space="preserve">Kisértékű egyéb gép, berendezés </t>
  </si>
  <si>
    <t>Acer TMB117-M-P36T notebook+win10 8 db, Pencom számítógép</t>
  </si>
  <si>
    <t>Arrow kerti ház</t>
  </si>
  <si>
    <t>Kresz park létesítése</t>
  </si>
  <si>
    <t xml:space="preserve"> "Vár" polcrendszer</t>
  </si>
  <si>
    <t>Szerszámtároló faház</t>
  </si>
  <si>
    <t>Hinta</t>
  </si>
  <si>
    <t>Óvodai ágyazószekrény</t>
  </si>
  <si>
    <t>Aréna Óvoda - Kapu (Petőfi u. 6.)</t>
  </si>
  <si>
    <t xml:space="preserve">Aréna Óvoda - Kreszpark (Petőfi u. 6.) </t>
  </si>
  <si>
    <t>Benczúr Óvoda - homokozó 3x3m napvitorlával</t>
  </si>
  <si>
    <t>Benczúr Óvoda - Laci drótkötélpálya induló rámpával</t>
  </si>
  <si>
    <t>Hétszínvirág Óvoda - burkolatépítés</t>
  </si>
  <si>
    <t>Hétszínvirág Óvoda - hatszögletű mászóka mászófallal</t>
  </si>
  <si>
    <t>Hétszínvirág Óvoda - Őrtorony létrával-mászófallal</t>
  </si>
  <si>
    <t>Margaréta Óvoda - Kis köteles mászóka 1,4 m magas</t>
  </si>
  <si>
    <t>Maros Óvoda - Táblás kerítés</t>
  </si>
  <si>
    <t>Napsugár  Óvoda - nyújtó pókhálóval</t>
  </si>
  <si>
    <t>Pipitér Óvoda - csőalagút 2 m-es műanyag</t>
  </si>
  <si>
    <t>Vadvirág Óvoda - hatszögletű mászóka mászófallal</t>
  </si>
  <si>
    <t>Weöres S. Óvoda - Dani vár</t>
  </si>
  <si>
    <t>Weöres S. Óvoda - hinta 2 laphintával</t>
  </si>
  <si>
    <t>Weöres S. Óvoda - mozgáskorlátozott homokozó</t>
  </si>
  <si>
    <t>Barátság Óvoda, Pipitér Óvoda - Babaház Erika</t>
  </si>
  <si>
    <t>Hétszínvirág Óvoda, Napsugár Óvoda - faház</t>
  </si>
  <si>
    <t>Szivárvány Óvoda, Vadvirág Óvoda - kombinált egyensúlyozó pálya</t>
  </si>
  <si>
    <t>Kőrösi Óvoda, Mesevár Óvoda, Pipitér Óvoda - Ovi-foci térburkolatos járda</t>
  </si>
  <si>
    <t>Vadvirág Óvoda, Weöres S. Óvoda - homokozó feltöltés</t>
  </si>
  <si>
    <t>Óvodák - napvitorla 7 db</t>
  </si>
  <si>
    <t>Óvodák - ütéscsillapító 8 db</t>
  </si>
  <si>
    <t>Canon IR2530i fénymásoló 18 db (óvodák)</t>
  </si>
  <si>
    <t>Canon IRA 4225i + Image Reader + DADF  lapbehúzó 2 db</t>
  </si>
  <si>
    <t>Dell notebook Inspiron 5567 + Win10</t>
  </si>
  <si>
    <t>MS Office 2016 Home&amp;business beszerzés</t>
  </si>
  <si>
    <t>Dell NB Vostro 3568 notebook 8 db</t>
  </si>
  <si>
    <t>Dell PC Optiplex 3050 Micro asztali gép 6 db</t>
  </si>
  <si>
    <t xml:space="preserve">Dell notebook NB Vostro 3568 &amp; MS Windows 10 </t>
  </si>
  <si>
    <t>HP Deskjet Advantage 5575 tintasugaras nyomtató</t>
  </si>
  <si>
    <t>Epson WorkForce WF-7610DWF nyomtató</t>
  </si>
  <si>
    <t>Egyék kisértékű informatikai eszközök - külső HDD, router, switch, powerbank)</t>
  </si>
  <si>
    <t>Nagy Lajos Gimnázium - ugródomb fém kerettel</t>
  </si>
  <si>
    <t>Tolóajtós szekrény Nádasdy</t>
  </si>
  <si>
    <t>Aréna Óvoda -Petőfi u. 6. Krupps mosogatógép</t>
  </si>
  <si>
    <t>Aréna Óvoda - R.G. többfunkciós mászókészlet</t>
  </si>
  <si>
    <t>Maros Óvoda -felnőtt öltözőszekrény</t>
  </si>
  <si>
    <t>Nyitra Iskola sporteszközök</t>
  </si>
  <si>
    <t>Óvodák - Kültéri abakusz játék 18 db</t>
  </si>
  <si>
    <t>Benczúr, Pipitér Óvoda - kerékpártároló 8 tagú, kör</t>
  </si>
  <si>
    <t>Óvodai udvari játékok - rugósjáték, láncos híd, lengőgerenda, mókuskerék</t>
  </si>
  <si>
    <t>Ivókút, udvari szemetes</t>
  </si>
  <si>
    <t>Margaréta, Pipitér Óvoda - beléptető rendszer</t>
  </si>
  <si>
    <t>Iskolai sporteszközök (17 iskola)</t>
  </si>
  <si>
    <t>Egyéb kis értékű szerszámok, gépek - satu, fúróállvány, szivattyú, sarokcsiszoló</t>
  </si>
  <si>
    <t>Óvodák év végi játékvásárlás - többfunkciós tornafal, mozgáskotta készlet</t>
  </si>
  <si>
    <t>Óvodák - pad asztallal, csővázas pad</t>
  </si>
  <si>
    <t>Óvodák - párakapu 10 db</t>
  </si>
  <si>
    <t>SNI gyógypedagógusoknak fejlesztő eszközök</t>
  </si>
  <si>
    <t>ProBook WEB alapú intézmény irányítási rendszer</t>
  </si>
  <si>
    <t>Számítástechnikai eszközök beszerzése</t>
  </si>
  <si>
    <t>Konferencia projektor</t>
  </si>
  <si>
    <t xml:space="preserve">57 db kamaratermi szék </t>
  </si>
  <si>
    <t>10 db gokart és 10 db kerékpár</t>
  </si>
  <si>
    <t>Egyéb kisértékű felszerelések, eszközök</t>
  </si>
  <si>
    <t>VW Transporter kisbusz</t>
  </si>
  <si>
    <t xml:space="preserve">Akkus csavarozó                                              </t>
  </si>
  <si>
    <t xml:space="preserve">Mobiltelefon 2 db           </t>
  </si>
  <si>
    <t xml:space="preserve">Teljesacél orsós szorító 2 db                     </t>
  </si>
  <si>
    <t xml:space="preserve">Hevederes szoritó BAN700 Bessey                  </t>
  </si>
  <si>
    <t xml:space="preserve">MAKITA BO3711 rezgőcsiszoló                                  </t>
  </si>
  <si>
    <t xml:space="preserve">Alubox                                        </t>
  </si>
  <si>
    <t xml:space="preserve">Állványos szalagcsiszoló (Einhell TC US 400)                 </t>
  </si>
  <si>
    <t xml:space="preserve">Univerzális köszörű (Einhell TH-XG 75)                       </t>
  </si>
  <si>
    <t xml:space="preserve">Grabolett balett pvc padló, fekete/fehér 30 m2               </t>
  </si>
  <si>
    <t xml:space="preserve">Omnitronic-XDP-2800 Dual CD/MP3 Player                       </t>
  </si>
  <si>
    <t xml:space="preserve">Hajszáritó Rowenta C V4721FO 2 db                            </t>
  </si>
  <si>
    <t xml:space="preserve">KTE Bernardo LRS görgős állvány 07-1400E                     </t>
  </si>
  <si>
    <t xml:space="preserve">KTE Bosch kenyérpirító                     </t>
  </si>
  <si>
    <t xml:space="preserve">Kisértékű hangszer, kottatartók, állványok ütőhangszerekhez                                         </t>
  </si>
  <si>
    <t xml:space="preserve">Okostelefon                                                  </t>
  </si>
  <si>
    <t xml:space="preserve">16 db hangvető paraván               </t>
  </si>
  <si>
    <t xml:space="preserve">Fali konzol                            </t>
  </si>
  <si>
    <t xml:space="preserve">Videó megfigyelő rendszer kiépítése              </t>
  </si>
  <si>
    <t xml:space="preserve">C trombita                   </t>
  </si>
  <si>
    <t xml:space="preserve">B trombita "GERD DOWIDS" BZ-SERIE, MOD. CONCERT LINE GL72     </t>
  </si>
  <si>
    <t xml:space="preserve">3 pár YAMAHA klarinét - B klarinét               </t>
  </si>
  <si>
    <t xml:space="preserve">3 pár YAMAHA klarinét - A klarinét               </t>
  </si>
  <si>
    <t xml:space="preserve">CAROLBRASS Trombita                                          </t>
  </si>
  <si>
    <t xml:space="preserve">Fagott hangszer   </t>
  </si>
  <si>
    <t xml:space="preserve">Angolkürt                                                  </t>
  </si>
  <si>
    <t xml:space="preserve">Német manufaktúra hegedű - AMATI                    </t>
  </si>
  <si>
    <t>Nagyteljesítményű multifunkciós fénymásoló</t>
  </si>
  <si>
    <t xml:space="preserve">DELL notebook+Win10Home+Office+egér+táska /32 db/       </t>
  </si>
  <si>
    <t xml:space="preserve">5 db fotel Berta             </t>
  </si>
  <si>
    <t>Vízmelegítők</t>
  </si>
  <si>
    <t xml:space="preserve">MOLNÁRKA könyvkocsi - 3db, "Savaria" könyvkocsi - 2db                       </t>
  </si>
  <si>
    <t xml:space="preserve">Kávéfőző                                                     </t>
  </si>
  <si>
    <t xml:space="preserve">Irodaszék - feldolgozó                                       </t>
  </si>
  <si>
    <t xml:space="preserve">Szőnyeg - Gyerekkönyvtár                                     </t>
  </si>
  <si>
    <t xml:space="preserve">Zászló, zászlórúd                                            </t>
  </si>
  <si>
    <t xml:space="preserve">Létra                                                        </t>
  </si>
  <si>
    <t xml:space="preserve">Fellépő                                                      </t>
  </si>
  <si>
    <t xml:space="preserve">BENQ MH534 projektor  2 db        </t>
  </si>
  <si>
    <t xml:space="preserve">Vetítóvászon motoros </t>
  </si>
  <si>
    <t xml:space="preserve">Hősugárzó                       </t>
  </si>
  <si>
    <t>Fali újságtartó</t>
  </si>
  <si>
    <t xml:space="preserve">CANON digitális fényképezőgép + memóriakártya </t>
  </si>
  <si>
    <t xml:space="preserve">Hangtechnikai eszközök /erősítő,mikrofonok,hangfalak/ </t>
  </si>
  <si>
    <t>"A" méretű 5 fiókos szekrény 2 db</t>
  </si>
  <si>
    <t xml:space="preserve">Sonicwall NSA-250M CGSS licence                </t>
  </si>
  <si>
    <t xml:space="preserve">Mini hegesztőgép  </t>
  </si>
  <si>
    <t>Samsung mobiltelefonok</t>
  </si>
  <si>
    <t xml:space="preserve">Vezetékes telefon                               </t>
  </si>
  <si>
    <t xml:space="preserve">Kanapé 3 db              </t>
  </si>
  <si>
    <t xml:space="preserve">Autós hordozható navigáció                                   </t>
  </si>
  <si>
    <t xml:space="preserve">Hordozható indukciós főző    </t>
  </si>
  <si>
    <t xml:space="preserve">Villanybojler </t>
  </si>
  <si>
    <t xml:space="preserve">Pénztárgép fiók                                              </t>
  </si>
  <si>
    <t xml:space="preserve">Lézeroptikai klt.-múzeumpedagógia </t>
  </si>
  <si>
    <t xml:space="preserve">Vetítővászon CombiFlex 180x180 Tripod </t>
  </si>
  <si>
    <t xml:space="preserve">Mikrofonok (40 Mini Dual-1 db; 45 Presenter-2 db) </t>
  </si>
  <si>
    <t xml:space="preserve">Kávéfőző            </t>
  </si>
  <si>
    <t xml:space="preserve">Asztal-Lifetime </t>
  </si>
  <si>
    <t>Irattároló polc, íróasztal</t>
  </si>
  <si>
    <t xml:space="preserve">Apple iPhone </t>
  </si>
  <si>
    <t xml:space="preserve">Környezetvédelmi bőrönd </t>
  </si>
  <si>
    <t>Főris Katalin - "Elhallgatott emlék 2015"</t>
  </si>
  <si>
    <t xml:space="preserve">Kiss Katalin - "Mille Fleurs"alk. </t>
  </si>
  <si>
    <t xml:space="preserve">Losonczy I. - "Bejáratlan terek" c.mű </t>
  </si>
  <si>
    <t xml:space="preserve">10 vitrin, 15 lámpa </t>
  </si>
  <si>
    <t>Fiókos, fogasos szekrény, 3 fiókos konténer, nyitott polcos szekrény</t>
  </si>
  <si>
    <t>Íróasztal fiókos szekrénnyel, laplábas asztal, sarkos asztal</t>
  </si>
  <si>
    <t>Nikon fényképező tartozékokkal</t>
  </si>
  <si>
    <t>Acél szárnyasajtós szekrény 3 db</t>
  </si>
  <si>
    <t xml:space="preserve">Fényképezőgép táska </t>
  </si>
  <si>
    <t xml:space="preserve">Forgószék 2 db, tárgyalószék 2 db, irodai szék 3 db            </t>
  </si>
  <si>
    <t xml:space="preserve">Álló ventillátor 7 db                   </t>
  </si>
  <si>
    <t xml:space="preserve">Vasaló, fogas, asztali lámpa                       </t>
  </si>
  <si>
    <t xml:space="preserve">Házi planetárium                  </t>
  </si>
  <si>
    <t xml:space="preserve">Egyedi lámpa                      </t>
  </si>
  <si>
    <t xml:space="preserve">Kézi kocsi, pénztárgép fiók                                      </t>
  </si>
  <si>
    <t xml:space="preserve">Ferkovics József - "Elhagyott otthonok"-4 db mű                </t>
  </si>
  <si>
    <t xml:space="preserve">Star Shower Slide Show - Karácsonyi vásár Képtár             </t>
  </si>
  <si>
    <t>Külső winchester USB HDD Maxtor 1 TB</t>
  </si>
  <si>
    <t>1 db CANON Minolta hálózati nyomtató és fénymásoló</t>
  </si>
  <si>
    <t>Védőnői szolgálat számítástechnikai eszközök cseréje</t>
  </si>
  <si>
    <t>Nem eszközprivatizált házi gyermekorvosok eszközpótlása</t>
  </si>
  <si>
    <t>Szombathelyi Egyesített Bölcsődei Intézmény</t>
  </si>
  <si>
    <t>Asztali számítógép, tablet, monitor</t>
  </si>
  <si>
    <t>Íróasztal, bútor</t>
  </si>
  <si>
    <t>Függöny, szőnyeg, kávéfőző</t>
  </si>
  <si>
    <t>Konyha, mosoda</t>
  </si>
  <si>
    <t>Kézimixer, turmixgép, kenyérpirító, aprító, szeletelő, kerámia tűzhely</t>
  </si>
  <si>
    <t>Zsúrkocsi</t>
  </si>
  <si>
    <t>Akkus fúró-csavarhúzó, betűző és gérvágó, talicska</t>
  </si>
  <si>
    <t>Számítógépes hálózat kiépítése, számítógép, tablet,monitor, projektor</t>
  </si>
  <si>
    <t>Kávéfőzö, porszívó, centrifuga, mosogatógép</t>
  </si>
  <si>
    <t>Kiságy, szék, függöny</t>
  </si>
  <si>
    <t>Párakapu</t>
  </si>
  <si>
    <t>Monitor, nyomtató, lapadagoló</t>
  </si>
  <si>
    <t>Kiságy, szék</t>
  </si>
  <si>
    <t>Varrógép, porszívó</t>
  </si>
  <si>
    <t>Napernyő, vérnyomásmérő, fürdőkád</t>
  </si>
  <si>
    <t>Tornapad, tornazsámoly, szék</t>
  </si>
  <si>
    <t>Parkoló létesítése</t>
  </si>
  <si>
    <t xml:space="preserve">Monitor </t>
  </si>
  <si>
    <t>Porszívó, olajradiátor, mikrohullámú sütő, kávéfőző</t>
  </si>
  <si>
    <t>Kiságy, szék, pelenkázószivacs</t>
  </si>
  <si>
    <t>Számítógép, monitor</t>
  </si>
  <si>
    <t>Porszívó, mosogép</t>
  </si>
  <si>
    <t>Függöny, karnis</t>
  </si>
  <si>
    <t>Szék</t>
  </si>
  <si>
    <t>Számítógép, monitor, nyomtató, lapadagoló</t>
  </si>
  <si>
    <t xml:space="preserve">Fénymásoló  - Szőllősi stny </t>
  </si>
  <si>
    <t>Riasztó berendezés - Szőllősi stny</t>
  </si>
  <si>
    <t>Klímaberendezés - Szőllősi stny</t>
  </si>
  <si>
    <t>SEAT gépjármű tolatóradar</t>
  </si>
  <si>
    <t>Mobiltelefon, vezeték nélküli hordozható telefon</t>
  </si>
  <si>
    <t>TV boksz</t>
  </si>
  <si>
    <t>Diktafon</t>
  </si>
  <si>
    <t>LCD TV + fali tv konzol</t>
  </si>
  <si>
    <t>Polcrendszer, irodabútor, beépített szekrény</t>
  </si>
  <si>
    <t>Riasztó központ, videorögzítő riasztóhoz, riasztó LCD kezelő</t>
  </si>
  <si>
    <t>Hűtőszekrény, kávéfőző,  mikrohullámú sütő, rezsó, porszívó, mosógép</t>
  </si>
  <si>
    <t>Rádió, ventilátor, tálalókocsi, szőnyeg, vasalóállvány</t>
  </si>
  <si>
    <t>Szék, kanapé, állófogas, szekrény, asztal</t>
  </si>
  <si>
    <t>Kerti sütő, betongrill, pad</t>
  </si>
  <si>
    <t>Karaoke szett, projektor, vetítővászon, játékasztal, XBOX gép - játék</t>
  </si>
  <si>
    <t>Katasztrófavédelmi célra eszközbeszerzés</t>
  </si>
  <si>
    <t>Szerverközponthoz eszköz és szoftver beszerzés</t>
  </si>
  <si>
    <t>Szünetmentes berendezés cseréje</t>
  </si>
  <si>
    <t>Városháza parkoló kerítés cseréje</t>
  </si>
  <si>
    <t>Teakonyhák bútorzat cseréje</t>
  </si>
  <si>
    <t>Központi szervergép cseréje</t>
  </si>
  <si>
    <t>Vetítővászon</t>
  </si>
  <si>
    <t>Epson multifunkciós nyomtató, HP Officejet 7110 nyomtató</t>
  </si>
  <si>
    <t>Minikamera memóriakártyával 10 db</t>
  </si>
  <si>
    <t>Címer tábla</t>
  </si>
  <si>
    <t>Vésznyitó rendszer beépítése</t>
  </si>
  <si>
    <t>Lézeres távolságmérő 5 db</t>
  </si>
  <si>
    <t>Headset</t>
  </si>
  <si>
    <t>Állategészségügyi- és Ebrendészeti Szolgálat</t>
  </si>
  <si>
    <t>Gorenje fagyasztóláda</t>
  </si>
  <si>
    <t>Westen Star gázkazán</t>
  </si>
  <si>
    <t>Microchip leolvasó</t>
  </si>
  <si>
    <t>2017.évi felújítási kiadások célonként</t>
  </si>
  <si>
    <t>Vezetői iroda egybenyitása, felújítása</t>
  </si>
  <si>
    <t>Parkettázás 2 csoport, tornaszoba</t>
  </si>
  <si>
    <t>Földszint, előtér, kisfolyosó hidegburkolása</t>
  </si>
  <si>
    <t>Térelválasztó fal</t>
  </si>
  <si>
    <t>Kerítéskapu átalakítása</t>
  </si>
  <si>
    <t>Mosdó felújítása - földszint</t>
  </si>
  <si>
    <t>Galéria és hempergő kialakítása</t>
  </si>
  <si>
    <t>Járda és lábazat felújítás</t>
  </si>
  <si>
    <t>2 csoport mosdófelújítás</t>
  </si>
  <si>
    <t>2 csoport laminált parkettázás</t>
  </si>
  <si>
    <t>Bóbita faház tető</t>
  </si>
  <si>
    <t>Belső nyílászárók cseréje</t>
  </si>
  <si>
    <t>Konyha felújítás, ablakcsere</t>
  </si>
  <si>
    <t>Góbé mozdony felújítás</t>
  </si>
  <si>
    <t>Nevelői szoba, igazgatói szoba, feljesztő felújítása</t>
  </si>
  <si>
    <t>Női öltöző felújítása</t>
  </si>
  <si>
    <t>Kerítés építés</t>
  </si>
  <si>
    <t>Katica csoport padlóburkolat csere</t>
  </si>
  <si>
    <t>Aréna Óvoda - épület felújítás Petőfi u. 6.</t>
  </si>
  <si>
    <t>Pipitér Óvoda - nyílászárócsere</t>
  </si>
  <si>
    <t>Pipitér Óvoda - tetőszigetelés javítása</t>
  </si>
  <si>
    <t>Donászí Óvoda - kerítés felújítás</t>
  </si>
  <si>
    <t>Mesevár Óvoda - lapostető szigetelés</t>
  </si>
  <si>
    <t>Játéksziget Óvoda - telekelválasztó kerítés</t>
  </si>
  <si>
    <t xml:space="preserve">Kőrösi Óvoda - földszint burkolatcsere </t>
  </si>
  <si>
    <t>Kőrösi Óvoda - biztonsági tükörfal</t>
  </si>
  <si>
    <t>Vadvirág  Óvoda - épület felújtítás I-II. ütem</t>
  </si>
  <si>
    <t>Napsugár Óvoda - 3 db beépített szekrény</t>
  </si>
  <si>
    <t xml:space="preserve">Mocorgó Óvoda - szennyvízvezeték csere </t>
  </si>
  <si>
    <t>Neumann Iskola - ebédlő felújítás</t>
  </si>
  <si>
    <t>Nyitra Iskola - térelválasztó tolóajtó</t>
  </si>
  <si>
    <t>Paragvári Iskola - konyha lapostető szigetelés</t>
  </si>
  <si>
    <t>Váci Iskola - konyha lapostető szigetelés</t>
  </si>
  <si>
    <t>Savaria Iskola  - konyha szigetelés</t>
  </si>
  <si>
    <t>SAVARIA Filmszínház lépcsővilágítás korszerűsítése</t>
  </si>
  <si>
    <t xml:space="preserve">Rendszerkorszerűsítés                         </t>
  </si>
  <si>
    <t xml:space="preserve">Smidt Múzeum bővítés - építészeti műszaki tervezés végszámla   </t>
  </si>
  <si>
    <t>Szent Márton u. felnőtt háziorvosi rendelő ablakcsere</t>
  </si>
  <si>
    <t>Fogaras u. gyermekrendelő váró nyílászárók cseréje</t>
  </si>
  <si>
    <t>Szűrcsapó u. gyermekrendelő nyílászárók cseréje</t>
  </si>
  <si>
    <t xml:space="preserve">Meseház Bölcsőde - tornaszoba </t>
  </si>
  <si>
    <t>Napraforgó Bölcsőde - tetőterasz</t>
  </si>
  <si>
    <t>Szőllősi stny 36. sz. épület felújítása - pinceszigetelés</t>
  </si>
  <si>
    <t xml:space="preserve">Közterület-felügyelet 
</t>
  </si>
  <si>
    <t>Gázkazán csere és fűtésrendszer korszerűsítés</t>
  </si>
  <si>
    <t>Út-híd fenntartási kiadások</t>
  </si>
  <si>
    <t xml:space="preserve">2017. évi bevételei  kiemelt előirányzatonként </t>
  </si>
  <si>
    <t xml:space="preserve">2017. évi  kiadásai kiemelt előirányzatonként </t>
  </si>
  <si>
    <t>Költségvetési szervek működési bevételei</t>
  </si>
  <si>
    <t>Költségvetési szervek felhalmozási bevételei</t>
  </si>
  <si>
    <t>Kincstárjegy jegyzés</t>
  </si>
  <si>
    <t>I. Helyi önkormányzatok működésének általános támogatása</t>
  </si>
  <si>
    <t>EBBŐL:2016.évről áthúzódó bérkompenzáció támogatása</t>
  </si>
  <si>
    <t>II. Települési önkormányzatok egyes köznevelési feladatainak támogatása</t>
  </si>
  <si>
    <t xml:space="preserve">III. Települési önkormányzatok szociális, gyermekjóléti és gyermekétkeztetési  feladatainak támogatása </t>
  </si>
  <si>
    <t>ÖSSZESEN (I.+II.+III.)</t>
  </si>
  <si>
    <t xml:space="preserve"> Bölcsődében középfokú végzettséggel rendelkező kisgyermeknevelőt megillető bölcsődei pótlék</t>
  </si>
  <si>
    <t>Kéményseprő ipari közszolgáltatás ellátásának támogatása</t>
  </si>
  <si>
    <t xml:space="preserve">Központi támogatás 2016. évi elszámolás alapján </t>
  </si>
  <si>
    <t>Mezei őrszolgálat fenntartásához és működéséhez kapott állami hozzájárulás</t>
  </si>
  <si>
    <t>Európai Mobilitási Hét (NFM)</t>
  </si>
  <si>
    <t>Hiszek Benned Sportprogram - EMMI támogatás</t>
  </si>
  <si>
    <t>MŰKÖDÉSI CÉLÚ TÁMOGATÁSOK ÁLLAMHÁZTARTÁSON BELÜLRŐL ÖSSZESEN (a.) + b.) + c.))</t>
  </si>
  <si>
    <t>Pályázati díjak</t>
  </si>
  <si>
    <t>Biztosító térítése, egyéb kártérítés</t>
  </si>
  <si>
    <t>Szhely Szent.L.kir.u.felhagyott iparterület fejl.áfa visszaigénylés az BMSK támogatáshoz kapcsolódóan</t>
  </si>
  <si>
    <t>STYL ingatlanok után áfa visszaigénylés</t>
  </si>
  <si>
    <t xml:space="preserve">Borsodi Fémmegmunkáló Kft. támogatása </t>
  </si>
  <si>
    <t>Országos tan.versenyen eredményesen szereplő diákok és felkészítő tanárok jutalmazása</t>
  </si>
  <si>
    <t>Oktatási intézmények működési kiadásai összesen:</t>
  </si>
  <si>
    <t xml:space="preserve">Oktatási intézmények felhalmozási kiadásai összesen: </t>
  </si>
  <si>
    <r>
      <t xml:space="preserve">Weöres Sándor Színház Nonprofit Kft. </t>
    </r>
    <r>
      <rPr>
        <b/>
        <i/>
        <sz val="12"/>
        <rFont val="Arial CE"/>
        <charset val="238"/>
      </rPr>
      <t>központi művészeti támogatásból fedezett kiadás</t>
    </r>
  </si>
  <si>
    <r>
      <t>Weöres Sándor Színház Nonprofit Kft.</t>
    </r>
    <r>
      <rPr>
        <i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központi működési támogatásból fedezett kiadás</t>
    </r>
  </si>
  <si>
    <r>
      <t xml:space="preserve">Agora Szombathelyi Kulturális Központ </t>
    </r>
    <r>
      <rPr>
        <b/>
        <i/>
        <sz val="12"/>
        <rFont val="Arial CE"/>
        <charset val="238"/>
      </rPr>
      <t>2016. évi maradványból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</si>
  <si>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 központi művészeti támogatásból fedezett kiadása</t>
    </r>
  </si>
  <si>
    <r>
      <t xml:space="preserve">Mesebolt Bábszínház </t>
    </r>
    <r>
      <rPr>
        <i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központi működési támogatásból fedezett kiadása</t>
    </r>
  </si>
  <si>
    <r>
      <t xml:space="preserve">Mesebolt Bábszínház </t>
    </r>
    <r>
      <rPr>
        <b/>
        <i/>
        <sz val="12"/>
        <rFont val="Arial"/>
        <family val="2"/>
        <charset val="238"/>
      </rPr>
      <t>saját bevételéből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</si>
  <si>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</si>
  <si>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</si>
  <si>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saját bevételéből fedezett kiadás</t>
    </r>
  </si>
  <si>
    <r>
      <t xml:space="preserve">Savaria Szimfónikus Zenekar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</si>
  <si>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központi támogatásból fedezett kiadás</t>
    </r>
  </si>
  <si>
    <r>
      <t>Berzsenyi Dániel könyvtár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saját bevételből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</si>
  <si>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2016.évi maradványból fedezett kiadás</t>
    </r>
  </si>
  <si>
    <r>
      <t xml:space="preserve">Savaria Múzeum </t>
    </r>
    <r>
      <rPr>
        <b/>
        <i/>
        <sz val="12"/>
        <rFont val="Arial CE"/>
        <charset val="238"/>
      </rPr>
      <t>központi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</si>
  <si>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2016. évi maradványból fedezett kiadás</t>
    </r>
  </si>
  <si>
    <t>Joskar Ola Lakótelepért Alapítvány</t>
  </si>
  <si>
    <t>Reformáció Éve - Evangélikus Egyházközösség támogatása</t>
  </si>
  <si>
    <t>Savaria Történelmi Karnevál Közhasznú Közalapítvány működési támogatása</t>
  </si>
  <si>
    <t>Savaria Turizmus Nonprofit Kft - támogatás, köztéri díszítés</t>
  </si>
  <si>
    <t>Szociális intézmény működési kiadása összesen:</t>
  </si>
  <si>
    <t>Szociális intézmény felhalmozási kiadásai összesen:</t>
  </si>
  <si>
    <t xml:space="preserve">Egészségügyi intézmény működési kiadásai összesen: </t>
  </si>
  <si>
    <t xml:space="preserve">Egészségügyi intézmény felhalmozási kiadásai összesen: </t>
  </si>
  <si>
    <t>Gyermekvédelmi intézmény működési kiadásai összesen:</t>
  </si>
  <si>
    <t>Gyermekvédelmi intézmény felhalmozási kiadásai összesen:</t>
  </si>
  <si>
    <t>Egyéb, más ágazathoz nem sorolható intézmények működési kiadásai összesen:</t>
  </si>
  <si>
    <t>- ELTE Gothard Asztrofizikai Obszervetórium</t>
  </si>
  <si>
    <t>- ELTE-SEK oktatói bérlakás felújítás</t>
  </si>
  <si>
    <t>- ELTE - Bolyai J. Ált.Isk. és Gimn. - étkezési hozzájárulás támogatás</t>
  </si>
  <si>
    <t>- ELTE Savaria Egyetemi Központ támogatása (beiskolázási kampány)</t>
  </si>
  <si>
    <t>- ELTE - HÖOK Hallgató Közszolgáltató Közhasznú Nkft. - országos konferencia</t>
  </si>
  <si>
    <t>- ELTE - Bolyai J. Ált.Isk. és  Gimn. támogatása</t>
  </si>
  <si>
    <t>- ELTE SEK Karneváli stand (Savaria Turizmus NKft.)</t>
  </si>
  <si>
    <t>SZOVA Zrt.által üzemeltetett lét.-ek (Tófürdő, Kalandváros,Műjégpálya) veszteségének megtérítése</t>
  </si>
  <si>
    <t>Önk.által kijelölt bérlők lakbértámogatásából eredő bérleti díjbevétel kiesés kompenzálása a SZOVA Zrt.részére</t>
  </si>
  <si>
    <t>Szent Márton szellemiségével összefüggő nemzetközi projekt önrész+ERFA támogatás+hazai társfinanszírozás</t>
  </si>
  <si>
    <t>Önkormányzati egyéb, más ágazathoz nem sorolható kiadások összesen</t>
  </si>
  <si>
    <t>Egyéb, más ágazathoz nem sorolható intézmények felhalmozási kiadásai összesen:</t>
  </si>
  <si>
    <t xml:space="preserve">Kommunális, városüzemeltetési és környezetvédelmi kiadások  </t>
  </si>
  <si>
    <t>Kátyúkár - önerő biztosítása</t>
  </si>
  <si>
    <t>vagyongazdálkodási kiadások (ingatlan kisajátítás, vásárlás) fordított áfa kiadás</t>
  </si>
  <si>
    <t>ISPA szennyvízrendszer fejlesztése (ISPA, állami tám., önerő, ÁFA,egyéb kiadások)</t>
  </si>
  <si>
    <t>út, járda, híd, kerékpárút, parkoló, közvilágítási építési és felújítási program</t>
  </si>
  <si>
    <t>út, járda, híd, kerékpárút, parkoló, közvilágítási építési és felújítási program - fordított áfa kiadás</t>
  </si>
  <si>
    <t>Gazdasági zöldítési rendszer - villámtöltő telepítés NGM támogatásból</t>
  </si>
  <si>
    <t>Jedlik Ányos Terv - "A" típusú elektromos autótöltő állomások telepítése pályázat (támogatás+önrész)</t>
  </si>
  <si>
    <t xml:space="preserve">7. </t>
  </si>
  <si>
    <t>Önkormányzatok általános működésének és ágazati feladatainak támogatása</t>
  </si>
  <si>
    <t>MEGNEVEZÉS</t>
  </si>
  <si>
    <t xml:space="preserve">2017. évi  V. sz. </t>
  </si>
  <si>
    <t>eltérés</t>
  </si>
  <si>
    <t>eredeti</t>
  </si>
  <si>
    <t xml:space="preserve">módosított </t>
  </si>
  <si>
    <t>előirányzat</t>
  </si>
  <si>
    <t>2. Nem közművel összegyűjtött háztartási szennyvíz ártalmatlanítása</t>
  </si>
  <si>
    <t>5. 2016. évről áthúzódó bérkompenzáció támogatása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</si>
  <si>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</si>
  <si>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</si>
  <si>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</si>
  <si>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bértámogatása</t>
  </si>
  <si>
    <t>Óvodapedagógusok átlagbérének és közterheinek elismert pótlólagos összege</t>
  </si>
  <si>
    <t>Pedagógus szakképzettséggel rendelkező óvodapedagógusok nevelő munkáját   közvetlenül segítők pótlólagos támogatása</t>
  </si>
  <si>
    <t xml:space="preserve">Óvodapedagógusok nevelő munkáját közvetlenül segítők bértámogatása </t>
  </si>
  <si>
    <t>Óvodapedagógusok munkáját segítők kiegészítő támogatása</t>
  </si>
  <si>
    <t>2. Óvodaműködtetési támogatás</t>
  </si>
  <si>
    <t>4. A köznevelési intézmények működtetéséhez kapcsolódó támogatás</t>
  </si>
  <si>
    <t>5. Kiegészítő  támogatás az óvodapedagógusok minősítéséből adódó többletkiadáshoz</t>
  </si>
  <si>
    <t>II. Összesen</t>
  </si>
  <si>
    <t>III. A települési önkormányzatok szociális,  gyermekjóléti és gyermekétkeztetési feladatainak támogatása</t>
  </si>
  <si>
    <t>1. Szociális ágazati összevont pótlék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</si>
  <si>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</si>
  <si>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</si>
  <si>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</si>
  <si>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</si>
  <si>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</si>
  <si>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 xml:space="preserve">      Házi segítségnyújtás-szociális segítés</t>
  </si>
  <si>
    <t xml:space="preserve">      Házi segítségnyújtás-személyi gondozás</t>
  </si>
  <si>
    <t>f./ Időskorúak nappali intézményi ellátása</t>
  </si>
  <si>
    <t>g./ Demens személyek nappali intézményi ellátása</t>
  </si>
  <si>
    <t>j./ Gyermekek napközbeni ellátása - nem fogyatékos, nem hátrányos helyzetű gyermek</t>
  </si>
  <si>
    <t xml:space="preserve">    Gyermekek napközbeni ellátása - fogyatékos gyermek</t>
  </si>
  <si>
    <t xml:space="preserve">    Gyermekek napközbeni ellátása - nem  fogyatékos, hátrányos helyzetű gyermek</t>
  </si>
  <si>
    <t xml:space="preserve">    Gyermekek napközbeni ellátása - nem  fogyatékos, halmozottan hátrányos helyzetű gyermek</t>
  </si>
  <si>
    <t xml:space="preserve">    Gyermekek napközbeni ellátása - Családi napközi ellátás és- gyermekfelügyelet</t>
  </si>
  <si>
    <t>4. A települési önkormányzatok által biztosított egyes szociális szkosított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</si>
  <si>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</si>
  <si>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</si>
  <si>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>5. Gyermekétkeztetés támogatása</t>
  </si>
  <si>
    <t>a./Az intézményi gyermekétkeztetés kapcsán az étkeztetési feladatot ellátók után járó bértámogatás</t>
  </si>
  <si>
    <t>b./ Az intézményi gyermekétkeztetés üzemeltetési támogatása</t>
  </si>
  <si>
    <t>6. A rászoruló gyermekek intézményen kívüli szünidei étkeztetésének támogatása</t>
  </si>
  <si>
    <t>III. Összesen</t>
  </si>
  <si>
    <t>3. Összesen</t>
  </si>
  <si>
    <t>4. Összesen</t>
  </si>
  <si>
    <t>5.-6. Összesen</t>
  </si>
  <si>
    <t>7.  Kiegészítő támogatás a bölcsődében, mini bölcsődében foglalkoztatott, felsőfokú                                                       végzettségű kisgyermeknevelők és szakemberek béréhez</t>
  </si>
  <si>
    <t>Bölcsődében középfokú végzettséggel rendelkező kisgyermeknevelőt megillető bölcsődei pótlék</t>
  </si>
  <si>
    <t>Adósságcsökkentési támogatás</t>
  </si>
  <si>
    <t>*</t>
  </si>
  <si>
    <t xml:space="preserve"> 2018.évi költségvetési rendelettervezetében meghatározott feladatok, illetve korábbi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</si>
  <si>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módosított számviteli előírások szerint a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</si>
</sst>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0.000"/>
    <numFmt numFmtId="166" formatCode="0.00000"/>
  </numFmts>
  <fonts count="200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4"/>
      <name val="Times New Roman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 CE"/>
      <charset val="238"/>
    </font>
    <font>
      <b/>
      <sz val="16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4"/>
      <name val="Arial CE"/>
      <charset val="238"/>
    </font>
    <font>
      <b/>
      <i/>
      <sz val="14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indexed="10"/>
      <name val="Arial CE"/>
      <family val="2"/>
      <charset val="238"/>
    </font>
    <font>
      <u/>
      <sz val="14"/>
      <name val="Arial CE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sz val="15"/>
      <name val="Arial CE"/>
      <family val="2"/>
      <charset val="238"/>
    </font>
    <font>
      <b/>
      <sz val="15"/>
      <name val="Arial CE"/>
      <family val="2"/>
      <charset val="238"/>
    </font>
    <font>
      <sz val="8"/>
      <name val="Times New Roman CE"/>
      <charset val="238"/>
    </font>
    <font>
      <i/>
      <sz val="12"/>
      <name val="Arial"/>
      <family val="2"/>
      <charset val="238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8"/>
      <name val="Arial CE"/>
      <family val="2"/>
      <charset val="238"/>
    </font>
    <font>
      <sz val="14"/>
      <name val="Arial"/>
      <family val="2"/>
    </font>
    <font>
      <b/>
      <sz val="20"/>
      <name val="Arial CE"/>
      <family val="2"/>
      <charset val="238"/>
    </font>
    <font>
      <i/>
      <sz val="16"/>
      <name val="Arial CE"/>
      <charset val="238"/>
    </font>
    <font>
      <sz val="16"/>
      <name val="Arial CE"/>
      <charset val="238"/>
    </font>
    <font>
      <b/>
      <i/>
      <sz val="16"/>
      <name val="Arial CE"/>
      <family val="2"/>
      <charset val="238"/>
    </font>
    <font>
      <b/>
      <sz val="17"/>
      <name val="Arial CE"/>
      <family val="2"/>
      <charset val="238"/>
    </font>
    <font>
      <sz val="17"/>
      <name val="Arial CE"/>
      <family val="2"/>
      <charset val="238"/>
    </font>
    <font>
      <i/>
      <u/>
      <sz val="17"/>
      <name val="Arial CE"/>
      <family val="2"/>
      <charset val="238"/>
    </font>
    <font>
      <b/>
      <i/>
      <sz val="17"/>
      <name val="Arial CE"/>
      <family val="2"/>
      <charset val="238"/>
    </font>
    <font>
      <b/>
      <sz val="16"/>
      <name val="Times New Roman CE"/>
      <charset val="238"/>
    </font>
    <font>
      <b/>
      <sz val="17"/>
      <name val="Arial CE"/>
      <charset val="238"/>
    </font>
    <font>
      <u/>
      <sz val="12"/>
      <name val="Arial CE"/>
      <family val="2"/>
      <charset val="238"/>
    </font>
    <font>
      <i/>
      <u/>
      <sz val="16"/>
      <color rgb="FFFF0000"/>
      <name val="Times New Roman CE"/>
      <charset val="238"/>
    </font>
    <font>
      <sz val="14"/>
      <color theme="3"/>
      <name val="Arial CE"/>
      <family val="2"/>
      <charset val="238"/>
    </font>
    <font>
      <sz val="12"/>
      <color theme="3"/>
      <name val="Arial CE"/>
      <family val="2"/>
      <charset val="238"/>
    </font>
    <font>
      <sz val="12"/>
      <color theme="3"/>
      <name val="Arial"/>
      <family val="2"/>
      <charset val="238"/>
    </font>
    <font>
      <sz val="14"/>
      <color rgb="FFFF0000"/>
      <name val="Arial CE"/>
      <charset val="238"/>
    </font>
    <font>
      <sz val="14"/>
      <color theme="1"/>
      <name val="Arial CE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b/>
      <sz val="12"/>
      <color rgb="FFFF0000"/>
      <name val="Arial CE"/>
      <charset val="238"/>
    </font>
    <font>
      <b/>
      <sz val="14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charset val="238"/>
    </font>
    <font>
      <b/>
      <sz val="11"/>
      <color indexed="10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 CE"/>
      <charset val="238"/>
    </font>
    <font>
      <sz val="12"/>
      <color rgb="FFFF0000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b/>
      <i/>
      <sz val="11"/>
      <name val="Arial CE"/>
      <family val="2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6"/>
      <name val="Arial"/>
      <family val="2"/>
    </font>
    <font>
      <sz val="14"/>
      <name val="Arial"/>
      <family val="2"/>
      <charset val="238"/>
    </font>
    <font>
      <sz val="12"/>
      <color indexed="10"/>
      <name val="Arial"/>
      <family val="2"/>
    </font>
    <font>
      <b/>
      <i/>
      <sz val="14"/>
      <name val="Arial"/>
      <family val="2"/>
    </font>
    <font>
      <i/>
      <sz val="12"/>
      <name val="Arial"/>
      <family val="2"/>
    </font>
    <font>
      <sz val="10"/>
      <name val="Arial CE"/>
    </font>
    <font>
      <sz val="2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20"/>
      <name val="Times New Roman CE"/>
      <family val="1"/>
      <charset val="238"/>
    </font>
    <font>
      <sz val="20"/>
      <name val="Arial CE"/>
    </font>
    <font>
      <b/>
      <sz val="26"/>
      <name val="Arial CE"/>
      <family val="2"/>
      <charset val="238"/>
    </font>
    <font>
      <b/>
      <sz val="20"/>
      <name val="Arial CE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2"/>
      <name val="Arial"/>
      <family val="2"/>
      <charset val="238"/>
    </font>
    <font>
      <b/>
      <sz val="16"/>
      <name val="Arial CE"/>
    </font>
    <font>
      <b/>
      <sz val="20"/>
      <name val="Arial"/>
      <family val="2"/>
      <charset val="238"/>
    </font>
    <font>
      <b/>
      <u/>
      <sz val="22"/>
      <name val="Arial"/>
      <family val="2"/>
      <charset val="238"/>
    </font>
    <font>
      <b/>
      <sz val="10"/>
      <name val="Arial CE"/>
    </font>
    <font>
      <b/>
      <sz val="20"/>
      <name val="Arial CE"/>
      <charset val="238"/>
    </font>
    <font>
      <b/>
      <i/>
      <sz val="22"/>
      <name val="Arial"/>
      <family val="2"/>
      <charset val="238"/>
    </font>
    <font>
      <sz val="18"/>
      <name val="Arial"/>
      <family val="2"/>
      <charset val="238"/>
    </font>
    <font>
      <sz val="14"/>
      <name val="Times New Roman CE"/>
      <family val="1"/>
      <charset val="238"/>
    </font>
    <font>
      <sz val="20"/>
      <name val="Times New Roman CE"/>
      <family val="1"/>
      <charset val="238"/>
    </font>
    <font>
      <sz val="26"/>
      <name val="Times New Roman CE"/>
      <family val="1"/>
      <charset val="238"/>
    </font>
    <font>
      <b/>
      <u/>
      <sz val="11"/>
      <name val="Arial CE"/>
      <family val="2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z val="11"/>
      <color indexed="10"/>
      <name val="Arial CE"/>
      <family val="2"/>
      <charset val="238"/>
    </font>
    <font>
      <u/>
      <sz val="14"/>
      <name val="Arial CE"/>
      <charset val="238"/>
    </font>
    <font>
      <sz val="10"/>
      <name val="Arial"/>
      <family val="2"/>
      <charset val="238"/>
    </font>
    <font>
      <b/>
      <sz val="12"/>
      <color indexed="10"/>
      <name val="Arial CE"/>
      <charset val="238"/>
    </font>
    <font>
      <sz val="12"/>
      <color theme="1"/>
      <name val="Arial"/>
      <family val="2"/>
      <charset val="238"/>
    </font>
    <font>
      <b/>
      <sz val="36"/>
      <name val="Arial CE"/>
      <charset val="238"/>
    </font>
    <font>
      <b/>
      <sz val="30"/>
      <name val="Arial CE"/>
      <charset val="238"/>
    </font>
    <font>
      <b/>
      <sz val="44"/>
      <name val="Arial CE"/>
      <charset val="238"/>
    </font>
    <font>
      <b/>
      <sz val="34"/>
      <name val="Arial CE"/>
      <charset val="238"/>
    </font>
    <font>
      <b/>
      <i/>
      <sz val="36"/>
      <name val="Arial CE"/>
      <charset val="238"/>
    </font>
    <font>
      <b/>
      <sz val="30"/>
      <color indexed="10"/>
      <name val="Arial CE"/>
      <charset val="238"/>
    </font>
    <font>
      <b/>
      <sz val="36"/>
      <color indexed="10"/>
      <name val="Arial CE"/>
      <charset val="238"/>
    </font>
    <font>
      <b/>
      <sz val="36"/>
      <name val="Arial CE"/>
      <family val="2"/>
      <charset val="238"/>
    </font>
    <font>
      <sz val="36"/>
      <name val="Arial CE"/>
      <family val="2"/>
      <charset val="238"/>
    </font>
    <font>
      <b/>
      <sz val="30"/>
      <color rgb="FFFF0000"/>
      <name val="Arial CE"/>
      <charset val="238"/>
    </font>
    <font>
      <b/>
      <i/>
      <sz val="30"/>
      <name val="Arial CE"/>
      <charset val="238"/>
    </font>
    <font>
      <b/>
      <sz val="36"/>
      <color theme="1"/>
      <name val="Arial CE"/>
      <charset val="238"/>
    </font>
    <font>
      <b/>
      <sz val="30"/>
      <color theme="1"/>
      <name val="Arial CE"/>
      <charset val="238"/>
    </font>
    <font>
      <b/>
      <sz val="34"/>
      <color theme="1"/>
      <name val="Arial CE"/>
      <charset val="238"/>
    </font>
    <font>
      <b/>
      <i/>
      <sz val="36"/>
      <color theme="1"/>
      <name val="Arial CE"/>
      <charset val="238"/>
    </font>
    <font>
      <b/>
      <sz val="40"/>
      <name val="Arial CE"/>
      <family val="2"/>
      <charset val="238"/>
    </font>
    <font>
      <sz val="34"/>
      <name val="Arial CE"/>
      <charset val="238"/>
    </font>
    <font>
      <b/>
      <i/>
      <sz val="13"/>
      <name val="Arial CE"/>
      <charset val="238"/>
    </font>
    <font>
      <sz val="13"/>
      <name val="Arial CE"/>
      <charset val="238"/>
    </font>
    <font>
      <sz val="8"/>
      <color theme="1"/>
      <name val="Times New Roman CE"/>
      <charset val="238"/>
    </font>
    <font>
      <b/>
      <sz val="30"/>
      <name val="Arial CE"/>
      <family val="2"/>
      <charset val="238"/>
    </font>
    <font>
      <sz val="26"/>
      <name val="Times New Roman CE"/>
      <charset val="238"/>
    </font>
    <font>
      <b/>
      <sz val="26"/>
      <name val="Times New Roman CE"/>
      <charset val="238"/>
    </font>
    <font>
      <b/>
      <sz val="28"/>
      <name val="Arial CE"/>
      <family val="2"/>
      <charset val="238"/>
    </font>
    <font>
      <b/>
      <i/>
      <sz val="28"/>
      <name val="Arial CE"/>
      <family val="2"/>
      <charset val="238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2"/>
      <name val="Times New Roman CE"/>
      <charset val="238"/>
    </font>
    <font>
      <b/>
      <sz val="22"/>
      <name val="Times New Roman CE"/>
      <family val="1"/>
      <charset val="238"/>
    </font>
    <font>
      <b/>
      <sz val="22"/>
      <name val="Arial CE"/>
      <family val="2"/>
      <charset val="238"/>
    </font>
    <font>
      <b/>
      <sz val="22"/>
      <name val="Arial CE"/>
    </font>
    <font>
      <sz val="20"/>
      <name val="Arial CE"/>
      <family val="2"/>
      <charset val="238"/>
    </font>
    <font>
      <sz val="20"/>
      <color rgb="FF000000"/>
      <name val="Calibri"/>
      <family val="2"/>
      <charset val="238"/>
    </font>
    <font>
      <sz val="22"/>
      <name val="Arial CE"/>
    </font>
    <font>
      <b/>
      <u/>
      <sz val="22"/>
      <name val="Arial CE"/>
      <family val="2"/>
      <charset val="238"/>
    </font>
    <font>
      <sz val="22"/>
      <name val="Arial CE"/>
      <family val="2"/>
      <charset val="238"/>
    </font>
    <font>
      <sz val="22"/>
      <name val="Times New Roman CE"/>
      <charset val="238"/>
    </font>
    <font>
      <i/>
      <sz val="12"/>
      <name val="Arial CE"/>
      <charset val="238"/>
    </font>
    <font>
      <b/>
      <i/>
      <sz val="17"/>
      <name val="Arial CE"/>
      <charset val="238"/>
    </font>
    <font>
      <b/>
      <i/>
      <u/>
      <sz val="17"/>
      <name val="Arial CE"/>
      <charset val="238"/>
    </font>
    <font>
      <sz val="8"/>
      <name val="Arial CE"/>
    </font>
    <font>
      <i/>
      <sz val="14"/>
      <name val="Arial CE"/>
      <charset val="238"/>
    </font>
    <font>
      <sz val="12"/>
      <color theme="1"/>
      <name val="Arial CE"/>
      <family val="2"/>
      <charset val="238"/>
    </font>
    <font>
      <sz val="18"/>
      <name val="Arial CE"/>
      <family val="2"/>
      <charset val="238"/>
    </font>
    <font>
      <sz val="18"/>
      <color theme="1"/>
      <name val="Arial CE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14">
    <xf numFmtId="0" fontId="0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8" borderId="0" applyNumberFormat="0" applyBorder="0" applyAlignment="0" applyProtection="0"/>
    <xf numFmtId="0" fontId="39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16" borderId="0" applyNumberFormat="0" applyBorder="0" applyAlignment="0" applyProtection="0"/>
    <xf numFmtId="0" fontId="39" fillId="12" borderId="0" applyNumberFormat="0" applyBorder="0" applyAlignment="0" applyProtection="0"/>
    <xf numFmtId="0" fontId="39" fillId="4" borderId="0" applyNumberFormat="0" applyBorder="0" applyAlignment="0" applyProtection="0"/>
    <xf numFmtId="0" fontId="39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5" borderId="0" applyNumberFormat="0" applyBorder="0" applyAlignment="0" applyProtection="0"/>
    <xf numFmtId="0" fontId="40" fillId="19" borderId="0" applyNumberFormat="0" applyBorder="0" applyAlignment="0" applyProtection="0"/>
    <xf numFmtId="0" fontId="40" fillId="5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3" borderId="0" applyNumberFormat="0" applyBorder="0" applyAlignment="0" applyProtection="0"/>
    <xf numFmtId="0" fontId="41" fillId="10" borderId="0" applyNumberFormat="0" applyBorder="0" applyAlignment="0" applyProtection="0"/>
    <xf numFmtId="0" fontId="19" fillId="15" borderId="1" applyNumberFormat="0" applyAlignment="0" applyProtection="0"/>
    <xf numFmtId="0" fontId="42" fillId="24" borderId="1" applyNumberFormat="0" applyAlignment="0" applyProtection="0"/>
    <xf numFmtId="0" fontId="43" fillId="25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5" borderId="2" applyNumberFormat="0" applyAlignment="0" applyProtection="0"/>
    <xf numFmtId="0" fontId="4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8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9" fillId="7" borderId="1" applyNumberFormat="0" applyAlignment="0" applyProtection="0"/>
    <xf numFmtId="0" fontId="2" fillId="6" borderId="10" applyNumberFormat="0" applyFont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6" fillId="8" borderId="0" applyNumberFormat="0" applyBorder="0" applyAlignment="0" applyProtection="0"/>
    <xf numFmtId="0" fontId="27" fillId="26" borderId="11" applyNumberFormat="0" applyAlignment="0" applyProtection="0"/>
    <xf numFmtId="0" fontId="50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51" fillId="15" borderId="0" applyNumberFormat="0" applyBorder="0" applyAlignment="0" applyProtection="0"/>
    <xf numFmtId="0" fontId="6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6" borderId="10" applyNumberFormat="0" applyFont="0" applyAlignment="0" applyProtection="0"/>
    <xf numFmtId="0" fontId="52" fillId="24" borderId="11" applyNumberFormat="0" applyAlignment="0" applyProtection="0"/>
    <xf numFmtId="0" fontId="29" fillId="0" borderId="13" applyNumberFormat="0" applyFill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6" borderId="1" applyNumberForma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110" fillId="0" borderId="0"/>
    <xf numFmtId="0" fontId="110" fillId="0" borderId="0"/>
    <xf numFmtId="0" fontId="3" fillId="0" borderId="0"/>
    <xf numFmtId="0" fontId="3" fillId="0" borderId="0"/>
    <xf numFmtId="0" fontId="110" fillId="0" borderId="0"/>
    <xf numFmtId="0" fontId="127" fillId="0" borderId="0"/>
    <xf numFmtId="0" fontId="127" fillId="0" borderId="0"/>
    <xf numFmtId="0" fontId="127" fillId="0" borderId="0"/>
    <xf numFmtId="0" fontId="3" fillId="0" borderId="0"/>
    <xf numFmtId="0" fontId="110" fillId="0" borderId="0"/>
    <xf numFmtId="0" fontId="110" fillId="0" borderId="0"/>
    <xf numFmtId="0" fontId="110" fillId="0" borderId="0"/>
    <xf numFmtId="0" fontId="2" fillId="0" borderId="0"/>
    <xf numFmtId="0" fontId="152" fillId="0" borderId="0"/>
    <xf numFmtId="0" fontId="3" fillId="0" borderId="0"/>
    <xf numFmtId="0" fontId="110" fillId="0" borderId="0"/>
    <xf numFmtId="0" fontId="110" fillId="0" borderId="0"/>
    <xf numFmtId="0" fontId="127" fillId="0" borderId="0"/>
    <xf numFmtId="0" fontId="1" fillId="0" borderId="0"/>
    <xf numFmtId="0" fontId="152" fillId="0" borderId="0"/>
    <xf numFmtId="0" fontId="195" fillId="0" borderId="0"/>
  </cellStyleXfs>
  <cellXfs count="2810">
    <xf numFmtId="0" fontId="0" fillId="0" borderId="0" xfId="0"/>
    <xf numFmtId="0" fontId="5" fillId="0" borderId="0" xfId="0" applyFont="1" applyBorder="1"/>
    <xf numFmtId="3" fontId="5" fillId="0" borderId="15" xfId="0" applyNumberFormat="1" applyFont="1" applyBorder="1"/>
    <xf numFmtId="3" fontId="4" fillId="0" borderId="0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/>
    <xf numFmtId="3" fontId="5" fillId="0" borderId="0" xfId="0" applyNumberFormat="1" applyFont="1" applyFill="1"/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3" fontId="5" fillId="0" borderId="0" xfId="0" applyNumberFormat="1" applyFont="1" applyBorder="1" applyProtection="1">
      <protection locked="0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16" xfId="0" applyFont="1" applyBorder="1" applyProtection="1"/>
    <xf numFmtId="0" fontId="5" fillId="0" borderId="0" xfId="0" applyFont="1" applyAlignment="1">
      <alignment horizontal="right"/>
    </xf>
    <xf numFmtId="0" fontId="4" fillId="0" borderId="17" xfId="0" applyFont="1" applyBorder="1"/>
    <xf numFmtId="0" fontId="5" fillId="0" borderId="18" xfId="0" applyFont="1" applyFill="1" applyBorder="1"/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4" fillId="0" borderId="17" xfId="0" applyFont="1" applyFill="1" applyBorder="1"/>
    <xf numFmtId="0" fontId="4" fillId="0" borderId="20" xfId="0" applyFont="1" applyFill="1" applyBorder="1"/>
    <xf numFmtId="3" fontId="4" fillId="0" borderId="21" xfId="0" applyNumberFormat="1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6" xfId="0" applyFont="1" applyFill="1" applyBorder="1" applyProtection="1"/>
    <xf numFmtId="0" fontId="5" fillId="0" borderId="0" xfId="0" applyFont="1" applyFill="1" applyBorder="1" applyProtection="1"/>
    <xf numFmtId="0" fontId="5" fillId="0" borderId="18" xfId="0" applyFont="1" applyFill="1" applyBorder="1" applyAlignment="1" applyProtection="1">
      <alignment horizontal="right"/>
    </xf>
    <xf numFmtId="0" fontId="4" fillId="0" borderId="22" xfId="0" applyFont="1" applyFill="1" applyBorder="1" applyAlignment="1" applyProtection="1">
      <alignment horizontal="centerContinuous"/>
    </xf>
    <xf numFmtId="0" fontId="4" fillId="0" borderId="0" xfId="0" applyFont="1" applyAlignment="1" applyProtection="1">
      <alignment horizontal="center"/>
    </xf>
    <xf numFmtId="0" fontId="6" fillId="0" borderId="20" xfId="0" applyFont="1" applyBorder="1" applyAlignment="1" applyProtection="1">
      <alignment horizontal="left"/>
    </xf>
    <xf numFmtId="3" fontId="4" fillId="0" borderId="23" xfId="0" applyNumberFormat="1" applyFont="1" applyFill="1" applyBorder="1" applyAlignment="1" applyProtection="1">
      <alignment horizontal="centerContinuous"/>
    </xf>
    <xf numFmtId="0" fontId="5" fillId="0" borderId="0" xfId="78" applyFont="1"/>
    <xf numFmtId="0" fontId="5" fillId="0" borderId="0" xfId="78" applyFont="1" applyFill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" fontId="5" fillId="0" borderId="29" xfId="0" applyNumberFormat="1" applyFont="1" applyFill="1" applyBorder="1"/>
    <xf numFmtId="3" fontId="5" fillId="0" borderId="29" xfId="0" applyNumberFormat="1" applyFont="1" applyBorder="1"/>
    <xf numFmtId="0" fontId="4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18" xfId="0" applyNumberFormat="1" applyFont="1" applyFill="1" applyBorder="1" applyAlignment="1" applyProtection="1">
      <alignment horizontal="centerContinuous"/>
    </xf>
    <xf numFmtId="3" fontId="4" fillId="0" borderId="33" xfId="0" applyNumberFormat="1" applyFont="1" applyFill="1" applyBorder="1"/>
    <xf numFmtId="3" fontId="5" fillId="0" borderId="34" xfId="0" applyNumberFormat="1" applyFont="1" applyFill="1" applyBorder="1"/>
    <xf numFmtId="3" fontId="5" fillId="0" borderId="36" xfId="0" applyNumberFormat="1" applyFont="1" applyBorder="1"/>
    <xf numFmtId="0" fontId="5" fillId="0" borderId="40" xfId="0" applyFont="1" applyFill="1" applyBorder="1"/>
    <xf numFmtId="0" fontId="4" fillId="0" borderId="43" xfId="0" applyFont="1" applyBorder="1" applyAlignment="1">
      <alignment horizontal="center"/>
    </xf>
    <xf numFmtId="3" fontId="4" fillId="0" borderId="44" xfId="0" applyNumberFormat="1" applyFont="1" applyFill="1" applyBorder="1"/>
    <xf numFmtId="0" fontId="5" fillId="0" borderId="45" xfId="0" applyFont="1" applyFill="1" applyBorder="1"/>
    <xf numFmtId="3" fontId="4" fillId="0" borderId="44" xfId="0" applyNumberFormat="1" applyFont="1" applyBorder="1"/>
    <xf numFmtId="3" fontId="4" fillId="0" borderId="33" xfId="0" applyNumberFormat="1" applyFont="1" applyBorder="1"/>
    <xf numFmtId="0" fontId="5" fillId="0" borderId="23" xfId="0" applyFont="1" applyFill="1" applyBorder="1" applyProtection="1"/>
    <xf numFmtId="0" fontId="5" fillId="0" borderId="46" xfId="0" applyFont="1" applyFill="1" applyBorder="1" applyProtection="1"/>
    <xf numFmtId="2" fontId="5" fillId="0" borderId="47" xfId="0" applyNumberFormat="1" applyFont="1" applyFill="1" applyBorder="1"/>
    <xf numFmtId="3" fontId="5" fillId="0" borderId="34" xfId="0" applyNumberFormat="1" applyFont="1" applyFill="1" applyBorder="1" applyProtection="1">
      <protection locked="0"/>
    </xf>
    <xf numFmtId="3" fontId="4" fillId="0" borderId="48" xfId="0" applyNumberFormat="1" applyFont="1" applyBorder="1" applyProtection="1"/>
    <xf numFmtId="3" fontId="5" fillId="0" borderId="0" xfId="78" applyNumberFormat="1" applyFont="1" applyFill="1" applyBorder="1"/>
    <xf numFmtId="2" fontId="4" fillId="0" borderId="60" xfId="0" applyNumberFormat="1" applyFont="1" applyBorder="1"/>
    <xf numFmtId="0" fontId="4" fillId="27" borderId="45" xfId="0" applyFont="1" applyFill="1" applyBorder="1" applyAlignment="1">
      <alignment horizontal="center"/>
    </xf>
    <xf numFmtId="0" fontId="4" fillId="27" borderId="61" xfId="0" applyFont="1" applyFill="1" applyBorder="1" applyAlignment="1">
      <alignment horizontal="center"/>
    </xf>
    <xf numFmtId="3" fontId="5" fillId="0" borderId="45" xfId="0" applyNumberFormat="1" applyFont="1" applyBorder="1"/>
    <xf numFmtId="0" fontId="5" fillId="0" borderId="62" xfId="0" applyFont="1" applyFill="1" applyBorder="1"/>
    <xf numFmtId="3" fontId="5" fillId="0" borderId="51" xfId="0" applyNumberFormat="1" applyFont="1" applyBorder="1"/>
    <xf numFmtId="3" fontId="5" fillId="0" borderId="36" xfId="0" applyNumberFormat="1" applyFont="1" applyFill="1" applyBorder="1"/>
    <xf numFmtId="3" fontId="5" fillId="0" borderId="15" xfId="0" applyNumberFormat="1" applyFont="1" applyFill="1" applyBorder="1"/>
    <xf numFmtId="3" fontId="4" fillId="0" borderId="21" xfId="0" applyNumberFormat="1" applyFont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3" fontId="5" fillId="0" borderId="52" xfId="0" applyNumberFormat="1" applyFont="1" applyBorder="1"/>
    <xf numFmtId="3" fontId="4" fillId="0" borderId="15" xfId="0" applyNumberFormat="1" applyFont="1" applyBorder="1"/>
    <xf numFmtId="3" fontId="5" fillId="0" borderId="65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4" fillId="0" borderId="4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left"/>
    </xf>
    <xf numFmtId="3" fontId="5" fillId="0" borderId="0" xfId="78" applyNumberFormat="1" applyFont="1"/>
    <xf numFmtId="2" fontId="5" fillId="0" borderId="67" xfId="0" applyNumberFormat="1" applyFont="1" applyBorder="1"/>
    <xf numFmtId="2" fontId="4" fillId="0" borderId="54" xfId="0" applyNumberFormat="1" applyFont="1" applyFill="1" applyBorder="1"/>
    <xf numFmtId="2" fontId="5" fillId="0" borderId="68" xfId="0" applyNumberFormat="1" applyFont="1" applyFill="1" applyBorder="1"/>
    <xf numFmtId="0" fontId="5" fillId="0" borderId="27" xfId="0" applyFont="1" applyFill="1" applyBorder="1"/>
    <xf numFmtId="2" fontId="5" fillId="0" borderId="67" xfId="0" applyNumberFormat="1" applyFont="1" applyFill="1" applyBorder="1"/>
    <xf numFmtId="0" fontId="4" fillId="0" borderId="19" xfId="0" applyFont="1" applyFill="1" applyBorder="1" applyAlignment="1">
      <alignment horizontal="center"/>
    </xf>
    <xf numFmtId="3" fontId="13" fillId="0" borderId="0" xfId="0" applyNumberFormat="1" applyFont="1"/>
    <xf numFmtId="3" fontId="10" fillId="0" borderId="0" xfId="0" applyNumberFormat="1" applyFont="1"/>
    <xf numFmtId="3" fontId="13" fillId="0" borderId="0" xfId="0" applyNumberFormat="1" applyFont="1" applyFill="1"/>
    <xf numFmtId="2" fontId="4" fillId="0" borderId="0" xfId="0" applyNumberFormat="1" applyFont="1" applyBorder="1"/>
    <xf numFmtId="4" fontId="4" fillId="0" borderId="54" xfId="0" applyNumberFormat="1" applyFont="1" applyBorder="1"/>
    <xf numFmtId="4" fontId="4" fillId="0" borderId="60" xfId="0" applyNumberFormat="1" applyFont="1" applyBorder="1"/>
    <xf numFmtId="0" fontId="5" fillId="0" borderId="0" xfId="0" applyFont="1" applyFill="1" applyBorder="1" applyAlignment="1" applyProtection="1">
      <alignment horizontal="left"/>
    </xf>
    <xf numFmtId="3" fontId="5" fillId="0" borderId="46" xfId="0" applyNumberFormat="1" applyFont="1" applyBorder="1"/>
    <xf numFmtId="0" fontId="16" fillId="0" borderId="0" xfId="0" applyFont="1" applyFill="1"/>
    <xf numFmtId="0" fontId="5" fillId="0" borderId="38" xfId="0" applyFont="1" applyFill="1" applyBorder="1"/>
    <xf numFmtId="0" fontId="5" fillId="0" borderId="18" xfId="78" applyFont="1" applyFill="1" applyBorder="1" applyAlignment="1">
      <alignment horizontal="right"/>
    </xf>
    <xf numFmtId="0" fontId="4" fillId="27" borderId="70" xfId="0" applyFont="1" applyFill="1" applyBorder="1" applyAlignment="1">
      <alignment horizontal="center"/>
    </xf>
    <xf numFmtId="3" fontId="5" fillId="0" borderId="73" xfId="0" applyNumberFormat="1" applyFont="1" applyFill="1" applyBorder="1"/>
    <xf numFmtId="3" fontId="4" fillId="0" borderId="76" xfId="0" applyNumberFormat="1" applyFont="1" applyFill="1" applyBorder="1"/>
    <xf numFmtId="3" fontId="5" fillId="0" borderId="0" xfId="0" applyNumberFormat="1" applyFont="1" applyFill="1" applyBorder="1"/>
    <xf numFmtId="3" fontId="4" fillId="0" borderId="78" xfId="78" applyNumberFormat="1" applyFont="1" applyFill="1" applyBorder="1"/>
    <xf numFmtId="3" fontId="4" fillId="0" borderId="0" xfId="0" applyNumberFormat="1" applyFont="1" applyAlignment="1">
      <alignment horizontal="center"/>
    </xf>
    <xf numFmtId="0" fontId="5" fillId="0" borderId="37" xfId="78" applyFont="1" applyFill="1" applyBorder="1" applyAlignment="1">
      <alignment horizontal="justify"/>
    </xf>
    <xf numFmtId="3" fontId="4" fillId="0" borderId="61" xfId="0" applyNumberFormat="1" applyFont="1" applyBorder="1"/>
    <xf numFmtId="3" fontId="4" fillId="0" borderId="43" xfId="0" applyNumberFormat="1" applyFont="1" applyBorder="1"/>
    <xf numFmtId="0" fontId="5" fillId="0" borderId="18" xfId="0" applyFont="1" applyFill="1" applyBorder="1" applyAlignment="1">
      <alignment horizontal="justify"/>
    </xf>
    <xf numFmtId="3" fontId="4" fillId="0" borderId="25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" fontId="5" fillId="0" borderId="45" xfId="0" applyNumberFormat="1" applyFont="1" applyFill="1" applyBorder="1"/>
    <xf numFmtId="0" fontId="4" fillId="0" borderId="55" xfId="0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4" fillId="0" borderId="17" xfId="0" applyNumberFormat="1" applyFont="1" applyBorder="1"/>
    <xf numFmtId="0" fontId="6" fillId="0" borderId="18" xfId="0" applyFont="1" applyFill="1" applyBorder="1"/>
    <xf numFmtId="0" fontId="6" fillId="0" borderId="20" xfId="0" applyFont="1" applyFill="1" applyBorder="1"/>
    <xf numFmtId="0" fontId="6" fillId="0" borderId="20" xfId="0" applyFont="1" applyFill="1" applyBorder="1" applyAlignment="1">
      <alignment horizontal="justify"/>
    </xf>
    <xf numFmtId="3" fontId="4" fillId="0" borderId="19" xfId="0" applyNumberFormat="1" applyFont="1" applyBorder="1"/>
    <xf numFmtId="4" fontId="4" fillId="0" borderId="59" xfId="0" applyNumberFormat="1" applyFont="1" applyBorder="1"/>
    <xf numFmtId="3" fontId="5" fillId="0" borderId="75" xfId="0" applyNumberFormat="1" applyFont="1" applyFill="1" applyBorder="1"/>
    <xf numFmtId="3" fontId="5" fillId="0" borderId="18" xfId="78" applyNumberFormat="1" applyFont="1" applyFill="1" applyBorder="1"/>
    <xf numFmtId="3" fontId="5" fillId="0" borderId="86" xfId="0" applyNumberFormat="1" applyFont="1" applyFill="1" applyBorder="1"/>
    <xf numFmtId="0" fontId="5" fillId="0" borderId="40" xfId="0" applyFont="1" applyFill="1" applyBorder="1" applyAlignment="1">
      <alignment horizontal="justify"/>
    </xf>
    <xf numFmtId="3" fontId="5" fillId="0" borderId="73" xfId="78" applyNumberFormat="1" applyFont="1" applyFill="1" applyBorder="1"/>
    <xf numFmtId="0" fontId="4" fillId="27" borderId="0" xfId="0" applyFont="1" applyFill="1" applyBorder="1" applyAlignment="1">
      <alignment horizontal="center"/>
    </xf>
    <xf numFmtId="0" fontId="5" fillId="0" borderId="0" xfId="78" applyFont="1" applyFill="1" applyBorder="1"/>
    <xf numFmtId="3" fontId="5" fillId="0" borderId="69" xfId="0" applyNumberFormat="1" applyFont="1" applyFill="1" applyBorder="1"/>
    <xf numFmtId="3" fontId="35" fillId="0" borderId="0" xfId="0" applyNumberFormat="1" applyFont="1" applyFill="1" applyBorder="1" applyAlignment="1">
      <alignment horizontal="right"/>
    </xf>
    <xf numFmtId="3" fontId="16" fillId="0" borderId="43" xfId="0" applyNumberFormat="1" applyFont="1" applyFill="1" applyBorder="1"/>
    <xf numFmtId="0" fontId="5" fillId="0" borderId="37" xfId="0" applyFont="1" applyFill="1" applyBorder="1" applyAlignment="1">
      <alignment wrapText="1"/>
    </xf>
    <xf numFmtId="3" fontId="4" fillId="0" borderId="76" xfId="78" applyNumberFormat="1" applyFont="1" applyFill="1" applyBorder="1"/>
    <xf numFmtId="3" fontId="4" fillId="0" borderId="48" xfId="0" applyNumberFormat="1" applyFont="1" applyFill="1" applyBorder="1"/>
    <xf numFmtId="2" fontId="4" fillId="0" borderId="60" xfId="0" applyNumberFormat="1" applyFont="1" applyFill="1" applyBorder="1"/>
    <xf numFmtId="3" fontId="4" fillId="0" borderId="77" xfId="0" applyNumberFormat="1" applyFont="1" applyFill="1" applyBorder="1"/>
    <xf numFmtId="2" fontId="16" fillId="0" borderId="60" xfId="0" applyNumberFormat="1" applyFont="1" applyBorder="1"/>
    <xf numFmtId="3" fontId="5" fillId="0" borderId="88" xfId="0" applyNumberFormat="1" applyFont="1" applyFill="1" applyBorder="1"/>
    <xf numFmtId="0" fontId="36" fillId="0" borderId="69" xfId="0" applyFont="1" applyFill="1" applyBorder="1" applyAlignment="1">
      <alignment horizontal="center"/>
    </xf>
    <xf numFmtId="3" fontId="14" fillId="0" borderId="69" xfId="0" applyNumberFormat="1" applyFont="1" applyFill="1" applyBorder="1" applyAlignment="1">
      <alignment horizontal="center"/>
    </xf>
    <xf numFmtId="0" fontId="37" fillId="0" borderId="69" xfId="0" applyFont="1" applyFill="1" applyBorder="1" applyAlignment="1">
      <alignment horizontal="left"/>
    </xf>
    <xf numFmtId="0" fontId="4" fillId="0" borderId="69" xfId="0" applyFont="1" applyFill="1" applyBorder="1" applyAlignment="1">
      <alignment horizontal="center"/>
    </xf>
    <xf numFmtId="0" fontId="5" fillId="0" borderId="69" xfId="0" applyFont="1" applyFill="1" applyBorder="1"/>
    <xf numFmtId="0" fontId="16" fillId="0" borderId="77" xfId="0" applyFont="1" applyFill="1" applyBorder="1"/>
    <xf numFmtId="3" fontId="16" fillId="0" borderId="77" xfId="0" applyNumberFormat="1" applyFont="1" applyFill="1" applyBorder="1"/>
    <xf numFmtId="0" fontId="14" fillId="0" borderId="77" xfId="0" applyFont="1" applyBorder="1" applyAlignment="1">
      <alignment horizontal="justify"/>
    </xf>
    <xf numFmtId="0" fontId="5" fillId="0" borderId="75" xfId="0" applyFont="1" applyFill="1" applyBorder="1" applyAlignment="1">
      <alignment horizontal="justify"/>
    </xf>
    <xf numFmtId="3" fontId="16" fillId="0" borderId="70" xfId="0" applyNumberFormat="1" applyFont="1" applyFill="1" applyBorder="1"/>
    <xf numFmtId="0" fontId="6" fillId="0" borderId="69" xfId="0" applyFont="1" applyFill="1" applyBorder="1"/>
    <xf numFmtId="0" fontId="15" fillId="0" borderId="90" xfId="0" applyFont="1" applyFill="1" applyBorder="1" applyAlignment="1">
      <alignment horizontal="center"/>
    </xf>
    <xf numFmtId="3" fontId="4" fillId="0" borderId="90" xfId="0" applyNumberFormat="1" applyFont="1" applyFill="1" applyBorder="1"/>
    <xf numFmtId="3" fontId="4" fillId="0" borderId="69" xfId="0" applyNumberFormat="1" applyFont="1" applyFill="1" applyBorder="1"/>
    <xf numFmtId="0" fontId="37" fillId="0" borderId="90" xfId="0" applyFont="1" applyFill="1" applyBorder="1" applyAlignment="1">
      <alignment horizontal="left"/>
    </xf>
    <xf numFmtId="3" fontId="5" fillId="0" borderId="75" xfId="0" applyNumberFormat="1" applyFont="1" applyFill="1" applyBorder="1" applyAlignment="1">
      <alignment horizontal="justify"/>
    </xf>
    <xf numFmtId="0" fontId="16" fillId="0" borderId="90" xfId="0" applyFont="1" applyFill="1" applyBorder="1" applyAlignment="1">
      <alignment horizontal="center"/>
    </xf>
    <xf numFmtId="4" fontId="4" fillId="0" borderId="69" xfId="0" applyNumberFormat="1" applyFont="1" applyFill="1" applyBorder="1" applyAlignment="1">
      <alignment horizontal="center"/>
    </xf>
    <xf numFmtId="4" fontId="16" fillId="0" borderId="77" xfId="0" applyNumberFormat="1" applyFont="1" applyFill="1" applyBorder="1"/>
    <xf numFmtId="4" fontId="5" fillId="0" borderId="75" xfId="0" applyNumberFormat="1" applyFont="1" applyFill="1" applyBorder="1"/>
    <xf numFmtId="4" fontId="4" fillId="0" borderId="90" xfId="0" applyNumberFormat="1" applyFont="1" applyFill="1" applyBorder="1"/>
    <xf numFmtId="4" fontId="4" fillId="0" borderId="69" xfId="0" applyNumberFormat="1" applyFont="1" applyFill="1" applyBorder="1"/>
    <xf numFmtId="3" fontId="16" fillId="0" borderId="48" xfId="0" applyNumberFormat="1" applyFont="1" applyBorder="1"/>
    <xf numFmtId="2" fontId="4" fillId="0" borderId="28" xfId="0" applyNumberFormat="1" applyFont="1" applyFill="1" applyBorder="1"/>
    <xf numFmtId="0" fontId="16" fillId="0" borderId="18" xfId="0" applyFont="1" applyFill="1" applyBorder="1"/>
    <xf numFmtId="0" fontId="15" fillId="0" borderId="69" xfId="0" applyFont="1" applyFill="1" applyBorder="1" applyAlignment="1">
      <alignment horizontal="center"/>
    </xf>
    <xf numFmtId="0" fontId="37" fillId="0" borderId="0" xfId="0" applyFont="1" applyFill="1" applyBorder="1"/>
    <xf numFmtId="0" fontId="5" fillId="0" borderId="50" xfId="0" applyFont="1" applyFill="1" applyBorder="1" applyAlignment="1" applyProtection="1">
      <alignment horizontal="left"/>
    </xf>
    <xf numFmtId="0" fontId="5" fillId="0" borderId="37" xfId="0" applyFont="1" applyFill="1" applyBorder="1" applyAlignment="1" applyProtection="1">
      <alignment horizontal="left"/>
    </xf>
    <xf numFmtId="0" fontId="37" fillId="0" borderId="0" xfId="0" applyFont="1" applyFill="1"/>
    <xf numFmtId="0" fontId="5" fillId="0" borderId="37" xfId="78" applyFont="1" applyFill="1" applyBorder="1" applyAlignment="1">
      <alignment horizontal="left"/>
    </xf>
    <xf numFmtId="0" fontId="11" fillId="0" borderId="0" xfId="78" applyFont="1" applyFill="1"/>
    <xf numFmtId="3" fontId="5" fillId="0" borderId="0" xfId="78" applyNumberFormat="1" applyFont="1" applyFill="1" applyAlignment="1">
      <alignment horizontal="right"/>
    </xf>
    <xf numFmtId="0" fontId="5" fillId="0" borderId="23" xfId="78" applyFont="1" applyFill="1" applyBorder="1"/>
    <xf numFmtId="0" fontId="4" fillId="0" borderId="46" xfId="78" applyFont="1" applyFill="1" applyBorder="1" applyAlignment="1">
      <alignment horizontal="center"/>
    </xf>
    <xf numFmtId="0" fontId="5" fillId="0" borderId="19" xfId="78" applyFont="1" applyFill="1" applyBorder="1"/>
    <xf numFmtId="0" fontId="5" fillId="0" borderId="16" xfId="78" applyFont="1" applyFill="1" applyBorder="1" applyAlignment="1">
      <alignment horizontal="center"/>
    </xf>
    <xf numFmtId="0" fontId="16" fillId="0" borderId="18" xfId="78" applyFont="1" applyFill="1" applyBorder="1"/>
    <xf numFmtId="0" fontId="5" fillId="0" borderId="0" xfId="78" applyFont="1" applyFill="1" applyBorder="1" applyAlignment="1">
      <alignment horizontal="center"/>
    </xf>
    <xf numFmtId="0" fontId="14" fillId="0" borderId="69" xfId="0" applyFont="1" applyFill="1" applyBorder="1" applyAlignment="1">
      <alignment horizontal="center"/>
    </xf>
    <xf numFmtId="3" fontId="9" fillId="0" borderId="73" xfId="78" applyNumberFormat="1" applyFont="1" applyFill="1" applyBorder="1"/>
    <xf numFmtId="0" fontId="16" fillId="0" borderId="20" xfId="78" applyFont="1" applyFill="1" applyBorder="1"/>
    <xf numFmtId="0" fontId="5" fillId="0" borderId="94" xfId="78" applyFont="1" applyFill="1" applyBorder="1" applyAlignment="1">
      <alignment horizontal="center"/>
    </xf>
    <xf numFmtId="3" fontId="14" fillId="0" borderId="77" xfId="0" applyNumberFormat="1" applyFont="1" applyFill="1" applyBorder="1" applyAlignment="1">
      <alignment horizontal="right"/>
    </xf>
    <xf numFmtId="3" fontId="34" fillId="0" borderId="73" xfId="0" applyNumberFormat="1" applyFont="1" applyFill="1" applyBorder="1" applyAlignment="1">
      <alignment horizontal="right"/>
    </xf>
    <xf numFmtId="3" fontId="5" fillId="0" borderId="0" xfId="78" applyNumberFormat="1" applyFont="1" applyFill="1"/>
    <xf numFmtId="3" fontId="5" fillId="0" borderId="73" xfId="78" applyNumberFormat="1" applyFont="1" applyFill="1" applyBorder="1" applyAlignment="1">
      <alignment horizontal="right"/>
    </xf>
    <xf numFmtId="3" fontId="5" fillId="0" borderId="69" xfId="78" applyNumberFormat="1" applyFont="1" applyFill="1" applyBorder="1" applyAlignment="1">
      <alignment horizontal="right"/>
    </xf>
    <xf numFmtId="0" fontId="4" fillId="0" borderId="18" xfId="78" applyFont="1" applyFill="1" applyBorder="1" applyAlignment="1">
      <alignment horizontal="left"/>
    </xf>
    <xf numFmtId="0" fontId="4" fillId="0" borderId="0" xfId="78" applyFont="1" applyFill="1" applyBorder="1" applyAlignment="1">
      <alignment horizontal="center"/>
    </xf>
    <xf numFmtId="3" fontId="4" fillId="0" borderId="69" xfId="78" applyNumberFormat="1" applyFont="1" applyFill="1" applyBorder="1"/>
    <xf numFmtId="0" fontId="9" fillId="0" borderId="37" xfId="78" applyFont="1" applyFill="1" applyBorder="1" applyAlignment="1">
      <alignment horizontal="left"/>
    </xf>
    <xf numFmtId="0" fontId="57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15" fillId="0" borderId="20" xfId="0" applyFont="1" applyFill="1" applyBorder="1"/>
    <xf numFmtId="3" fontId="15" fillId="0" borderId="60" xfId="0" applyNumberFormat="1" applyFont="1" applyFill="1" applyBorder="1"/>
    <xf numFmtId="3" fontId="5" fillId="28" borderId="73" xfId="0" applyNumberFormat="1" applyFont="1" applyFill="1" applyBorder="1"/>
    <xf numFmtId="0" fontId="14" fillId="0" borderId="83" xfId="0" applyFont="1" applyBorder="1" applyAlignment="1">
      <alignment horizontal="justify"/>
    </xf>
    <xf numFmtId="3" fontId="16" fillId="0" borderId="83" xfId="0" applyNumberFormat="1" applyFont="1" applyFill="1" applyBorder="1"/>
    <xf numFmtId="3" fontId="5" fillId="28" borderId="69" xfId="0" applyNumberFormat="1" applyFont="1" applyFill="1" applyBorder="1"/>
    <xf numFmtId="0" fontId="4" fillId="0" borderId="77" xfId="0" applyFont="1" applyFill="1" applyBorder="1" applyAlignment="1">
      <alignment horizontal="left"/>
    </xf>
    <xf numFmtId="0" fontId="4" fillId="0" borderId="76" xfId="0" applyFont="1" applyFill="1" applyBorder="1"/>
    <xf numFmtId="3" fontId="8" fillId="0" borderId="75" xfId="79" applyNumberFormat="1" applyFont="1" applyFill="1" applyBorder="1" applyAlignment="1">
      <alignment horizontal="right" vertical="top" wrapText="1"/>
    </xf>
    <xf numFmtId="4" fontId="8" fillId="0" borderId="75" xfId="79" applyNumberFormat="1" applyFont="1" applyFill="1" applyBorder="1" applyAlignment="1">
      <alignment horizontal="right" vertical="top" wrapText="1"/>
    </xf>
    <xf numFmtId="3" fontId="34" fillId="0" borderId="69" xfId="79" applyNumberFormat="1" applyFont="1" applyFill="1" applyBorder="1" applyAlignment="1">
      <alignment horizontal="justify" vertical="top" wrapText="1"/>
    </xf>
    <xf numFmtId="0" fontId="4" fillId="0" borderId="77" xfId="0" applyFont="1" applyFill="1" applyBorder="1"/>
    <xf numFmtId="3" fontId="8" fillId="0" borderId="75" xfId="79" applyNumberFormat="1" applyFont="1" applyFill="1" applyBorder="1" applyAlignment="1">
      <alignment wrapText="1"/>
    </xf>
    <xf numFmtId="3" fontId="8" fillId="0" borderId="75" xfId="79" applyNumberFormat="1" applyFont="1" applyFill="1" applyBorder="1" applyAlignment="1">
      <alignment horizontal="right" wrapText="1"/>
    </xf>
    <xf numFmtId="3" fontId="4" fillId="0" borderId="76" xfId="0" applyNumberFormat="1" applyFont="1" applyFill="1" applyBorder="1" applyAlignment="1">
      <alignment horizontal="right"/>
    </xf>
    <xf numFmtId="4" fontId="16" fillId="0" borderId="76" xfId="0" applyNumberFormat="1" applyFont="1" applyFill="1" applyBorder="1"/>
    <xf numFmtId="0" fontId="4" fillId="0" borderId="18" xfId="0" applyFont="1" applyFill="1" applyBorder="1"/>
    <xf numFmtId="0" fontId="4" fillId="0" borderId="95" xfId="0" applyFont="1" applyFill="1" applyBorder="1" applyAlignment="1">
      <alignment horizontal="center"/>
    </xf>
    <xf numFmtId="0" fontId="4" fillId="27" borderId="83" xfId="0" applyFont="1" applyFill="1" applyBorder="1" applyAlignment="1">
      <alignment horizontal="center"/>
    </xf>
    <xf numFmtId="3" fontId="5" fillId="28" borderId="36" xfId="0" applyNumberFormat="1" applyFont="1" applyFill="1" applyBorder="1"/>
    <xf numFmtId="3" fontId="5" fillId="28" borderId="15" xfId="0" applyNumberFormat="1" applyFont="1" applyFill="1" applyBorder="1"/>
    <xf numFmtId="3" fontId="5" fillId="28" borderId="18" xfId="0" applyNumberFormat="1" applyFont="1" applyFill="1" applyBorder="1" applyAlignment="1">
      <alignment wrapText="1"/>
    </xf>
    <xf numFmtId="3" fontId="4" fillId="0" borderId="95" xfId="0" applyNumberFormat="1" applyFont="1" applyBorder="1" applyAlignment="1">
      <alignment horizontal="center"/>
    </xf>
    <xf numFmtId="3" fontId="37" fillId="0" borderId="16" xfId="0" applyNumberFormat="1" applyFont="1" applyBorder="1" applyAlignment="1">
      <alignment horizontal="left"/>
    </xf>
    <xf numFmtId="0" fontId="4" fillId="0" borderId="94" xfId="0" applyFont="1" applyFill="1" applyBorder="1"/>
    <xf numFmtId="3" fontId="4" fillId="0" borderId="48" xfId="0" applyNumberFormat="1" applyFont="1" applyBorder="1"/>
    <xf numFmtId="3" fontId="5" fillId="28" borderId="40" xfId="0" applyNumberFormat="1" applyFont="1" applyFill="1" applyBorder="1" applyAlignment="1">
      <alignment wrapText="1"/>
    </xf>
    <xf numFmtId="3" fontId="15" fillId="0" borderId="77" xfId="0" applyNumberFormat="1" applyFont="1" applyFill="1" applyBorder="1"/>
    <xf numFmtId="3" fontId="5" fillId="28" borderId="34" xfId="0" applyNumberFormat="1" applyFont="1" applyFill="1" applyBorder="1"/>
    <xf numFmtId="2" fontId="5" fillId="28" borderId="68" xfId="0" applyNumberFormat="1" applyFont="1" applyFill="1" applyBorder="1"/>
    <xf numFmtId="0" fontId="5" fillId="28" borderId="96" xfId="0" applyFont="1" applyFill="1" applyBorder="1" applyProtection="1"/>
    <xf numFmtId="3" fontId="5" fillId="28" borderId="35" xfId="0" applyNumberFormat="1" applyFont="1" applyFill="1" applyBorder="1"/>
    <xf numFmtId="3" fontId="5" fillId="28" borderId="64" xfId="0" applyNumberFormat="1" applyFont="1" applyFill="1" applyBorder="1" applyAlignment="1"/>
    <xf numFmtId="2" fontId="5" fillId="28" borderId="67" xfId="0" applyNumberFormat="1" applyFont="1" applyFill="1" applyBorder="1"/>
    <xf numFmtId="3" fontId="5" fillId="28" borderId="65" xfId="0" applyNumberFormat="1" applyFont="1" applyFill="1" applyBorder="1" applyProtection="1">
      <protection locked="0"/>
    </xf>
    <xf numFmtId="3" fontId="5" fillId="28" borderId="52" xfId="0" applyNumberFormat="1" applyFont="1" applyFill="1" applyBorder="1"/>
    <xf numFmtId="0" fontId="5" fillId="28" borderId="40" xfId="0" applyFont="1" applyFill="1" applyBorder="1"/>
    <xf numFmtId="3" fontId="5" fillId="28" borderId="34" xfId="0" applyNumberFormat="1" applyFont="1" applyFill="1" applyBorder="1" applyProtection="1">
      <protection locked="0"/>
    </xf>
    <xf numFmtId="0" fontId="5" fillId="28" borderId="97" xfId="0" applyFont="1" applyFill="1" applyBorder="1" applyAlignment="1" applyProtection="1">
      <alignment horizontal="left"/>
    </xf>
    <xf numFmtId="0" fontId="5" fillId="28" borderId="42" xfId="0" applyFont="1" applyFill="1" applyBorder="1" applyAlignment="1" applyProtection="1">
      <alignment horizontal="left"/>
    </xf>
    <xf numFmtId="0" fontId="5" fillId="28" borderId="42" xfId="0" applyFont="1" applyFill="1" applyBorder="1" applyAlignment="1" applyProtection="1">
      <alignment horizontal="left" wrapText="1"/>
    </xf>
    <xf numFmtId="0" fontId="5" fillId="28" borderId="98" xfId="0" applyFont="1" applyFill="1" applyBorder="1" applyAlignment="1"/>
    <xf numFmtId="0" fontId="4" fillId="0" borderId="76" xfId="0" applyFont="1" applyBorder="1" applyAlignment="1">
      <alignment horizontal="center"/>
    </xf>
    <xf numFmtId="0" fontId="4" fillId="27" borderId="16" xfId="0" applyFont="1" applyFill="1" applyBorder="1" applyAlignment="1">
      <alignment horizontal="center"/>
    </xf>
    <xf numFmtId="2" fontId="5" fillId="0" borderId="73" xfId="78" applyNumberFormat="1" applyFont="1" applyFill="1" applyBorder="1"/>
    <xf numFmtId="4" fontId="14" fillId="0" borderId="77" xfId="0" applyNumberFormat="1" applyFont="1" applyFill="1" applyBorder="1" applyAlignment="1">
      <alignment horizontal="right"/>
    </xf>
    <xf numFmtId="4" fontId="14" fillId="0" borderId="70" xfId="0" applyNumberFormat="1" applyFont="1" applyFill="1" applyBorder="1" applyAlignment="1">
      <alignment horizontal="right"/>
    </xf>
    <xf numFmtId="4" fontId="14" fillId="0" borderId="78" xfId="0" applyNumberFormat="1" applyFont="1" applyFill="1" applyBorder="1" applyAlignment="1">
      <alignment horizontal="right"/>
    </xf>
    <xf numFmtId="3" fontId="35" fillId="0" borderId="0" xfId="0" applyNumberFormat="1" applyFont="1" applyFill="1"/>
    <xf numFmtId="3" fontId="33" fillId="0" borderId="0" xfId="0" applyNumberFormat="1" applyFont="1" applyFill="1"/>
    <xf numFmtId="3" fontId="15" fillId="0" borderId="0" xfId="0" applyNumberFormat="1" applyFont="1" applyFill="1" applyBorder="1" applyAlignment="1">
      <alignment horizontal="center"/>
    </xf>
    <xf numFmtId="3" fontId="59" fillId="0" borderId="0" xfId="0" applyNumberFormat="1" applyFont="1" applyFill="1" applyBorder="1" applyAlignment="1">
      <alignment horizontal="center"/>
    </xf>
    <xf numFmtId="3" fontId="15" fillId="0" borderId="46" xfId="0" applyNumberFormat="1" applyFont="1" applyFill="1" applyBorder="1" applyAlignment="1">
      <alignment horizontal="left"/>
    </xf>
    <xf numFmtId="3" fontId="35" fillId="0" borderId="0" xfId="0" applyNumberFormat="1" applyFont="1" applyFill="1" applyBorder="1"/>
    <xf numFmtId="3" fontId="15" fillId="0" borderId="16" xfId="0" applyNumberFormat="1" applyFont="1" applyFill="1" applyBorder="1" applyAlignment="1">
      <alignment horizontal="centerContinuous"/>
    </xf>
    <xf numFmtId="3" fontId="61" fillId="0" borderId="0" xfId="0" applyNumberFormat="1" applyFont="1" applyFill="1" applyBorder="1"/>
    <xf numFmtId="0" fontId="35" fillId="0" borderId="0" xfId="0" applyFont="1" applyFill="1" applyBorder="1"/>
    <xf numFmtId="0" fontId="35" fillId="0" borderId="37" xfId="0" applyFont="1" applyFill="1" applyBorder="1" applyProtection="1"/>
    <xf numFmtId="0" fontId="35" fillId="0" borderId="37" xfId="0" applyFont="1" applyFill="1" applyBorder="1"/>
    <xf numFmtId="0" fontId="35" fillId="0" borderId="18" xfId="0" applyFont="1" applyFill="1" applyBorder="1"/>
    <xf numFmtId="0" fontId="35" fillId="0" borderId="0" xfId="0" applyFont="1" applyFill="1" applyBorder="1" applyProtection="1"/>
    <xf numFmtId="3" fontId="15" fillId="0" borderId="18" xfId="0" applyNumberFormat="1" applyFont="1" applyFill="1" applyBorder="1"/>
    <xf numFmtId="3" fontId="35" fillId="0" borderId="18" xfId="0" applyNumberFormat="1" applyFont="1" applyFill="1" applyBorder="1"/>
    <xf numFmtId="0" fontId="15" fillId="0" borderId="18" xfId="0" applyFont="1" applyFill="1" applyBorder="1"/>
    <xf numFmtId="3" fontId="15" fillId="0" borderId="99" xfId="0" applyNumberFormat="1" applyFont="1" applyFill="1" applyBorder="1"/>
    <xf numFmtId="0" fontId="15" fillId="0" borderId="92" xfId="0" applyFont="1" applyFill="1" applyBorder="1" applyProtection="1"/>
    <xf numFmtId="3" fontId="15" fillId="0" borderId="92" xfId="0" applyNumberFormat="1" applyFont="1" applyFill="1" applyBorder="1"/>
    <xf numFmtId="3" fontId="15" fillId="0" borderId="16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Continuous"/>
    </xf>
    <xf numFmtId="3" fontId="60" fillId="0" borderId="18" xfId="0" applyNumberFormat="1" applyFont="1" applyFill="1" applyBorder="1" applyAlignment="1">
      <alignment horizontal="centerContinuous"/>
    </xf>
    <xf numFmtId="3" fontId="15" fillId="0" borderId="18" xfId="0" applyNumberFormat="1" applyFont="1" applyFill="1" applyBorder="1" applyAlignment="1">
      <alignment horizontal="centerContinuous"/>
    </xf>
    <xf numFmtId="3" fontId="15" fillId="0" borderId="0" xfId="0" applyNumberFormat="1" applyFont="1" applyFill="1" applyBorder="1" applyAlignment="1">
      <alignment horizontal="centerContinuous"/>
    </xf>
    <xf numFmtId="0" fontId="35" fillId="0" borderId="0" xfId="78" applyFont="1" applyFill="1" applyBorder="1"/>
    <xf numFmtId="3" fontId="15" fillId="0" borderId="18" xfId="0" applyNumberFormat="1" applyFont="1" applyFill="1" applyBorder="1" applyAlignment="1">
      <alignment horizontal="left"/>
    </xf>
    <xf numFmtId="3" fontId="35" fillId="0" borderId="0" xfId="0" applyNumberFormat="1" applyFont="1" applyFill="1" applyBorder="1" applyAlignment="1">
      <alignment horizontal="center"/>
    </xf>
    <xf numFmtId="0" fontId="35" fillId="0" borderId="0" xfId="78" applyFont="1" applyFill="1" applyBorder="1" applyAlignment="1">
      <alignment horizontal="left"/>
    </xf>
    <xf numFmtId="3" fontId="15" fillId="0" borderId="20" xfId="0" applyNumberFormat="1" applyFont="1" applyFill="1" applyBorder="1" applyAlignment="1"/>
    <xf numFmtId="3" fontId="15" fillId="0" borderId="94" xfId="0" applyNumberFormat="1" applyFont="1" applyFill="1" applyBorder="1" applyAlignment="1"/>
    <xf numFmtId="3" fontId="15" fillId="0" borderId="0" xfId="0" applyNumberFormat="1" applyFont="1" applyFill="1" applyBorder="1" applyAlignment="1"/>
    <xf numFmtId="3" fontId="15" fillId="0" borderId="46" xfId="0" applyNumberFormat="1" applyFont="1" applyFill="1" applyBorder="1" applyAlignment="1"/>
    <xf numFmtId="3" fontId="15" fillId="0" borderId="46" xfId="0" applyNumberFormat="1" applyFont="1" applyFill="1" applyBorder="1"/>
    <xf numFmtId="0" fontId="14" fillId="0" borderId="0" xfId="0" applyFont="1" applyFill="1" applyBorder="1" applyAlignment="1">
      <alignment horizontal="center"/>
    </xf>
    <xf numFmtId="3" fontId="58" fillId="0" borderId="0" xfId="0" applyNumberFormat="1" applyFont="1" applyFill="1" applyBorder="1"/>
    <xf numFmtId="3" fontId="35" fillId="0" borderId="86" xfId="0" applyNumberFormat="1" applyFont="1" applyFill="1" applyBorder="1"/>
    <xf numFmtId="3" fontId="15" fillId="0" borderId="101" xfId="0" applyNumberFormat="1" applyFont="1" applyFill="1" applyBorder="1"/>
    <xf numFmtId="3" fontId="62" fillId="0" borderId="15" xfId="0" applyNumberFormat="1" applyFont="1" applyFill="1" applyBorder="1"/>
    <xf numFmtId="3" fontId="62" fillId="0" borderId="36" xfId="0" applyNumberFormat="1" applyFont="1" applyFill="1" applyBorder="1"/>
    <xf numFmtId="3" fontId="62" fillId="0" borderId="36" xfId="0" applyNumberFormat="1" applyFont="1" applyFill="1" applyBorder="1" applyProtection="1"/>
    <xf numFmtId="3" fontId="35" fillId="0" borderId="15" xfId="0" applyNumberFormat="1" applyFont="1" applyFill="1" applyBorder="1"/>
    <xf numFmtId="3" fontId="15" fillId="0" borderId="102" xfId="0" applyNumberFormat="1" applyFont="1" applyFill="1" applyBorder="1"/>
    <xf numFmtId="3" fontId="58" fillId="0" borderId="43" xfId="0" applyNumberFormat="1" applyFont="1" applyFill="1" applyBorder="1"/>
    <xf numFmtId="0" fontId="14" fillId="0" borderId="86" xfId="0" applyFont="1" applyFill="1" applyBorder="1" applyAlignment="1">
      <alignment horizontal="center"/>
    </xf>
    <xf numFmtId="3" fontId="62" fillId="0" borderId="15" xfId="0" applyNumberFormat="1" applyFont="1" applyFill="1" applyBorder="1" applyProtection="1"/>
    <xf numFmtId="0" fontId="63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3" fontId="58" fillId="0" borderId="21" xfId="0" applyNumberFormat="1" applyFont="1" applyFill="1" applyBorder="1"/>
    <xf numFmtId="3" fontId="15" fillId="0" borderId="45" xfId="0" applyNumberFormat="1" applyFont="1" applyFill="1" applyBorder="1"/>
    <xf numFmtId="3" fontId="62" fillId="0" borderId="61" xfId="0" applyNumberFormat="1" applyFont="1" applyFill="1" applyBorder="1"/>
    <xf numFmtId="3" fontId="62" fillId="0" borderId="15" xfId="0" applyNumberFormat="1" applyFont="1" applyFill="1" applyBorder="1" applyAlignment="1">
      <alignment horizontal="right"/>
    </xf>
    <xf numFmtId="3" fontId="62" fillId="0" borderId="36" xfId="0" applyNumberFormat="1" applyFont="1" applyFill="1" applyBorder="1" applyAlignment="1">
      <alignment horizontal="right"/>
    </xf>
    <xf numFmtId="3" fontId="58" fillId="0" borderId="61" xfId="0" applyNumberFormat="1" applyFont="1" applyFill="1" applyBorder="1"/>
    <xf numFmtId="3" fontId="64" fillId="0" borderId="36" xfId="0" applyNumberFormat="1" applyFont="1" applyFill="1" applyBorder="1" applyAlignment="1">
      <alignment horizontal="right"/>
    </xf>
    <xf numFmtId="3" fontId="63" fillId="0" borderId="21" xfId="0" applyNumberFormat="1" applyFont="1" applyFill="1" applyBorder="1" applyAlignment="1">
      <alignment horizontal="right"/>
    </xf>
    <xf numFmtId="3" fontId="63" fillId="0" borderId="32" xfId="0" applyNumberFormat="1" applyFont="1" applyFill="1" applyBorder="1" applyAlignment="1">
      <alignment horizontal="right"/>
    </xf>
    <xf numFmtId="3" fontId="58" fillId="0" borderId="45" xfId="0" applyNumberFormat="1" applyFont="1" applyFill="1" applyBorder="1"/>
    <xf numFmtId="4" fontId="58" fillId="0" borderId="80" xfId="0" applyNumberFormat="1" applyFont="1" applyFill="1" applyBorder="1"/>
    <xf numFmtId="4" fontId="62" fillId="0" borderId="103" xfId="0" applyNumberFormat="1" applyFont="1" applyFill="1" applyBorder="1" applyProtection="1"/>
    <xf numFmtId="4" fontId="62" fillId="0" borderId="68" xfId="0" applyNumberFormat="1" applyFont="1" applyFill="1" applyBorder="1" applyProtection="1"/>
    <xf numFmtId="4" fontId="58" fillId="0" borderId="81" xfId="0" applyNumberFormat="1" applyFont="1" applyFill="1" applyBorder="1"/>
    <xf numFmtId="4" fontId="62" fillId="0" borderId="103" xfId="0" applyNumberFormat="1" applyFont="1" applyFill="1" applyBorder="1" applyAlignment="1">
      <alignment horizontal="right"/>
    </xf>
    <xf numFmtId="4" fontId="62" fillId="0" borderId="68" xfId="0" applyNumberFormat="1" applyFont="1" applyFill="1" applyBorder="1" applyAlignment="1">
      <alignment horizontal="right"/>
    </xf>
    <xf numFmtId="4" fontId="58" fillId="0" borderId="84" xfId="0" applyNumberFormat="1" applyFont="1" applyFill="1" applyBorder="1"/>
    <xf numFmtId="4" fontId="35" fillId="0" borderId="0" xfId="0" applyNumberFormat="1" applyFont="1" applyFill="1" applyBorder="1" applyAlignment="1">
      <alignment horizontal="right"/>
    </xf>
    <xf numFmtId="4" fontId="63" fillId="0" borderId="86" xfId="0" applyNumberFormat="1" applyFont="1" applyFill="1" applyBorder="1" applyAlignment="1">
      <alignment horizontal="center"/>
    </xf>
    <xf numFmtId="4" fontId="58" fillId="0" borderId="54" xfId="0" applyNumberFormat="1" applyFont="1" applyFill="1" applyBorder="1"/>
    <xf numFmtId="4" fontId="58" fillId="0" borderId="46" xfId="0" applyNumberFormat="1" applyFont="1" applyFill="1" applyBorder="1"/>
    <xf numFmtId="4" fontId="62" fillId="0" borderId="84" xfId="0" applyNumberFormat="1" applyFont="1" applyFill="1" applyBorder="1"/>
    <xf numFmtId="0" fontId="61" fillId="0" borderId="0" xfId="0" applyFont="1" applyFill="1" applyBorder="1" applyProtection="1"/>
    <xf numFmtId="3" fontId="61" fillId="0" borderId="0" xfId="0" applyNumberFormat="1" applyFont="1" applyFill="1" applyBorder="1" applyAlignment="1">
      <alignment horizontal="centerContinuous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Continuous"/>
    </xf>
    <xf numFmtId="3" fontId="7" fillId="0" borderId="0" xfId="0" applyNumberFormat="1" applyFont="1" applyFill="1" applyBorder="1"/>
    <xf numFmtId="2" fontId="62" fillId="0" borderId="103" xfId="0" applyNumberFormat="1" applyFont="1" applyFill="1" applyBorder="1"/>
    <xf numFmtId="2" fontId="62" fillId="0" borderId="68" xfId="0" applyNumberFormat="1" applyFont="1" applyFill="1" applyBorder="1"/>
    <xf numFmtId="2" fontId="5" fillId="0" borderId="68" xfId="0" applyNumberFormat="1" applyFont="1" applyBorder="1"/>
    <xf numFmtId="0" fontId="9" fillId="0" borderId="37" xfId="0" applyFont="1" applyFill="1" applyBorder="1" applyAlignment="1" applyProtection="1"/>
    <xf numFmtId="3" fontId="5" fillId="28" borderId="29" xfId="0" applyNumberFormat="1" applyFont="1" applyFill="1" applyBorder="1"/>
    <xf numFmtId="4" fontId="5" fillId="0" borderId="68" xfId="0" applyNumberFormat="1" applyFont="1" applyFill="1" applyBorder="1"/>
    <xf numFmtId="4" fontId="15" fillId="0" borderId="60" xfId="0" applyNumberFormat="1" applyFont="1" applyFill="1" applyBorder="1"/>
    <xf numFmtId="3" fontId="4" fillId="0" borderId="60" xfId="0" applyNumberFormat="1" applyFont="1" applyFill="1" applyBorder="1"/>
    <xf numFmtId="3" fontId="15" fillId="0" borderId="81" xfId="0" applyNumberFormat="1" applyFont="1" applyFill="1" applyBorder="1"/>
    <xf numFmtId="4" fontId="5" fillId="28" borderId="68" xfId="0" applyNumberFormat="1" applyFont="1" applyFill="1" applyBorder="1"/>
    <xf numFmtId="4" fontId="5" fillId="0" borderId="28" xfId="0" applyNumberFormat="1" applyFont="1" applyBorder="1"/>
    <xf numFmtId="2" fontId="16" fillId="0" borderId="54" xfId="0" applyNumberFormat="1" applyFont="1" applyBorder="1"/>
    <xf numFmtId="4" fontId="5" fillId="0" borderId="73" xfId="78" applyNumberFormat="1" applyFont="1" applyFill="1" applyBorder="1" applyAlignment="1">
      <alignment horizontal="right"/>
    </xf>
    <xf numFmtId="4" fontId="65" fillId="0" borderId="0" xfId="0" applyNumberFormat="1" applyFont="1" applyFill="1" applyBorder="1"/>
    <xf numFmtId="0" fontId="4" fillId="0" borderId="86" xfId="78" applyFont="1" applyFill="1" applyBorder="1" applyAlignment="1">
      <alignment horizontal="left"/>
    </xf>
    <xf numFmtId="3" fontId="9" fillId="0" borderId="75" xfId="78" applyNumberFormat="1" applyFont="1" applyFill="1" applyBorder="1"/>
    <xf numFmtId="2" fontId="5" fillId="0" borderId="75" xfId="78" applyNumberFormat="1" applyFont="1" applyFill="1" applyBorder="1"/>
    <xf numFmtId="4" fontId="58" fillId="0" borderId="53" xfId="0" applyNumberFormat="1" applyFont="1" applyFill="1" applyBorder="1"/>
    <xf numFmtId="0" fontId="67" fillId="0" borderId="0" xfId="78" applyFont="1" applyFill="1"/>
    <xf numFmtId="0" fontId="37" fillId="0" borderId="18" xfId="78" applyFont="1" applyFill="1" applyBorder="1"/>
    <xf numFmtId="3" fontId="6" fillId="0" borderId="0" xfId="78" applyNumberFormat="1" applyFont="1" applyFill="1" applyBorder="1"/>
    <xf numFmtId="3" fontId="6" fillId="0" borderId="18" xfId="78" applyNumberFormat="1" applyFont="1" applyFill="1" applyBorder="1"/>
    <xf numFmtId="3" fontId="56" fillId="0" borderId="73" xfId="0" applyNumberFormat="1" applyFont="1" applyFill="1" applyBorder="1" applyAlignment="1">
      <alignment horizontal="right"/>
    </xf>
    <xf numFmtId="4" fontId="4" fillId="0" borderId="78" xfId="78" applyNumberFormat="1" applyFont="1" applyFill="1" applyBorder="1"/>
    <xf numFmtId="3" fontId="9" fillId="0" borderId="69" xfId="78" applyNumberFormat="1" applyFont="1" applyFill="1" applyBorder="1"/>
    <xf numFmtId="0" fontId="4" fillId="0" borderId="70" xfId="0" applyFont="1" applyFill="1" applyBorder="1"/>
    <xf numFmtId="3" fontId="5" fillId="28" borderId="51" xfId="0" applyNumberFormat="1" applyFont="1" applyFill="1" applyBorder="1"/>
    <xf numFmtId="0" fontId="5" fillId="28" borderId="40" xfId="0" applyFont="1" applyFill="1" applyBorder="1" applyAlignment="1" applyProtection="1">
      <alignment horizontal="left" wrapText="1"/>
    </xf>
    <xf numFmtId="4" fontId="5" fillId="0" borderId="77" xfId="0" applyNumberFormat="1" applyFont="1" applyFill="1" applyBorder="1"/>
    <xf numFmtId="0" fontId="7" fillId="0" borderId="0" xfId="0" applyFont="1"/>
    <xf numFmtId="0" fontId="5" fillId="0" borderId="62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justify"/>
    </xf>
    <xf numFmtId="3" fontId="12" fillId="0" borderId="0" xfId="0" applyNumberFormat="1" applyFont="1"/>
    <xf numFmtId="0" fontId="5" fillId="0" borderId="69" xfId="0" applyFont="1" applyFill="1" applyBorder="1" applyAlignment="1">
      <alignment horizontal="left" wrapText="1"/>
    </xf>
    <xf numFmtId="0" fontId="5" fillId="28" borderId="40" xfId="0" applyFont="1" applyFill="1" applyBorder="1" applyAlignment="1">
      <alignment horizontal="justify"/>
    </xf>
    <xf numFmtId="3" fontId="5" fillId="0" borderId="0" xfId="0" applyNumberFormat="1" applyFont="1" applyFill="1" applyBorder="1" applyAlignment="1">
      <alignment wrapText="1"/>
    </xf>
    <xf numFmtId="0" fontId="37" fillId="0" borderId="0" xfId="78" applyFont="1" applyFill="1" applyBorder="1" applyAlignment="1">
      <alignment horizontal="left"/>
    </xf>
    <xf numFmtId="3" fontId="5" fillId="0" borderId="75" xfId="78" applyNumberFormat="1" applyFont="1" applyFill="1" applyBorder="1" applyAlignment="1">
      <alignment horizontal="right"/>
    </xf>
    <xf numFmtId="0" fontId="4" fillId="0" borderId="0" xfId="78" applyFont="1" applyFill="1" applyBorder="1" applyAlignment="1">
      <alignment horizontal="justify"/>
    </xf>
    <xf numFmtId="2" fontId="5" fillId="28" borderId="59" xfId="0" applyNumberFormat="1" applyFont="1" applyFill="1" applyBorder="1"/>
    <xf numFmtId="0" fontId="5" fillId="28" borderId="18" xfId="0" applyFont="1" applyFill="1" applyBorder="1" applyAlignment="1" applyProtection="1">
      <alignment horizontal="left" wrapText="1"/>
    </xf>
    <xf numFmtId="0" fontId="5" fillId="0" borderId="108" xfId="0" applyFont="1" applyFill="1" applyBorder="1"/>
    <xf numFmtId="3" fontId="5" fillId="0" borderId="108" xfId="0" applyNumberFormat="1" applyFont="1" applyFill="1" applyBorder="1"/>
    <xf numFmtId="4" fontId="5" fillId="0" borderId="108" xfId="0" applyNumberFormat="1" applyFont="1" applyFill="1" applyBorder="1"/>
    <xf numFmtId="0" fontId="5" fillId="28" borderId="109" xfId="0" applyFont="1" applyFill="1" applyBorder="1" applyAlignment="1">
      <alignment horizontal="justify"/>
    </xf>
    <xf numFmtId="3" fontId="5" fillId="0" borderId="75" xfId="0" applyNumberFormat="1" applyFont="1" applyFill="1" applyBorder="1" applyAlignment="1">
      <alignment horizontal="right"/>
    </xf>
    <xf numFmtId="4" fontId="5" fillId="0" borderId="75" xfId="0" applyNumberFormat="1" applyFont="1" applyFill="1" applyBorder="1" applyAlignment="1">
      <alignment horizontal="right"/>
    </xf>
    <xf numFmtId="3" fontId="9" fillId="0" borderId="75" xfId="0" applyNumberFormat="1" applyFont="1" applyFill="1" applyBorder="1" applyAlignment="1">
      <alignment horizontal="right"/>
    </xf>
    <xf numFmtId="3" fontId="5" fillId="0" borderId="73" xfId="0" applyNumberFormat="1" applyFont="1" applyFill="1" applyBorder="1" applyAlignment="1">
      <alignment horizontal="right"/>
    </xf>
    <xf numFmtId="4" fontId="5" fillId="0" borderId="73" xfId="0" applyNumberFormat="1" applyFont="1" applyFill="1" applyBorder="1" applyAlignment="1">
      <alignment horizontal="right"/>
    </xf>
    <xf numFmtId="3" fontId="5" fillId="0" borderId="69" xfId="0" applyNumberFormat="1" applyFont="1" applyFill="1" applyBorder="1" applyAlignment="1">
      <alignment horizontal="right"/>
    </xf>
    <xf numFmtId="3" fontId="4" fillId="0" borderId="70" xfId="0" applyNumberFormat="1" applyFont="1" applyFill="1" applyBorder="1" applyAlignment="1">
      <alignment horizontal="right"/>
    </xf>
    <xf numFmtId="4" fontId="16" fillId="0" borderId="70" xfId="0" applyNumberFormat="1" applyFont="1" applyFill="1" applyBorder="1" applyAlignment="1">
      <alignment horizontal="right"/>
    </xf>
    <xf numFmtId="3" fontId="8" fillId="0" borderId="73" xfId="79" applyNumberFormat="1" applyFont="1" applyFill="1" applyBorder="1" applyAlignment="1">
      <alignment horizontal="right" wrapText="1"/>
    </xf>
    <xf numFmtId="4" fontId="16" fillId="0" borderId="76" xfId="0" applyNumberFormat="1" applyFont="1" applyFill="1" applyBorder="1" applyAlignment="1">
      <alignment horizontal="right"/>
    </xf>
    <xf numFmtId="0" fontId="5" fillId="0" borderId="73" xfId="0" applyFont="1" applyFill="1" applyBorder="1" applyAlignment="1"/>
    <xf numFmtId="3" fontId="8" fillId="0" borderId="73" xfId="79" applyNumberFormat="1" applyFont="1" applyFill="1" applyBorder="1" applyAlignment="1">
      <alignment horizontal="justify" wrapText="1"/>
    </xf>
    <xf numFmtId="3" fontId="8" fillId="0" borderId="75" xfId="79" applyNumberFormat="1" applyFont="1" applyFill="1" applyBorder="1" applyAlignment="1">
      <alignment horizontal="justify" wrapText="1"/>
    </xf>
    <xf numFmtId="4" fontId="5" fillId="0" borderId="77" xfId="0" applyNumberFormat="1" applyFont="1" applyBorder="1"/>
    <xf numFmtId="4" fontId="5" fillId="0" borderId="27" xfId="0" applyNumberFormat="1" applyFont="1" applyBorder="1"/>
    <xf numFmtId="4" fontId="5" fillId="0" borderId="67" xfId="0" applyNumberFormat="1" applyFont="1" applyBorder="1"/>
    <xf numFmtId="4" fontId="5" fillId="0" borderId="67" xfId="0" applyNumberFormat="1" applyFont="1" applyFill="1" applyBorder="1"/>
    <xf numFmtId="3" fontId="5" fillId="0" borderId="18" xfId="0" applyNumberFormat="1" applyFont="1" applyBorder="1"/>
    <xf numFmtId="4" fontId="5" fillId="0" borderId="86" xfId="0" applyNumberFormat="1" applyFont="1" applyBorder="1"/>
    <xf numFmtId="3" fontId="13" fillId="0" borderId="0" xfId="0" applyNumberFormat="1" applyFont="1" applyBorder="1"/>
    <xf numFmtId="0" fontId="7" fillId="0" borderId="0" xfId="0" applyFont="1" applyFill="1" applyBorder="1" applyAlignment="1">
      <alignment horizontal="justify"/>
    </xf>
    <xf numFmtId="0" fontId="5" fillId="0" borderId="0" xfId="78" applyFont="1" applyFill="1" applyAlignment="1">
      <alignment wrapText="1"/>
    </xf>
    <xf numFmtId="0" fontId="11" fillId="0" borderId="0" xfId="78" applyFont="1" applyFill="1" applyBorder="1"/>
    <xf numFmtId="3" fontId="5" fillId="0" borderId="0" xfId="78" applyNumberFormat="1" applyFont="1" applyFill="1" applyBorder="1" applyAlignment="1">
      <alignment horizontal="right"/>
    </xf>
    <xf numFmtId="0" fontId="16" fillId="0" borderId="0" xfId="78" applyFont="1" applyFill="1" applyBorder="1"/>
    <xf numFmtId="0" fontId="37" fillId="0" borderId="0" xfId="78" applyFont="1" applyFill="1" applyBorder="1"/>
    <xf numFmtId="3" fontId="56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66" fillId="0" borderId="0" xfId="0" applyNumberFormat="1" applyFont="1" applyFill="1" applyBorder="1" applyAlignment="1">
      <alignment horizontal="center"/>
    </xf>
    <xf numFmtId="3" fontId="4" fillId="0" borderId="73" xfId="78" applyNumberFormat="1" applyFont="1" applyFill="1" applyBorder="1"/>
    <xf numFmtId="0" fontId="4" fillId="0" borderId="26" xfId="78" applyFont="1" applyFill="1" applyBorder="1" applyAlignment="1">
      <alignment horizontal="left"/>
    </xf>
    <xf numFmtId="0" fontId="4" fillId="0" borderId="89" xfId="78" applyFont="1" applyFill="1" applyBorder="1" applyAlignment="1">
      <alignment horizontal="left"/>
    </xf>
    <xf numFmtId="0" fontId="5" fillId="0" borderId="73" xfId="0" applyFont="1" applyFill="1" applyBorder="1"/>
    <xf numFmtId="0" fontId="5" fillId="0" borderId="40" xfId="0" applyFont="1" applyFill="1" applyBorder="1" applyAlignment="1">
      <alignment wrapText="1"/>
    </xf>
    <xf numFmtId="0" fontId="5" fillId="0" borderId="69" xfId="0" applyFont="1" applyFill="1" applyBorder="1" applyAlignment="1"/>
    <xf numFmtId="3" fontId="5" fillId="28" borderId="33" xfId="0" applyNumberFormat="1" applyFont="1" applyFill="1" applyBorder="1" applyProtection="1">
      <protection locked="0"/>
    </xf>
    <xf numFmtId="0" fontId="62" fillId="0" borderId="0" xfId="0" applyFont="1" applyAlignment="1">
      <alignment horizontal="right"/>
    </xf>
    <xf numFmtId="3" fontId="62" fillId="0" borderId="0" xfId="0" applyNumberFormat="1" applyFont="1" applyAlignment="1">
      <alignment horizontal="right"/>
    </xf>
    <xf numFmtId="3" fontId="69" fillId="0" borderId="0" xfId="0" applyNumberFormat="1" applyFont="1"/>
    <xf numFmtId="3" fontId="69" fillId="0" borderId="0" xfId="0" applyNumberFormat="1" applyFont="1" applyFill="1"/>
    <xf numFmtId="3" fontId="69" fillId="0" borderId="0" xfId="0" applyNumberFormat="1" applyFont="1" applyFill="1" applyAlignment="1">
      <alignment wrapText="1"/>
    </xf>
    <xf numFmtId="3" fontId="70" fillId="0" borderId="0" xfId="0" applyNumberFormat="1" applyFont="1"/>
    <xf numFmtId="0" fontId="9" fillId="28" borderId="38" xfId="0" applyFont="1" applyFill="1" applyBorder="1" applyAlignment="1">
      <alignment horizontal="justify"/>
    </xf>
    <xf numFmtId="0" fontId="9" fillId="28" borderId="40" xfId="0" applyFont="1" applyFill="1" applyBorder="1" applyAlignment="1">
      <alignment horizontal="justify"/>
    </xf>
    <xf numFmtId="0" fontId="9" fillId="28" borderId="23" xfId="0" applyFont="1" applyFill="1" applyBorder="1" applyAlignment="1">
      <alignment horizontal="justify"/>
    </xf>
    <xf numFmtId="4" fontId="5" fillId="0" borderId="73" xfId="0" applyNumberFormat="1" applyFont="1" applyFill="1" applyBorder="1"/>
    <xf numFmtId="4" fontId="9" fillId="0" borderId="73" xfId="78" applyNumberFormat="1" applyFont="1" applyFill="1" applyBorder="1" applyAlignment="1">
      <alignment horizontal="right"/>
    </xf>
    <xf numFmtId="4" fontId="5" fillId="0" borderId="107" xfId="0" applyNumberFormat="1" applyFont="1" applyFill="1" applyBorder="1" applyAlignment="1">
      <alignment horizontal="right"/>
    </xf>
    <xf numFmtId="3" fontId="8" fillId="0" borderId="107" xfId="79" applyNumberFormat="1" applyFont="1" applyFill="1" applyBorder="1" applyAlignment="1">
      <alignment horizontal="justify" wrapText="1"/>
    </xf>
    <xf numFmtId="0" fontId="15" fillId="0" borderId="0" xfId="0" applyFont="1" applyFill="1" applyAlignment="1">
      <alignment horizontal="center"/>
    </xf>
    <xf numFmtId="0" fontId="35" fillId="0" borderId="0" xfId="0" applyFont="1" applyFill="1"/>
    <xf numFmtId="0" fontId="35" fillId="0" borderId="16" xfId="0" applyFont="1" applyFill="1" applyBorder="1" applyProtection="1"/>
    <xf numFmtId="0" fontId="15" fillId="0" borderId="16" xfId="0" applyFont="1" applyFill="1" applyBorder="1" applyProtection="1"/>
    <xf numFmtId="0" fontId="4" fillId="0" borderId="23" xfId="0" applyFont="1" applyBorder="1" applyAlignment="1">
      <alignment horizontal="center"/>
    </xf>
    <xf numFmtId="0" fontId="5" fillId="0" borderId="38" xfId="0" applyFont="1" applyBorder="1"/>
    <xf numFmtId="0" fontId="7" fillId="0" borderId="0" xfId="78" applyFont="1"/>
    <xf numFmtId="0" fontId="7" fillId="0" borderId="0" xfId="78" applyFont="1" applyFill="1"/>
    <xf numFmtId="3" fontId="4" fillId="0" borderId="0" xfId="0" applyNumberFormat="1" applyFont="1" applyFill="1"/>
    <xf numFmtId="3" fontId="5" fillId="0" borderId="117" xfId="0" applyNumberFormat="1" applyFont="1" applyFill="1" applyBorder="1"/>
    <xf numFmtId="4" fontId="5" fillId="0" borderId="59" xfId="0" applyNumberFormat="1" applyFont="1" applyBorder="1"/>
    <xf numFmtId="4" fontId="5" fillId="0" borderId="68" xfId="0" applyNumberFormat="1" applyFont="1" applyBorder="1"/>
    <xf numFmtId="3" fontId="13" fillId="0" borderId="0" xfId="0" applyNumberFormat="1" applyFont="1" applyAlignment="1">
      <alignment wrapText="1"/>
    </xf>
    <xf numFmtId="3" fontId="5" fillId="28" borderId="118" xfId="0" applyNumberFormat="1" applyFont="1" applyFill="1" applyBorder="1"/>
    <xf numFmtId="3" fontId="5" fillId="28" borderId="108" xfId="0" applyNumberFormat="1" applyFont="1" applyFill="1" applyBorder="1"/>
    <xf numFmtId="0" fontId="5" fillId="28" borderId="38" xfId="0" applyFont="1" applyFill="1" applyBorder="1" applyAlignment="1">
      <alignment horizontal="justify"/>
    </xf>
    <xf numFmtId="3" fontId="5" fillId="28" borderId="75" xfId="0" applyNumberFormat="1" applyFont="1" applyFill="1" applyBorder="1"/>
    <xf numFmtId="0" fontId="5" fillId="28" borderId="38" xfId="0" applyFont="1" applyFill="1" applyBorder="1" applyAlignment="1">
      <alignment horizontal="justify" wrapText="1"/>
    </xf>
    <xf numFmtId="0" fontId="5" fillId="28" borderId="40" xfId="0" applyFont="1" applyFill="1" applyBorder="1" applyAlignment="1">
      <alignment horizontal="justify" wrapText="1"/>
    </xf>
    <xf numFmtId="0" fontId="5" fillId="28" borderId="62" xfId="0" applyFont="1" applyFill="1" applyBorder="1" applyAlignment="1">
      <alignment horizontal="justify"/>
    </xf>
    <xf numFmtId="0" fontId="5" fillId="0" borderId="109" xfId="0" applyFont="1" applyFill="1" applyBorder="1"/>
    <xf numFmtId="0" fontId="5" fillId="0" borderId="119" xfId="0" applyFont="1" applyFill="1" applyBorder="1"/>
    <xf numFmtId="3" fontId="5" fillId="0" borderId="120" xfId="0" applyNumberFormat="1" applyFont="1" applyFill="1" applyBorder="1" applyProtection="1">
      <protection locked="0"/>
    </xf>
    <xf numFmtId="3" fontId="5" fillId="0" borderId="29" xfId="0" applyNumberFormat="1" applyFont="1" applyFill="1" applyBorder="1" applyProtection="1">
      <protection locked="0"/>
    </xf>
    <xf numFmtId="0" fontId="4" fillId="0" borderId="37" xfId="78" applyFont="1" applyFill="1" applyBorder="1" applyAlignment="1">
      <alignment horizontal="justify"/>
    </xf>
    <xf numFmtId="3" fontId="62" fillId="0" borderId="52" xfId="0" applyNumberFormat="1" applyFont="1" applyFill="1" applyBorder="1"/>
    <xf numFmtId="4" fontId="62" fillId="0" borderId="67" xfId="0" applyNumberFormat="1" applyFont="1" applyFill="1" applyBorder="1" applyProtection="1"/>
    <xf numFmtId="4" fontId="62" fillId="0" borderId="67" xfId="0" applyNumberFormat="1" applyFont="1" applyFill="1" applyBorder="1" applyAlignment="1">
      <alignment horizontal="right"/>
    </xf>
    <xf numFmtId="4" fontId="62" fillId="0" borderId="86" xfId="0" applyNumberFormat="1" applyFont="1" applyFill="1" applyBorder="1"/>
    <xf numFmtId="3" fontId="5" fillId="28" borderId="64" xfId="0" applyNumberFormat="1" applyFont="1" applyFill="1" applyBorder="1"/>
    <xf numFmtId="4" fontId="5" fillId="28" borderId="75" xfId="0" applyNumberFormat="1" applyFont="1" applyFill="1" applyBorder="1"/>
    <xf numFmtId="0" fontId="5" fillId="28" borderId="73" xfId="0" applyFont="1" applyFill="1" applyBorder="1"/>
    <xf numFmtId="0" fontId="34" fillId="0" borderId="75" xfId="0" applyFont="1" applyBorder="1" applyAlignment="1">
      <alignment horizontal="justify"/>
    </xf>
    <xf numFmtId="0" fontId="34" fillId="0" borderId="72" xfId="0" applyFont="1" applyFill="1" applyBorder="1" applyAlignment="1">
      <alignment horizontal="justify"/>
    </xf>
    <xf numFmtId="0" fontId="34" fillId="0" borderId="108" xfId="0" applyFont="1" applyFill="1" applyBorder="1" applyAlignment="1">
      <alignment horizontal="justify"/>
    </xf>
    <xf numFmtId="0" fontId="34" fillId="0" borderId="73" xfId="0" applyFont="1" applyFill="1" applyBorder="1" applyAlignment="1">
      <alignment horizontal="justify"/>
    </xf>
    <xf numFmtId="0" fontId="5" fillId="28" borderId="108" xfId="0" applyFont="1" applyFill="1" applyBorder="1"/>
    <xf numFmtId="4" fontId="5" fillId="28" borderId="108" xfId="0" applyNumberFormat="1" applyFont="1" applyFill="1" applyBorder="1"/>
    <xf numFmtId="0" fontId="5" fillId="28" borderId="69" xfId="0" applyFont="1" applyFill="1" applyBorder="1"/>
    <xf numFmtId="4" fontId="5" fillId="28" borderId="69" xfId="0" applyNumberFormat="1" applyFont="1" applyFill="1" applyBorder="1"/>
    <xf numFmtId="4" fontId="5" fillId="28" borderId="73" xfId="0" applyNumberFormat="1" applyFont="1" applyFill="1" applyBorder="1"/>
    <xf numFmtId="4" fontId="5" fillId="28" borderId="67" xfId="0" applyNumberFormat="1" applyFont="1" applyFill="1" applyBorder="1"/>
    <xf numFmtId="3" fontId="6" fillId="0" borderId="16" xfId="0" applyNumberFormat="1" applyFont="1" applyBorder="1" applyAlignment="1">
      <alignment horizontal="left"/>
    </xf>
    <xf numFmtId="3" fontId="4" fillId="0" borderId="104" xfId="0" applyNumberFormat="1" applyFont="1" applyBorder="1"/>
    <xf numFmtId="0" fontId="5" fillId="0" borderId="0" xfId="0" applyFont="1" applyFill="1" applyBorder="1" applyAlignment="1">
      <alignment horizontal="justify"/>
    </xf>
    <xf numFmtId="0" fontId="5" fillId="28" borderId="40" xfId="0" applyFont="1" applyFill="1" applyBorder="1" applyAlignment="1">
      <alignment horizontal="left" wrapText="1"/>
    </xf>
    <xf numFmtId="0" fontId="5" fillId="28" borderId="19" xfId="0" applyFont="1" applyFill="1" applyBorder="1" applyAlignment="1">
      <alignment horizontal="left" wrapText="1"/>
    </xf>
    <xf numFmtId="3" fontId="5" fillId="28" borderId="61" xfId="0" applyNumberFormat="1" applyFont="1" applyFill="1" applyBorder="1"/>
    <xf numFmtId="4" fontId="5" fillId="28" borderId="71" xfId="0" applyNumberFormat="1" applyFont="1" applyFill="1" applyBorder="1"/>
    <xf numFmtId="3" fontId="9" fillId="28" borderId="45" xfId="0" applyNumberFormat="1" applyFont="1" applyFill="1" applyBorder="1" applyAlignment="1">
      <alignment horizontal="right"/>
    </xf>
    <xf numFmtId="3" fontId="5" fillId="28" borderId="47" xfId="0" applyNumberFormat="1" applyFont="1" applyFill="1" applyBorder="1" applyAlignment="1">
      <alignment horizontal="right"/>
    </xf>
    <xf numFmtId="0" fontId="4" fillId="28" borderId="36" xfId="0" applyFont="1" applyFill="1" applyBorder="1" applyAlignment="1">
      <alignment horizontal="center"/>
    </xf>
    <xf numFmtId="3" fontId="5" fillId="28" borderId="34" xfId="0" applyNumberFormat="1" applyFont="1" applyFill="1" applyBorder="1" applyAlignment="1">
      <alignment horizontal="right"/>
    </xf>
    <xf numFmtId="3" fontId="5" fillId="28" borderId="33" xfId="0" applyNumberFormat="1" applyFont="1" applyFill="1" applyBorder="1"/>
    <xf numFmtId="0" fontId="5" fillId="28" borderId="40" xfId="0" applyFont="1" applyFill="1" applyBorder="1" applyAlignment="1"/>
    <xf numFmtId="0" fontId="71" fillId="28" borderId="37" xfId="0" applyFont="1" applyFill="1" applyBorder="1" applyAlignment="1"/>
    <xf numFmtId="0" fontId="71" fillId="28" borderId="39" xfId="0" applyFont="1" applyFill="1" applyBorder="1" applyAlignment="1"/>
    <xf numFmtId="3" fontId="13" fillId="0" borderId="0" xfId="0" applyNumberFormat="1" applyFont="1" applyFill="1" applyAlignment="1">
      <alignment wrapText="1"/>
    </xf>
    <xf numFmtId="0" fontId="9" fillId="0" borderId="40" xfId="0" applyFont="1" applyFill="1" applyBorder="1" applyAlignment="1">
      <alignment horizontal="justify"/>
    </xf>
    <xf numFmtId="3" fontId="5" fillId="0" borderId="118" xfId="0" applyNumberFormat="1" applyFont="1" applyFill="1" applyBorder="1"/>
    <xf numFmtId="3" fontId="62" fillId="0" borderId="0" xfId="0" applyNumberFormat="1" applyFont="1" applyFill="1"/>
    <xf numFmtId="0" fontId="62" fillId="0" borderId="0" xfId="0" applyFont="1" applyFill="1"/>
    <xf numFmtId="0" fontId="73" fillId="0" borderId="0" xfId="0" applyFont="1" applyFill="1"/>
    <xf numFmtId="3" fontId="74" fillId="0" borderId="0" xfId="0" applyNumberFormat="1" applyFont="1"/>
    <xf numFmtId="0" fontId="74" fillId="0" borderId="0" xfId="0" applyFont="1"/>
    <xf numFmtId="0" fontId="73" fillId="0" borderId="0" xfId="0" applyFont="1" applyFill="1" applyBorder="1"/>
    <xf numFmtId="0" fontId="75" fillId="0" borderId="0" xfId="0" applyFont="1" applyFill="1"/>
    <xf numFmtId="0" fontId="62" fillId="0" borderId="0" xfId="0" applyFont="1" applyFill="1" applyBorder="1"/>
    <xf numFmtId="0" fontId="58" fillId="0" borderId="0" xfId="0" applyFont="1" applyFill="1"/>
    <xf numFmtId="3" fontId="38" fillId="0" borderId="0" xfId="0" applyNumberFormat="1" applyFont="1"/>
    <xf numFmtId="0" fontId="38" fillId="0" borderId="0" xfId="0" applyFont="1"/>
    <xf numFmtId="4" fontId="5" fillId="0" borderId="69" xfId="0" applyNumberFormat="1" applyFont="1" applyFill="1" applyBorder="1"/>
    <xf numFmtId="0" fontId="9" fillId="0" borderId="62" xfId="0" applyFont="1" applyFill="1" applyBorder="1" applyAlignment="1">
      <alignment horizontal="justify"/>
    </xf>
    <xf numFmtId="3" fontId="5" fillId="28" borderId="38" xfId="0" applyNumberFormat="1" applyFont="1" applyFill="1" applyBorder="1" applyAlignment="1">
      <alignment wrapText="1"/>
    </xf>
    <xf numFmtId="0" fontId="4" fillId="0" borderId="19" xfId="0" applyFont="1" applyBorder="1" applyAlignment="1">
      <alignment horizontal="center"/>
    </xf>
    <xf numFmtId="0" fontId="9" fillId="0" borderId="50" xfId="78" applyFont="1" applyFill="1" applyBorder="1" applyAlignment="1">
      <alignment horizontal="left" wrapText="1"/>
    </xf>
    <xf numFmtId="3" fontId="35" fillId="0" borderId="0" xfId="0" applyNumberFormat="1" applyFont="1" applyFill="1" applyBorder="1" applyAlignment="1">
      <alignment wrapText="1"/>
    </xf>
    <xf numFmtId="0" fontId="5" fillId="0" borderId="66" xfId="0" applyFont="1" applyFill="1" applyBorder="1"/>
    <xf numFmtId="0" fontId="5" fillId="0" borderId="0" xfId="0" applyFont="1" applyFill="1" applyBorder="1" applyAlignment="1">
      <alignment horizontal="justify" wrapText="1"/>
    </xf>
    <xf numFmtId="0" fontId="5" fillId="0" borderId="50" xfId="78" applyFont="1" applyFill="1" applyBorder="1" applyAlignment="1">
      <alignment horizontal="justify"/>
    </xf>
    <xf numFmtId="0" fontId="9" fillId="0" borderId="37" xfId="0" applyFont="1" applyFill="1" applyBorder="1" applyAlignment="1" applyProtection="1">
      <alignment horizontal="left"/>
    </xf>
    <xf numFmtId="0" fontId="5" fillId="0" borderId="73" xfId="0" applyFont="1" applyFill="1" applyBorder="1" applyAlignment="1">
      <alignment wrapText="1"/>
    </xf>
    <xf numFmtId="3" fontId="5" fillId="0" borderId="79" xfId="0" applyNumberFormat="1" applyFont="1" applyFill="1" applyBorder="1" applyAlignment="1">
      <alignment wrapText="1"/>
    </xf>
    <xf numFmtId="0" fontId="5" fillId="0" borderId="79" xfId="78" applyFont="1" applyFill="1" applyBorder="1" applyAlignment="1">
      <alignment horizontal="left" wrapText="1"/>
    </xf>
    <xf numFmtId="0" fontId="5" fillId="0" borderId="50" xfId="0" applyFont="1" applyFill="1" applyBorder="1" applyAlignment="1">
      <alignment wrapText="1"/>
    </xf>
    <xf numFmtId="0" fontId="37" fillId="0" borderId="69" xfId="0" applyFont="1" applyFill="1" applyBorder="1" applyAlignment="1">
      <alignment horizontal="left" wrapText="1"/>
    </xf>
    <xf numFmtId="0" fontId="5" fillId="28" borderId="75" xfId="0" applyFont="1" applyFill="1" applyBorder="1" applyAlignment="1">
      <alignment wrapText="1"/>
    </xf>
    <xf numFmtId="0" fontId="5" fillId="28" borderId="73" xfId="0" applyFont="1" applyFill="1" applyBorder="1" applyAlignment="1">
      <alignment wrapText="1"/>
    </xf>
    <xf numFmtId="0" fontId="15" fillId="0" borderId="77" xfId="0" applyFont="1" applyFill="1" applyBorder="1"/>
    <xf numFmtId="0" fontId="4" fillId="0" borderId="44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5" fillId="0" borderId="50" xfId="78" applyFont="1" applyFill="1" applyBorder="1"/>
    <xf numFmtId="0" fontId="4" fillId="27" borderId="45" xfId="0" applyFont="1" applyFill="1" applyBorder="1" applyAlignment="1">
      <alignment horizontal="center"/>
    </xf>
    <xf numFmtId="0" fontId="4" fillId="27" borderId="47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58" fillId="0" borderId="23" xfId="0" applyFont="1" applyFill="1" applyBorder="1" applyAlignment="1" applyProtection="1">
      <alignment horizontal="left"/>
    </xf>
    <xf numFmtId="0" fontId="62" fillId="0" borderId="46" xfId="0" applyFont="1" applyFill="1" applyBorder="1"/>
    <xf numFmtId="0" fontId="75" fillId="0" borderId="46" xfId="0" applyFont="1" applyFill="1" applyBorder="1"/>
    <xf numFmtId="0" fontId="58" fillId="0" borderId="83" xfId="0" applyFont="1" applyFill="1" applyBorder="1" applyAlignment="1">
      <alignment horizontal="center"/>
    </xf>
    <xf numFmtId="0" fontId="58" fillId="0" borderId="83" xfId="0" applyFont="1" applyBorder="1" applyAlignment="1">
      <alignment horizontal="center"/>
    </xf>
    <xf numFmtId="0" fontId="62" fillId="0" borderId="19" xfId="0" applyFont="1" applyFill="1" applyBorder="1"/>
    <xf numFmtId="0" fontId="58" fillId="0" borderId="16" xfId="0" applyFont="1" applyFill="1" applyBorder="1" applyAlignment="1" applyProtection="1">
      <alignment horizontal="left"/>
    </xf>
    <xf numFmtId="0" fontId="58" fillId="0" borderId="16" xfId="0" applyFont="1" applyFill="1" applyBorder="1" applyAlignment="1" applyProtection="1">
      <alignment horizontal="right"/>
    </xf>
    <xf numFmtId="0" fontId="58" fillId="0" borderId="76" xfId="0" applyFont="1" applyFill="1" applyBorder="1" applyAlignment="1">
      <alignment horizontal="center"/>
    </xf>
    <xf numFmtId="0" fontId="58" fillId="0" borderId="76" xfId="0" applyFont="1" applyBorder="1" applyAlignment="1">
      <alignment horizontal="center"/>
    </xf>
    <xf numFmtId="0" fontId="58" fillId="0" borderId="70" xfId="0" applyFont="1" applyFill="1" applyBorder="1" applyAlignment="1">
      <alignment horizontal="center"/>
    </xf>
    <xf numFmtId="0" fontId="58" fillId="0" borderId="70" xfId="0" applyFont="1" applyBorder="1" applyAlignment="1">
      <alignment horizontal="center"/>
    </xf>
    <xf numFmtId="0" fontId="75" fillId="0" borderId="23" xfId="0" applyFont="1" applyFill="1" applyBorder="1"/>
    <xf numFmtId="0" fontId="75" fillId="0" borderId="46" xfId="0" applyFont="1" applyFill="1" applyBorder="1" applyAlignment="1" applyProtection="1">
      <alignment horizontal="left"/>
    </xf>
    <xf numFmtId="0" fontId="58" fillId="0" borderId="46" xfId="0" applyFont="1" applyFill="1" applyBorder="1" applyAlignment="1" applyProtection="1">
      <alignment horizontal="left"/>
    </xf>
    <xf numFmtId="0" fontId="58" fillId="0" borderId="53" xfId="0" applyFont="1" applyFill="1" applyBorder="1" applyAlignment="1" applyProtection="1">
      <alignment horizontal="left"/>
    </xf>
    <xf numFmtId="3" fontId="58" fillId="0" borderId="83" xfId="0" applyNumberFormat="1" applyFont="1" applyFill="1" applyBorder="1" applyProtection="1"/>
    <xf numFmtId="0" fontId="73" fillId="0" borderId="18" xfId="0" applyFont="1" applyFill="1" applyBorder="1" applyProtection="1"/>
    <xf numFmtId="0" fontId="73" fillId="0" borderId="16" xfId="0" applyFont="1" applyFill="1" applyBorder="1" applyAlignment="1" applyProtection="1">
      <alignment horizontal="left"/>
    </xf>
    <xf numFmtId="0" fontId="73" fillId="0" borderId="50" xfId="0" applyFont="1" applyFill="1" applyBorder="1" applyProtection="1"/>
    <xf numFmtId="0" fontId="79" fillId="0" borderId="50" xfId="0" applyFont="1" applyFill="1" applyBorder="1" applyProtection="1"/>
    <xf numFmtId="0" fontId="73" fillId="0" borderId="0" xfId="0" applyFont="1" applyFill="1" applyBorder="1" applyProtection="1"/>
    <xf numFmtId="0" fontId="62" fillId="0" borderId="85" xfId="0" applyFont="1" applyFill="1" applyBorder="1" applyProtection="1"/>
    <xf numFmtId="3" fontId="80" fillId="0" borderId="75" xfId="0" applyNumberFormat="1" applyFont="1" applyFill="1" applyBorder="1"/>
    <xf numFmtId="4" fontId="62" fillId="0" borderId="75" xfId="0" applyNumberFormat="1" applyFont="1" applyFill="1" applyBorder="1" applyProtection="1"/>
    <xf numFmtId="0" fontId="62" fillId="0" borderId="79" xfId="0" applyFont="1" applyFill="1" applyBorder="1" applyProtection="1"/>
    <xf numFmtId="3" fontId="73" fillId="0" borderId="38" xfId="0" applyNumberFormat="1" applyFont="1" applyFill="1" applyBorder="1"/>
    <xf numFmtId="4" fontId="75" fillId="0" borderId="75" xfId="0" applyNumberFormat="1" applyFont="1" applyFill="1" applyBorder="1" applyProtection="1"/>
    <xf numFmtId="3" fontId="73" fillId="0" borderId="75" xfId="0" applyNumberFormat="1" applyFont="1" applyFill="1" applyBorder="1"/>
    <xf numFmtId="0" fontId="62" fillId="0" borderId="18" xfId="0" applyFont="1" applyFill="1" applyBorder="1" applyProtection="1"/>
    <xf numFmtId="0" fontId="62" fillId="0" borderId="50" xfId="0" applyFont="1" applyFill="1" applyBorder="1" applyProtection="1"/>
    <xf numFmtId="0" fontId="62" fillId="0" borderId="37" xfId="0" applyFont="1" applyFill="1" applyBorder="1" applyProtection="1"/>
    <xf numFmtId="3" fontId="62" fillId="0" borderId="79" xfId="0" applyNumberFormat="1" applyFont="1" applyFill="1" applyBorder="1" applyProtection="1">
      <protection locked="0"/>
    </xf>
    <xf numFmtId="3" fontId="62" fillId="0" borderId="38" xfId="0" applyNumberFormat="1" applyFont="1" applyFill="1" applyBorder="1"/>
    <xf numFmtId="3" fontId="62" fillId="0" borderId="75" xfId="0" applyNumberFormat="1" applyFont="1" applyFill="1" applyBorder="1"/>
    <xf numFmtId="3" fontId="62" fillId="0" borderId="50" xfId="0" applyNumberFormat="1" applyFont="1" applyFill="1" applyBorder="1"/>
    <xf numFmtId="3" fontId="62" fillId="0" borderId="40" xfId="0" applyNumberFormat="1" applyFont="1" applyFill="1" applyBorder="1"/>
    <xf numFmtId="3" fontId="62" fillId="0" borderId="73" xfId="0" applyNumberFormat="1" applyFont="1" applyFill="1" applyBorder="1"/>
    <xf numFmtId="0" fontId="73" fillId="0" borderId="37" xfId="0" applyFont="1" applyFill="1" applyBorder="1" applyProtection="1"/>
    <xf numFmtId="3" fontId="73" fillId="0" borderId="79" xfId="0" applyNumberFormat="1" applyFont="1" applyFill="1" applyBorder="1" applyProtection="1">
      <protection locked="0"/>
    </xf>
    <xf numFmtId="3" fontId="73" fillId="0" borderId="40" xfId="0" applyNumberFormat="1" applyFont="1" applyFill="1" applyBorder="1"/>
    <xf numFmtId="3" fontId="73" fillId="0" borderId="73" xfId="0" applyNumberFormat="1" applyFont="1" applyFill="1" applyBorder="1"/>
    <xf numFmtId="4" fontId="75" fillId="0" borderId="73" xfId="0" applyNumberFormat="1" applyFont="1" applyFill="1" applyBorder="1" applyProtection="1"/>
    <xf numFmtId="0" fontId="62" fillId="0" borderId="0" xfId="0" applyFont="1" applyFill="1" applyBorder="1" applyProtection="1"/>
    <xf numFmtId="0" fontId="62" fillId="0" borderId="37" xfId="0" applyFont="1" applyFill="1" applyBorder="1" applyAlignment="1">
      <alignment horizontal="left"/>
    </xf>
    <xf numFmtId="0" fontId="62" fillId="0" borderId="79" xfId="0" applyFont="1" applyFill="1" applyBorder="1" applyAlignment="1">
      <alignment horizontal="left"/>
    </xf>
    <xf numFmtId="4" fontId="62" fillId="0" borderId="73" xfId="0" applyNumberFormat="1" applyFont="1" applyFill="1" applyBorder="1" applyProtection="1"/>
    <xf numFmtId="0" fontId="62" fillId="0" borderId="50" xfId="0" applyFont="1" applyFill="1" applyBorder="1" applyAlignment="1">
      <alignment horizontal="left"/>
    </xf>
    <xf numFmtId="0" fontId="62" fillId="0" borderId="85" xfId="0" applyFont="1" applyFill="1" applyBorder="1" applyAlignment="1">
      <alignment horizontal="left"/>
    </xf>
    <xf numFmtId="0" fontId="62" fillId="0" borderId="66" xfId="0" applyFont="1" applyFill="1" applyBorder="1" applyProtection="1"/>
    <xf numFmtId="0" fontId="62" fillId="0" borderId="66" xfId="0" applyFont="1" applyFill="1" applyBorder="1" applyAlignment="1">
      <alignment horizontal="left"/>
    </xf>
    <xf numFmtId="0" fontId="62" fillId="0" borderId="74" xfId="0" applyFont="1" applyFill="1" applyBorder="1" applyAlignment="1">
      <alignment horizontal="left"/>
    </xf>
    <xf numFmtId="3" fontId="62" fillId="0" borderId="62" xfId="0" applyNumberFormat="1" applyFont="1" applyFill="1" applyBorder="1"/>
    <xf numFmtId="3" fontId="62" fillId="0" borderId="72" xfId="0" applyNumberFormat="1" applyFont="1" applyFill="1" applyBorder="1"/>
    <xf numFmtId="4" fontId="62" fillId="0" borderId="72" xfId="0" applyNumberFormat="1" applyFont="1" applyFill="1" applyBorder="1" applyProtection="1"/>
    <xf numFmtId="0" fontId="75" fillId="0" borderId="18" xfId="0" applyFont="1" applyFill="1" applyBorder="1" applyProtection="1"/>
    <xf numFmtId="0" fontId="75" fillId="0" borderId="37" xfId="0" applyFont="1" applyFill="1" applyBorder="1" applyProtection="1"/>
    <xf numFmtId="0" fontId="75" fillId="0" borderId="37" xfId="0" applyFont="1" applyFill="1" applyBorder="1" applyAlignment="1">
      <alignment horizontal="left"/>
    </xf>
    <xf numFmtId="0" fontId="75" fillId="0" borderId="79" xfId="0" applyFont="1" applyFill="1" applyBorder="1" applyAlignment="1">
      <alignment horizontal="left"/>
    </xf>
    <xf numFmtId="3" fontId="75" fillId="0" borderId="40" xfId="0" applyNumberFormat="1" applyFont="1" applyFill="1" applyBorder="1"/>
    <xf numFmtId="3" fontId="75" fillId="0" borderId="73" xfId="0" applyNumberFormat="1" applyFont="1" applyFill="1" applyBorder="1"/>
    <xf numFmtId="0" fontId="80" fillId="0" borderId="18" xfId="0" applyFont="1" applyFill="1" applyBorder="1"/>
    <xf numFmtId="4" fontId="80" fillId="0" borderId="88" xfId="0" applyNumberFormat="1" applyFont="1" applyFill="1" applyBorder="1" applyProtection="1"/>
    <xf numFmtId="0" fontId="75" fillId="0" borderId="18" xfId="0" applyFont="1" applyFill="1" applyBorder="1"/>
    <xf numFmtId="0" fontId="58" fillId="0" borderId="84" xfId="0" applyFont="1" applyFill="1" applyBorder="1" applyAlignment="1" applyProtection="1">
      <alignment horizontal="left"/>
    </xf>
    <xf numFmtId="3" fontId="58" fillId="0" borderId="19" xfId="0" applyNumberFormat="1" applyFont="1" applyFill="1" applyBorder="1" applyProtection="1"/>
    <xf numFmtId="0" fontId="62" fillId="0" borderId="18" xfId="0" applyFont="1" applyFill="1" applyBorder="1"/>
    <xf numFmtId="0" fontId="81" fillId="0" borderId="0" xfId="0" applyFont="1" applyFill="1" applyBorder="1" applyAlignment="1" applyProtection="1"/>
    <xf numFmtId="3" fontId="80" fillId="0" borderId="50" xfId="0" applyNumberFormat="1" applyFont="1" applyFill="1" applyBorder="1" applyAlignment="1" applyProtection="1"/>
    <xf numFmtId="3" fontId="62" fillId="0" borderId="75" xfId="0" applyNumberFormat="1" applyFont="1" applyFill="1" applyBorder="1" applyProtection="1"/>
    <xf numFmtId="3" fontId="80" fillId="0" borderId="37" xfId="0" applyNumberFormat="1" applyFont="1" applyFill="1" applyBorder="1" applyAlignment="1" applyProtection="1"/>
    <xf numFmtId="0" fontId="62" fillId="0" borderId="79" xfId="0" applyFont="1" applyFill="1" applyBorder="1"/>
    <xf numFmtId="0" fontId="62" fillId="0" borderId="37" xfId="78" applyFont="1" applyFill="1" applyBorder="1" applyAlignment="1">
      <alignment horizontal="left"/>
    </xf>
    <xf numFmtId="0" fontId="62" fillId="0" borderId="37" xfId="78" applyFont="1" applyFill="1" applyBorder="1" applyAlignment="1">
      <alignment horizontal="justify"/>
    </xf>
    <xf numFmtId="3" fontId="62" fillId="0" borderId="73" xfId="0" applyNumberFormat="1" applyFont="1" applyFill="1" applyBorder="1" applyProtection="1"/>
    <xf numFmtId="3" fontId="62" fillId="0" borderId="37" xfId="0" applyNumberFormat="1" applyFont="1" applyFill="1" applyBorder="1" applyProtection="1"/>
    <xf numFmtId="3" fontId="62" fillId="0" borderId="74" xfId="0" applyNumberFormat="1" applyFont="1" applyFill="1" applyBorder="1" applyProtection="1">
      <protection locked="0"/>
    </xf>
    <xf numFmtId="0" fontId="75" fillId="0" borderId="19" xfId="0" applyFont="1" applyFill="1" applyBorder="1"/>
    <xf numFmtId="3" fontId="58" fillId="0" borderId="70" xfId="0" applyNumberFormat="1" applyFont="1" applyFill="1" applyBorder="1" applyProtection="1">
      <protection locked="0"/>
    </xf>
    <xf numFmtId="0" fontId="58" fillId="0" borderId="46" xfId="0" applyFont="1" applyFill="1" applyBorder="1" applyAlignment="1">
      <alignment horizontal="center"/>
    </xf>
    <xf numFmtId="3" fontId="58" fillId="0" borderId="83" xfId="0" applyNumberFormat="1" applyFont="1" applyFill="1" applyBorder="1" applyProtection="1">
      <protection locked="0"/>
    </xf>
    <xf numFmtId="3" fontId="58" fillId="0" borderId="46" xfId="0" applyNumberFormat="1" applyFont="1" applyFill="1" applyBorder="1" applyProtection="1">
      <protection locked="0"/>
    </xf>
    <xf numFmtId="4" fontId="58" fillId="0" borderId="53" xfId="0" applyNumberFormat="1" applyFont="1" applyFill="1" applyBorder="1" applyProtection="1"/>
    <xf numFmtId="0" fontId="58" fillId="0" borderId="18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86" xfId="0" applyFont="1" applyFill="1" applyBorder="1" applyAlignment="1" applyProtection="1">
      <alignment horizontal="left"/>
    </xf>
    <xf numFmtId="3" fontId="58" fillId="0" borderId="69" xfId="0" applyNumberFormat="1" applyFont="1" applyFill="1" applyBorder="1" applyProtection="1">
      <protection locked="0"/>
    </xf>
    <xf numFmtId="3" fontId="58" fillId="0" borderId="0" xfId="0" applyNumberFormat="1" applyFont="1" applyFill="1" applyBorder="1" applyProtection="1">
      <protection locked="0"/>
    </xf>
    <xf numFmtId="4" fontId="58" fillId="0" borderId="86" xfId="0" applyNumberFormat="1" applyFont="1" applyFill="1" applyBorder="1" applyProtection="1"/>
    <xf numFmtId="3" fontId="62" fillId="0" borderId="73" xfId="0" applyNumberFormat="1" applyFont="1" applyFill="1" applyBorder="1" applyProtection="1">
      <protection locked="0"/>
    </xf>
    <xf numFmtId="4" fontId="62" fillId="0" borderId="79" xfId="0" applyNumberFormat="1" applyFont="1" applyFill="1" applyBorder="1" applyProtection="1"/>
    <xf numFmtId="4" fontId="58" fillId="0" borderId="73" xfId="0" applyNumberFormat="1" applyFont="1" applyFill="1" applyBorder="1" applyProtection="1"/>
    <xf numFmtId="0" fontId="62" fillId="0" borderId="66" xfId="78" applyFont="1" applyFill="1" applyBorder="1" applyAlignment="1">
      <alignment horizontal="left"/>
    </xf>
    <xf numFmtId="0" fontId="62" fillId="0" borderId="66" xfId="78" applyFont="1" applyFill="1" applyBorder="1" applyAlignment="1">
      <alignment horizontal="justify"/>
    </xf>
    <xf numFmtId="0" fontId="62" fillId="0" borderId="74" xfId="0" applyFont="1" applyFill="1" applyBorder="1"/>
    <xf numFmtId="3" fontId="62" fillId="0" borderId="72" xfId="0" applyNumberFormat="1" applyFont="1" applyFill="1" applyBorder="1" applyProtection="1"/>
    <xf numFmtId="0" fontId="62" fillId="0" borderId="99" xfId="0" applyFont="1" applyFill="1" applyBorder="1"/>
    <xf numFmtId="0" fontId="81" fillId="0" borderId="92" xfId="0" applyFont="1" applyFill="1" applyBorder="1" applyAlignment="1" applyProtection="1"/>
    <xf numFmtId="4" fontId="62" fillId="0" borderId="116" xfId="0" applyNumberFormat="1" applyFont="1" applyFill="1" applyBorder="1" applyProtection="1"/>
    <xf numFmtId="4" fontId="58" fillId="0" borderId="84" xfId="0" applyNumberFormat="1" applyFont="1" applyFill="1" applyBorder="1" applyProtection="1"/>
    <xf numFmtId="0" fontId="81" fillId="0" borderId="0" xfId="0" applyFont="1" applyFill="1" applyBorder="1" applyAlignment="1" applyProtection="1">
      <alignment horizontal="left"/>
    </xf>
    <xf numFmtId="0" fontId="58" fillId="27" borderId="83" xfId="0" applyFont="1" applyFill="1" applyBorder="1" applyAlignment="1">
      <alignment horizontal="center"/>
    </xf>
    <xf numFmtId="0" fontId="62" fillId="0" borderId="0" xfId="78" applyFont="1" applyFill="1" applyBorder="1" applyAlignment="1">
      <alignment horizontal="left"/>
    </xf>
    <xf numFmtId="0" fontId="62" fillId="0" borderId="86" xfId="0" applyFont="1" applyFill="1" applyBorder="1"/>
    <xf numFmtId="3" fontId="62" fillId="0" borderId="69" xfId="0" applyNumberFormat="1" applyFont="1" applyFill="1" applyBorder="1" applyProtection="1"/>
    <xf numFmtId="0" fontId="62" fillId="0" borderId="50" xfId="0" applyFont="1" applyFill="1" applyBorder="1"/>
    <xf numFmtId="4" fontId="62" fillId="0" borderId="85" xfId="0" applyNumberFormat="1" applyFont="1" applyFill="1" applyBorder="1" applyProtection="1"/>
    <xf numFmtId="0" fontId="58" fillId="0" borderId="37" xfId="0" applyFont="1" applyFill="1" applyBorder="1" applyAlignment="1">
      <alignment horizontal="center"/>
    </xf>
    <xf numFmtId="0" fontId="58" fillId="0" borderId="79" xfId="0" applyFont="1" applyFill="1" applyBorder="1" applyAlignment="1" applyProtection="1">
      <alignment horizontal="left"/>
    </xf>
    <xf numFmtId="3" fontId="58" fillId="0" borderId="73" xfId="0" applyNumberFormat="1" applyFont="1" applyFill="1" applyBorder="1" applyProtection="1">
      <protection locked="0"/>
    </xf>
    <xf numFmtId="3" fontId="58" fillId="0" borderId="37" xfId="0" applyNumberFormat="1" applyFont="1" applyFill="1" applyBorder="1" applyProtection="1">
      <protection locked="0"/>
    </xf>
    <xf numFmtId="4" fontId="58" fillId="0" borderId="79" xfId="0" applyNumberFormat="1" applyFont="1" applyFill="1" applyBorder="1" applyProtection="1"/>
    <xf numFmtId="0" fontId="75" fillId="0" borderId="17" xfId="0" applyFont="1" applyFill="1" applyBorder="1"/>
    <xf numFmtId="0" fontId="75" fillId="0" borderId="22" xfId="0" applyFont="1" applyFill="1" applyBorder="1" applyAlignment="1" applyProtection="1">
      <alignment horizontal="left"/>
    </xf>
    <xf numFmtId="0" fontId="58" fillId="0" borderId="22" xfId="0" applyFont="1" applyFill="1" applyBorder="1" applyAlignment="1" applyProtection="1">
      <alignment horizontal="left"/>
    </xf>
    <xf numFmtId="3" fontId="58" fillId="0" borderId="76" xfId="0" applyNumberFormat="1" applyFont="1" applyFill="1" applyBorder="1" applyProtection="1"/>
    <xf numFmtId="4" fontId="58" fillId="0" borderId="76" xfId="0" applyNumberFormat="1" applyFont="1" applyFill="1" applyBorder="1" applyProtection="1"/>
    <xf numFmtId="0" fontId="75" fillId="0" borderId="0" xfId="0" applyFont="1" applyFill="1" applyBorder="1" applyAlignment="1" applyProtection="1">
      <alignment horizontal="left"/>
    </xf>
    <xf numFmtId="0" fontId="58" fillId="0" borderId="0" xfId="0" applyFont="1" applyFill="1" applyBorder="1" applyAlignment="1" applyProtection="1">
      <alignment horizontal="left"/>
    </xf>
    <xf numFmtId="3" fontId="58" fillId="0" borderId="69" xfId="0" applyNumberFormat="1" applyFont="1" applyFill="1" applyBorder="1" applyProtection="1"/>
    <xf numFmtId="4" fontId="58" fillId="0" borderId="83" xfId="0" applyNumberFormat="1" applyFont="1" applyFill="1" applyBorder="1" applyProtection="1"/>
    <xf numFmtId="3" fontId="58" fillId="0" borderId="75" xfId="0" applyNumberFormat="1" applyFont="1" applyFill="1" applyBorder="1" applyProtection="1"/>
    <xf numFmtId="4" fontId="58" fillId="0" borderId="75" xfId="0" applyNumberFormat="1" applyFont="1" applyFill="1" applyBorder="1" applyProtection="1"/>
    <xf numFmtId="0" fontId="62" fillId="0" borderId="0" xfId="0" applyFont="1" applyFill="1" applyBorder="1" applyAlignment="1">
      <alignment horizontal="left"/>
    </xf>
    <xf numFmtId="3" fontId="80" fillId="0" borderId="75" xfId="0" applyNumberFormat="1" applyFont="1" applyFill="1" applyBorder="1" applyProtection="1">
      <protection locked="0"/>
    </xf>
    <xf numFmtId="4" fontId="80" fillId="0" borderId="73" xfId="0" applyNumberFormat="1" applyFont="1" applyFill="1" applyBorder="1" applyProtection="1"/>
    <xf numFmtId="3" fontId="80" fillId="0" borderId="73" xfId="0" applyNumberFormat="1" applyFont="1" applyFill="1" applyBorder="1" applyProtection="1">
      <protection locked="0"/>
    </xf>
    <xf numFmtId="4" fontId="80" fillId="0" borderId="69" xfId="0" applyNumberFormat="1" applyFont="1" applyFill="1" applyBorder="1" applyProtection="1"/>
    <xf numFmtId="0" fontId="62" fillId="0" borderId="50" xfId="78" applyFont="1" applyFill="1" applyBorder="1" applyAlignment="1">
      <alignment horizontal="left"/>
    </xf>
    <xf numFmtId="0" fontId="62" fillId="0" borderId="37" xfId="0" applyFont="1" applyFill="1" applyBorder="1"/>
    <xf numFmtId="3" fontId="80" fillId="0" borderId="107" xfId="0" applyNumberFormat="1" applyFont="1" applyFill="1" applyBorder="1" applyProtection="1">
      <protection locked="0"/>
    </xf>
    <xf numFmtId="0" fontId="58" fillId="0" borderId="22" xfId="0" applyFont="1" applyFill="1" applyBorder="1" applyAlignment="1">
      <alignment horizontal="center"/>
    </xf>
    <xf numFmtId="3" fontId="58" fillId="0" borderId="76" xfId="0" applyNumberFormat="1" applyFont="1" applyFill="1" applyBorder="1" applyProtection="1">
      <protection locked="0"/>
    </xf>
    <xf numFmtId="4" fontId="75" fillId="0" borderId="76" xfId="0" applyNumberFormat="1" applyFont="1" applyFill="1" applyBorder="1" applyProtection="1"/>
    <xf numFmtId="0" fontId="62" fillId="0" borderId="53" xfId="0" applyFont="1" applyFill="1" applyBorder="1"/>
    <xf numFmtId="0" fontId="62" fillId="0" borderId="83" xfId="0" applyFont="1" applyFill="1" applyBorder="1"/>
    <xf numFmtId="0" fontId="62" fillId="0" borderId="69" xfId="0" applyFont="1" applyFill="1" applyBorder="1"/>
    <xf numFmtId="0" fontId="81" fillId="0" borderId="18" xfId="0" applyFont="1" applyFill="1" applyBorder="1" applyAlignment="1" applyProtection="1">
      <alignment horizontal="left"/>
    </xf>
    <xf numFmtId="0" fontId="62" fillId="0" borderId="0" xfId="0" applyFont="1" applyFill="1" applyBorder="1" applyAlignment="1" applyProtection="1">
      <alignment horizontal="left"/>
    </xf>
    <xf numFmtId="3" fontId="58" fillId="0" borderId="0" xfId="0" applyNumberFormat="1" applyFont="1" applyFill="1" applyBorder="1" applyProtection="1"/>
    <xf numFmtId="3" fontId="62" fillId="0" borderId="75" xfId="0" applyNumberFormat="1" applyFont="1" applyFill="1" applyBorder="1" applyProtection="1">
      <protection locked="0"/>
    </xf>
    <xf numFmtId="0" fontId="62" fillId="0" borderId="37" xfId="0" applyFont="1" applyFill="1" applyBorder="1" applyAlignment="1" applyProtection="1">
      <alignment horizontal="left"/>
    </xf>
    <xf numFmtId="0" fontId="80" fillId="0" borderId="37" xfId="0" applyFont="1" applyFill="1" applyBorder="1" applyAlignment="1" applyProtection="1">
      <alignment horizontal="left"/>
    </xf>
    <xf numFmtId="0" fontId="81" fillId="0" borderId="37" xfId="0" applyFont="1" applyFill="1" applyBorder="1" applyAlignment="1" applyProtection="1">
      <alignment horizontal="left"/>
    </xf>
    <xf numFmtId="3" fontId="58" fillId="0" borderId="37" xfId="0" applyNumberFormat="1" applyFont="1" applyFill="1" applyBorder="1" applyProtection="1"/>
    <xf numFmtId="0" fontId="58" fillId="0" borderId="0" xfId="0" applyFont="1" applyFill="1" applyBorder="1"/>
    <xf numFmtId="4" fontId="80" fillId="0" borderId="75" xfId="0" applyNumberFormat="1" applyFont="1" applyFill="1" applyBorder="1" applyProtection="1"/>
    <xf numFmtId="3" fontId="62" fillId="0" borderId="69" xfId="0" applyNumberFormat="1" applyFont="1" applyFill="1" applyBorder="1" applyProtection="1">
      <protection locked="0"/>
    </xf>
    <xf numFmtId="0" fontId="73" fillId="0" borderId="22" xfId="0" applyFont="1" applyFill="1" applyBorder="1" applyAlignment="1" applyProtection="1">
      <alignment horizontal="left"/>
    </xf>
    <xf numFmtId="3" fontId="75" fillId="0" borderId="76" xfId="0" applyNumberFormat="1" applyFont="1" applyFill="1" applyBorder="1" applyProtection="1">
      <protection locked="0"/>
    </xf>
    <xf numFmtId="3" fontId="58" fillId="0" borderId="53" xfId="0" applyNumberFormat="1" applyFont="1" applyFill="1" applyBorder="1" applyProtection="1"/>
    <xf numFmtId="0" fontId="62" fillId="0" borderId="23" xfId="0" applyFont="1" applyFill="1" applyBorder="1"/>
    <xf numFmtId="0" fontId="81" fillId="0" borderId="46" xfId="0" applyFont="1" applyFill="1" applyBorder="1" applyAlignment="1" applyProtection="1"/>
    <xf numFmtId="3" fontId="80" fillId="0" borderId="119" xfId="0" applyNumberFormat="1" applyFont="1" applyFill="1" applyBorder="1" applyAlignment="1" applyProtection="1"/>
    <xf numFmtId="0" fontId="62" fillId="0" borderId="128" xfId="0" applyFont="1" applyFill="1" applyBorder="1"/>
    <xf numFmtId="3" fontId="62" fillId="0" borderId="108" xfId="0" applyNumberFormat="1" applyFont="1" applyFill="1" applyBorder="1" applyProtection="1"/>
    <xf numFmtId="4" fontId="62" fillId="0" borderId="128" xfId="0" applyNumberFormat="1" applyFont="1" applyFill="1" applyBorder="1" applyProtection="1"/>
    <xf numFmtId="2" fontId="4" fillId="0" borderId="81" xfId="0" applyNumberFormat="1" applyFont="1" applyFill="1" applyBorder="1"/>
    <xf numFmtId="3" fontId="8" fillId="0" borderId="107" xfId="79" applyNumberFormat="1" applyFont="1" applyFill="1" applyBorder="1" applyAlignment="1">
      <alignment horizontal="right" wrapText="1"/>
    </xf>
    <xf numFmtId="0" fontId="15" fillId="0" borderId="83" xfId="0" applyFont="1" applyFill="1" applyBorder="1" applyAlignment="1">
      <alignment horizontal="center"/>
    </xf>
    <xf numFmtId="0" fontId="15" fillId="0" borderId="70" xfId="0" applyFont="1" applyFill="1" applyBorder="1" applyAlignment="1">
      <alignment horizontal="center"/>
    </xf>
    <xf numFmtId="0" fontId="5" fillId="0" borderId="86" xfId="0" applyFont="1" applyBorder="1"/>
    <xf numFmtId="0" fontId="5" fillId="0" borderId="19" xfId="0" applyFont="1" applyBorder="1" applyAlignment="1">
      <alignment horizontal="center"/>
    </xf>
    <xf numFmtId="3" fontId="16" fillId="0" borderId="21" xfId="0" applyNumberFormat="1" applyFont="1" applyBorder="1"/>
    <xf numFmtId="3" fontId="5" fillId="28" borderId="47" xfId="0" applyNumberFormat="1" applyFont="1" applyFill="1" applyBorder="1"/>
    <xf numFmtId="3" fontId="5" fillId="28" borderId="0" xfId="0" applyNumberFormat="1" applyFont="1" applyFill="1" applyBorder="1"/>
    <xf numFmtId="3" fontId="5" fillId="28" borderId="37" xfId="0" applyNumberFormat="1" applyFont="1" applyFill="1" applyBorder="1"/>
    <xf numFmtId="3" fontId="4" fillId="0" borderId="94" xfId="0" applyNumberFormat="1" applyFont="1" applyFill="1" applyBorder="1"/>
    <xf numFmtId="4" fontId="4" fillId="0" borderId="60" xfId="0" applyNumberFormat="1" applyFont="1" applyFill="1" applyBorder="1"/>
    <xf numFmtId="3" fontId="4" fillId="0" borderId="86" xfId="0" applyNumberFormat="1" applyFont="1" applyFill="1" applyBorder="1"/>
    <xf numFmtId="0" fontId="82" fillId="0" borderId="23" xfId="0" applyFont="1" applyBorder="1" applyAlignment="1">
      <alignment horizontal="center"/>
    </xf>
    <xf numFmtId="0" fontId="82" fillId="27" borderId="46" xfId="0" applyFont="1" applyFill="1" applyBorder="1" applyAlignment="1">
      <alignment horizontal="center"/>
    </xf>
    <xf numFmtId="0" fontId="82" fillId="0" borderId="83" xfId="0" applyFont="1" applyBorder="1" applyAlignment="1">
      <alignment horizontal="center"/>
    </xf>
    <xf numFmtId="0" fontId="82" fillId="0" borderId="18" xfId="0" applyFont="1" applyBorder="1" applyAlignment="1">
      <alignment horizontal="center"/>
    </xf>
    <xf numFmtId="0" fontId="82" fillId="0" borderId="91" xfId="0" applyFont="1" applyBorder="1" applyAlignment="1">
      <alignment horizontal="center"/>
    </xf>
    <xf numFmtId="3" fontId="82" fillId="0" borderId="54" xfId="0" applyNumberFormat="1" applyFont="1" applyBorder="1" applyAlignment="1">
      <alignment horizontal="center"/>
    </xf>
    <xf numFmtId="0" fontId="82" fillId="27" borderId="0" xfId="0" applyFont="1" applyFill="1" applyBorder="1" applyAlignment="1">
      <alignment horizontal="center"/>
    </xf>
    <xf numFmtId="0" fontId="82" fillId="0" borderId="70" xfId="0" applyFont="1" applyBorder="1" applyAlignment="1">
      <alignment horizontal="center"/>
    </xf>
    <xf numFmtId="0" fontId="83" fillId="0" borderId="23" xfId="0" applyFont="1" applyBorder="1"/>
    <xf numFmtId="3" fontId="83" fillId="0" borderId="45" xfId="0" applyNumberFormat="1" applyFont="1" applyBorder="1"/>
    <xf numFmtId="2" fontId="83" fillId="0" borderId="27" xfId="0" applyNumberFormat="1" applyFont="1" applyBorder="1"/>
    <xf numFmtId="0" fontId="83" fillId="0" borderId="40" xfId="0" applyFont="1" applyBorder="1"/>
    <xf numFmtId="3" fontId="83" fillId="0" borderId="36" xfId="0" applyNumberFormat="1" applyFont="1" applyBorder="1"/>
    <xf numFmtId="3" fontId="83" fillId="0" borderId="34" xfId="0" applyNumberFormat="1" applyFont="1" applyBorder="1"/>
    <xf numFmtId="2" fontId="83" fillId="0" borderId="68" xfId="0" applyNumberFormat="1" applyFont="1" applyBorder="1"/>
    <xf numFmtId="0" fontId="83" fillId="0" borderId="18" xfId="0" applyFont="1" applyBorder="1"/>
    <xf numFmtId="3" fontId="83" fillId="0" borderId="15" xfId="0" applyNumberFormat="1" applyFont="1" applyBorder="1"/>
    <xf numFmtId="3" fontId="83" fillId="0" borderId="29" xfId="0" applyNumberFormat="1" applyFont="1" applyBorder="1"/>
    <xf numFmtId="2" fontId="83" fillId="0" borderId="59" xfId="0" applyNumberFormat="1" applyFont="1" applyBorder="1"/>
    <xf numFmtId="3" fontId="82" fillId="0" borderId="43" xfId="0" applyNumberFormat="1" applyFont="1" applyBorder="1"/>
    <xf numFmtId="3" fontId="82" fillId="0" borderId="44" xfId="0" applyNumberFormat="1" applyFont="1" applyBorder="1"/>
    <xf numFmtId="2" fontId="82" fillId="0" borderId="54" xfId="0" applyNumberFormat="1" applyFont="1" applyBorder="1"/>
    <xf numFmtId="0" fontId="84" fillId="0" borderId="23" xfId="0" applyFont="1" applyBorder="1" applyAlignment="1">
      <alignment horizontal="center"/>
    </xf>
    <xf numFmtId="3" fontId="82" fillId="0" borderId="45" xfId="0" applyNumberFormat="1" applyFont="1" applyBorder="1"/>
    <xf numFmtId="0" fontId="83" fillId="28" borderId="38" xfId="0" applyFont="1" applyFill="1" applyBorder="1"/>
    <xf numFmtId="3" fontId="83" fillId="28" borderId="51" xfId="0" applyNumberFormat="1" applyFont="1" applyFill="1" applyBorder="1"/>
    <xf numFmtId="3" fontId="83" fillId="28" borderId="15" xfId="0" applyNumberFormat="1" applyFont="1" applyFill="1" applyBorder="1"/>
    <xf numFmtId="4" fontId="83" fillId="28" borderId="59" xfId="0" applyNumberFormat="1" applyFont="1" applyFill="1" applyBorder="1"/>
    <xf numFmtId="3" fontId="83" fillId="28" borderId="40" xfId="0" applyNumberFormat="1" applyFont="1" applyFill="1" applyBorder="1" applyAlignment="1">
      <alignment wrapText="1"/>
    </xf>
    <xf numFmtId="3" fontId="83" fillId="28" borderId="36" xfId="0" applyNumberFormat="1" applyFont="1" applyFill="1" applyBorder="1"/>
    <xf numFmtId="4" fontId="83" fillId="28" borderId="68" xfId="0" applyNumberFormat="1" applyFont="1" applyFill="1" applyBorder="1"/>
    <xf numFmtId="3" fontId="83" fillId="28" borderId="34" xfId="0" applyNumberFormat="1" applyFont="1" applyFill="1" applyBorder="1"/>
    <xf numFmtId="3" fontId="83" fillId="0" borderId="40" xfId="0" applyNumberFormat="1" applyFont="1" applyFill="1" applyBorder="1" applyAlignment="1">
      <alignment wrapText="1"/>
    </xf>
    <xf numFmtId="3" fontId="83" fillId="0" borderId="36" xfId="0" applyNumberFormat="1" applyFont="1" applyFill="1" applyBorder="1"/>
    <xf numFmtId="3" fontId="83" fillId="0" borderId="34" xfId="0" applyNumberFormat="1" applyFont="1" applyFill="1" applyBorder="1"/>
    <xf numFmtId="4" fontId="83" fillId="0" borderId="68" xfId="0" applyNumberFormat="1" applyFont="1" applyFill="1" applyBorder="1"/>
    <xf numFmtId="3" fontId="83" fillId="28" borderId="18" xfId="0" applyNumberFormat="1" applyFont="1" applyFill="1" applyBorder="1" applyAlignment="1">
      <alignment wrapText="1"/>
    </xf>
    <xf numFmtId="0" fontId="82" fillId="0" borderId="26" xfId="0" applyFont="1" applyFill="1" applyBorder="1" applyAlignment="1">
      <alignment horizontal="center"/>
    </xf>
    <xf numFmtId="3" fontId="82" fillId="0" borderId="32" xfId="0" applyNumberFormat="1" applyFont="1" applyFill="1" applyBorder="1"/>
    <xf numFmtId="3" fontId="82" fillId="0" borderId="49" xfId="0" applyNumberFormat="1" applyFont="1" applyFill="1" applyBorder="1"/>
    <xf numFmtId="4" fontId="82" fillId="0" borderId="58" xfId="0" applyNumberFormat="1" applyFont="1" applyFill="1" applyBorder="1"/>
    <xf numFmtId="4" fontId="83" fillId="28" borderId="67" xfId="0" applyNumberFormat="1" applyFont="1" applyFill="1" applyBorder="1"/>
    <xf numFmtId="0" fontId="83" fillId="0" borderId="40" xfId="0" applyFont="1" applyFill="1" applyBorder="1"/>
    <xf numFmtId="3" fontId="83" fillId="0" borderId="73" xfId="0" applyNumberFormat="1" applyFont="1" applyFill="1" applyBorder="1"/>
    <xf numFmtId="2" fontId="83" fillId="0" borderId="67" xfId="0" applyNumberFormat="1" applyFont="1" applyBorder="1"/>
    <xf numFmtId="3" fontId="83" fillId="28" borderId="38" xfId="0" applyNumberFormat="1" applyFont="1" applyFill="1" applyBorder="1" applyAlignment="1">
      <alignment wrapText="1"/>
    </xf>
    <xf numFmtId="3" fontId="83" fillId="0" borderId="38" xfId="0" applyNumberFormat="1" applyFont="1" applyFill="1" applyBorder="1" applyAlignment="1">
      <alignment wrapText="1"/>
    </xf>
    <xf numFmtId="3" fontId="83" fillId="0" borderId="51" xfId="0" applyNumberFormat="1" applyFont="1" applyFill="1" applyBorder="1"/>
    <xf numFmtId="0" fontId="83" fillId="0" borderId="40" xfId="0" applyFont="1" applyFill="1" applyBorder="1" applyAlignment="1">
      <alignment wrapText="1"/>
    </xf>
    <xf numFmtId="0" fontId="83" fillId="0" borderId="38" xfId="0" applyFont="1" applyFill="1" applyBorder="1"/>
    <xf numFmtId="0" fontId="83" fillId="0" borderId="40" xfId="0" applyFont="1" applyFill="1" applyBorder="1" applyAlignment="1">
      <alignment horizontal="justify"/>
    </xf>
    <xf numFmtId="0" fontId="83" fillId="0" borderId="40" xfId="0" applyFont="1" applyFill="1" applyBorder="1" applyAlignment="1">
      <alignment horizontal="justify" wrapText="1"/>
    </xf>
    <xf numFmtId="3" fontId="83" fillId="0" borderId="52" xfId="0" applyNumberFormat="1" applyFont="1" applyFill="1" applyBorder="1"/>
    <xf numFmtId="3" fontId="83" fillId="0" borderId="65" xfId="0" applyNumberFormat="1" applyFont="1" applyFill="1" applyBorder="1"/>
    <xf numFmtId="2" fontId="83" fillId="0" borderId="71" xfId="0" applyNumberFormat="1" applyFont="1" applyBorder="1"/>
    <xf numFmtId="0" fontId="85" fillId="0" borderId="40" xfId="0" applyFont="1" applyFill="1" applyBorder="1" applyAlignment="1">
      <alignment horizontal="justify" wrapText="1"/>
    </xf>
    <xf numFmtId="0" fontId="83" fillId="0" borderId="62" xfId="0" applyFont="1" applyFill="1" applyBorder="1"/>
    <xf numFmtId="0" fontId="83" fillId="0" borderId="62" xfId="0" applyFont="1" applyFill="1" applyBorder="1" applyAlignment="1">
      <alignment wrapText="1"/>
    </xf>
    <xf numFmtId="3" fontId="83" fillId="0" borderId="52" xfId="0" applyNumberFormat="1" applyFont="1" applyBorder="1"/>
    <xf numFmtId="0" fontId="85" fillId="0" borderId="38" xfId="0" applyFont="1" applyFill="1" applyBorder="1" applyAlignment="1">
      <alignment horizontal="justify" wrapText="1"/>
    </xf>
    <xf numFmtId="3" fontId="83" fillId="0" borderId="15" xfId="0" applyNumberFormat="1" applyFont="1" applyFill="1" applyBorder="1"/>
    <xf numFmtId="3" fontId="83" fillId="0" borderId="29" xfId="0" applyNumberFormat="1" applyFont="1" applyFill="1" applyBorder="1"/>
    <xf numFmtId="0" fontId="82" fillId="0" borderId="57" xfId="0" applyFont="1" applyBorder="1" applyAlignment="1">
      <alignment horizontal="center"/>
    </xf>
    <xf numFmtId="3" fontId="82" fillId="0" borderId="55" xfId="0" applyNumberFormat="1" applyFont="1" applyBorder="1"/>
    <xf numFmtId="3" fontId="82" fillId="0" borderId="82" xfId="0" applyNumberFormat="1" applyFont="1" applyBorder="1"/>
    <xf numFmtId="2" fontId="82" fillId="0" borderId="56" xfId="0" applyNumberFormat="1" applyFont="1" applyBorder="1"/>
    <xf numFmtId="0" fontId="84" fillId="0" borderId="23" xfId="0" applyFont="1" applyFill="1" applyBorder="1" applyAlignment="1">
      <alignment horizontal="center"/>
    </xf>
    <xf numFmtId="3" fontId="82" fillId="0" borderId="47" xfId="0" applyNumberFormat="1" applyFont="1" applyBorder="1"/>
    <xf numFmtId="2" fontId="82" fillId="0" borderId="27" xfId="0" applyNumberFormat="1" applyFont="1" applyBorder="1"/>
    <xf numFmtId="0" fontId="83" fillId="0" borderId="41" xfId="0" applyFont="1" applyFill="1" applyBorder="1" applyAlignment="1">
      <alignment horizontal="justify" wrapText="1"/>
    </xf>
    <xf numFmtId="3" fontId="83" fillId="0" borderId="64" xfId="0" applyNumberFormat="1" applyFont="1" applyBorder="1"/>
    <xf numFmtId="3" fontId="83" fillId="0" borderId="35" xfId="0" applyNumberFormat="1" applyFont="1" applyBorder="1"/>
    <xf numFmtId="3" fontId="83" fillId="0" borderId="35" xfId="0" applyNumberFormat="1" applyFont="1" applyFill="1" applyBorder="1"/>
    <xf numFmtId="0" fontId="82" fillId="0" borderId="19" xfId="0" applyFont="1" applyFill="1" applyBorder="1" applyAlignment="1">
      <alignment horizontal="center"/>
    </xf>
    <xf numFmtId="3" fontId="82" fillId="0" borderId="61" xfId="0" applyNumberFormat="1" applyFont="1" applyBorder="1"/>
    <xf numFmtId="2" fontId="82" fillId="0" borderId="28" xfId="0" applyNumberFormat="1" applyFont="1" applyBorder="1"/>
    <xf numFmtId="0" fontId="82" fillId="0" borderId="20" xfId="0" applyFont="1" applyFill="1" applyBorder="1" applyAlignment="1">
      <alignment horizontal="left"/>
    </xf>
    <xf numFmtId="3" fontId="82" fillId="0" borderId="21" xfId="0" applyNumberFormat="1" applyFont="1" applyBorder="1"/>
    <xf numFmtId="3" fontId="82" fillId="0" borderId="48" xfId="0" applyNumberFormat="1" applyFont="1" applyBorder="1"/>
    <xf numFmtId="2" fontId="82" fillId="0" borderId="60" xfId="0" applyNumberFormat="1" applyFont="1" applyBorder="1"/>
    <xf numFmtId="0" fontId="82" fillId="0" borderId="19" xfId="0" applyFont="1" applyFill="1" applyBorder="1" applyAlignment="1">
      <alignment horizontal="left" wrapText="1"/>
    </xf>
    <xf numFmtId="3" fontId="82" fillId="0" borderId="33" xfId="0" applyNumberFormat="1" applyFont="1" applyBorder="1"/>
    <xf numFmtId="0" fontId="83" fillId="0" borderId="0" xfId="0" applyFont="1"/>
    <xf numFmtId="3" fontId="83" fillId="0" borderId="0" xfId="0" applyNumberFormat="1" applyFont="1"/>
    <xf numFmtId="0" fontId="85" fillId="0" borderId="0" xfId="0" applyFont="1" applyFill="1" applyBorder="1"/>
    <xf numFmtId="3" fontId="83" fillId="0" borderId="0" xfId="0" applyNumberFormat="1" applyFont="1" applyFill="1" applyBorder="1" applyAlignment="1">
      <alignment horizontal="right"/>
    </xf>
    <xf numFmtId="0" fontId="82" fillId="0" borderId="23" xfId="0" applyFont="1" applyFill="1" applyBorder="1" applyAlignment="1">
      <alignment horizontal="center"/>
    </xf>
    <xf numFmtId="0" fontId="82" fillId="27" borderId="83" xfId="0" applyFont="1" applyFill="1" applyBorder="1" applyAlignment="1">
      <alignment horizontal="center"/>
    </xf>
    <xf numFmtId="0" fontId="82" fillId="0" borderId="53" xfId="0" applyFont="1" applyBorder="1" applyAlignment="1">
      <alignment horizontal="center"/>
    </xf>
    <xf numFmtId="0" fontId="82" fillId="27" borderId="70" xfId="0" applyFont="1" applyFill="1" applyBorder="1" applyAlignment="1">
      <alignment horizontal="center"/>
    </xf>
    <xf numFmtId="0" fontId="82" fillId="0" borderId="86" xfId="0" applyFont="1" applyBorder="1" applyAlignment="1">
      <alignment horizontal="center"/>
    </xf>
    <xf numFmtId="0" fontId="83" fillId="0" borderId="23" xfId="0" applyFont="1" applyFill="1" applyBorder="1"/>
    <xf numFmtId="3" fontId="83" fillId="0" borderId="83" xfId="0" applyNumberFormat="1" applyFont="1" applyFill="1" applyBorder="1"/>
    <xf numFmtId="0" fontId="83" fillId="0" borderId="19" xfId="0" applyFont="1" applyFill="1" applyBorder="1"/>
    <xf numFmtId="3" fontId="83" fillId="0" borderId="69" xfId="0" applyNumberFormat="1" applyFont="1" applyFill="1" applyBorder="1"/>
    <xf numFmtId="2" fontId="83" fillId="0" borderId="28" xfId="0" applyNumberFormat="1" applyFont="1" applyBorder="1"/>
    <xf numFmtId="0" fontId="82" fillId="0" borderId="20" xfId="0" applyFont="1" applyFill="1" applyBorder="1"/>
    <xf numFmtId="3" fontId="82" fillId="0" borderId="77" xfId="0" applyNumberFormat="1" applyFont="1" applyFill="1" applyBorder="1"/>
    <xf numFmtId="0" fontId="82" fillId="0" borderId="18" xfId="0" applyFont="1" applyFill="1" applyBorder="1"/>
    <xf numFmtId="3" fontId="82" fillId="0" borderId="0" xfId="0" applyNumberFormat="1" applyFont="1" applyFill="1" applyBorder="1"/>
    <xf numFmtId="0" fontId="82" fillId="0" borderId="0" xfId="0" applyFont="1" applyFill="1" applyBorder="1"/>
    <xf numFmtId="3" fontId="82" fillId="0" borderId="86" xfId="0" applyNumberFormat="1" applyFont="1" applyFill="1" applyBorder="1"/>
    <xf numFmtId="0" fontId="82" fillId="0" borderId="20" xfId="0" applyFont="1" applyFill="1" applyBorder="1" applyAlignment="1">
      <alignment wrapText="1"/>
    </xf>
    <xf numFmtId="3" fontId="82" fillId="0" borderId="60" xfId="0" applyNumberFormat="1" applyFont="1" applyFill="1" applyBorder="1"/>
    <xf numFmtId="3" fontId="60" fillId="0" borderId="15" xfId="78" applyNumberFormat="1" applyFont="1" applyFill="1" applyBorder="1"/>
    <xf numFmtId="2" fontId="60" fillId="0" borderId="59" xfId="78" applyNumberFormat="1" applyFont="1" applyBorder="1"/>
    <xf numFmtId="3" fontId="60" fillId="0" borderId="36" xfId="78" applyNumberFormat="1" applyFont="1" applyFill="1" applyBorder="1"/>
    <xf numFmtId="2" fontId="60" fillId="0" borderId="68" xfId="78" applyNumberFormat="1" applyFont="1" applyBorder="1"/>
    <xf numFmtId="3" fontId="35" fillId="0" borderId="50" xfId="0" applyNumberFormat="1" applyFont="1" applyFill="1" applyBorder="1" applyAlignment="1">
      <alignment horizontal="justify"/>
    </xf>
    <xf numFmtId="3" fontId="60" fillId="0" borderId="36" xfId="78" applyNumberFormat="1" applyFont="1" applyFill="1" applyBorder="1" applyAlignment="1">
      <alignment horizontal="right"/>
    </xf>
    <xf numFmtId="3" fontId="60" fillId="0" borderId="15" xfId="78" applyNumberFormat="1" applyFont="1" applyFill="1" applyBorder="1" applyAlignment="1">
      <alignment horizontal="right"/>
    </xf>
    <xf numFmtId="3" fontId="60" fillId="0" borderId="52" xfId="78" applyNumberFormat="1" applyFont="1" applyFill="1" applyBorder="1" applyAlignment="1">
      <alignment horizontal="right"/>
    </xf>
    <xf numFmtId="0" fontId="60" fillId="0" borderId="50" xfId="78" applyFont="1" applyFill="1" applyBorder="1" applyAlignment="1">
      <alignment horizontal="left" wrapText="1"/>
    </xf>
    <xf numFmtId="0" fontId="60" fillId="0" borderId="66" xfId="78" applyFont="1" applyFill="1" applyBorder="1" applyAlignment="1">
      <alignment horizontal="left"/>
    </xf>
    <xf numFmtId="0" fontId="60" fillId="0" borderId="37" xfId="78" applyFont="1" applyFill="1" applyBorder="1" applyAlignment="1">
      <alignment horizontal="left"/>
    </xf>
    <xf numFmtId="0" fontId="62" fillId="0" borderId="37" xfId="78" applyFont="1" applyFill="1" applyBorder="1" applyAlignment="1">
      <alignment horizontal="left"/>
    </xf>
    <xf numFmtId="0" fontId="62" fillId="0" borderId="37" xfId="0" applyFont="1" applyFill="1" applyBorder="1" applyAlignment="1">
      <alignment horizontal="left"/>
    </xf>
    <xf numFmtId="4" fontId="5" fillId="0" borderId="69" xfId="0" applyNumberFormat="1" applyFont="1" applyFill="1" applyBorder="1" applyAlignment="1">
      <alignment horizontal="right"/>
    </xf>
    <xf numFmtId="3" fontId="8" fillId="0" borderId="72" xfId="79" applyNumberFormat="1" applyFont="1" applyFill="1" applyBorder="1" applyAlignment="1">
      <alignment horizontal="justify" wrapText="1"/>
    </xf>
    <xf numFmtId="4" fontId="5" fillId="0" borderId="72" xfId="0" applyNumberFormat="1" applyFont="1" applyFill="1" applyBorder="1" applyAlignment="1">
      <alignment horizontal="right"/>
    </xf>
    <xf numFmtId="3" fontId="5" fillId="0" borderId="107" xfId="0" applyNumberFormat="1" applyFont="1" applyFill="1" applyBorder="1" applyAlignment="1">
      <alignment horizontal="right"/>
    </xf>
    <xf numFmtId="3" fontId="5" fillId="0" borderId="69" xfId="0" applyNumberFormat="1" applyFont="1" applyFill="1" applyBorder="1" applyAlignment="1">
      <alignment horizontal="justify"/>
    </xf>
    <xf numFmtId="3" fontId="8" fillId="0" borderId="72" xfId="79" applyNumberFormat="1" applyFont="1" applyFill="1" applyBorder="1" applyAlignment="1">
      <alignment horizontal="right" wrapText="1"/>
    </xf>
    <xf numFmtId="3" fontId="62" fillId="0" borderId="70" xfId="0" applyNumberFormat="1" applyFont="1" applyFill="1" applyBorder="1" applyProtection="1"/>
    <xf numFmtId="3" fontId="62" fillId="0" borderId="107" xfId="0" applyNumberFormat="1" applyFont="1" applyFill="1" applyBorder="1" applyProtection="1"/>
    <xf numFmtId="0" fontId="58" fillId="0" borderId="18" xfId="0" applyFont="1" applyFill="1" applyBorder="1" applyProtection="1"/>
    <xf numFmtId="3" fontId="58" fillId="0" borderId="50" xfId="0" applyNumberFormat="1" applyFont="1" applyFill="1" applyBorder="1"/>
    <xf numFmtId="0" fontId="58" fillId="0" borderId="37" xfId="0" applyFont="1" applyFill="1" applyBorder="1" applyProtection="1"/>
    <xf numFmtId="3" fontId="58" fillId="0" borderId="79" xfId="0" applyNumberFormat="1" applyFont="1" applyFill="1" applyBorder="1" applyProtection="1">
      <protection locked="0"/>
    </xf>
    <xf numFmtId="3" fontId="58" fillId="0" borderId="38" xfId="0" applyNumberFormat="1" applyFont="1" applyFill="1" applyBorder="1"/>
    <xf numFmtId="3" fontId="86" fillId="0" borderId="0" xfId="0" applyNumberFormat="1" applyFont="1"/>
    <xf numFmtId="0" fontId="86" fillId="0" borderId="0" xfId="0" applyFont="1"/>
    <xf numFmtId="0" fontId="62" fillId="0" borderId="16" xfId="0" applyFont="1" applyFill="1" applyBorder="1" applyAlignment="1" applyProtection="1">
      <alignment horizontal="left"/>
    </xf>
    <xf numFmtId="0" fontId="62" fillId="0" borderId="84" xfId="0" applyFont="1" applyFill="1" applyBorder="1" applyAlignment="1" applyProtection="1">
      <alignment horizontal="left"/>
    </xf>
    <xf numFmtId="3" fontId="62" fillId="0" borderId="19" xfId="0" applyNumberFormat="1" applyFont="1" applyFill="1" applyBorder="1" applyProtection="1"/>
    <xf numFmtId="3" fontId="62" fillId="0" borderId="16" xfId="0" applyNumberFormat="1" applyFont="1" applyFill="1" applyBorder="1" applyProtection="1"/>
    <xf numFmtId="0" fontId="62" fillId="0" borderId="79" xfId="0" applyFont="1" applyFill="1" applyBorder="1" applyAlignment="1" applyProtection="1">
      <alignment horizontal="left"/>
    </xf>
    <xf numFmtId="3" fontId="62" fillId="0" borderId="40" xfId="0" applyNumberFormat="1" applyFont="1" applyFill="1" applyBorder="1" applyProtection="1"/>
    <xf numFmtId="0" fontId="73" fillId="0" borderId="122" xfId="0" applyFont="1" applyFill="1" applyBorder="1" applyProtection="1"/>
    <xf numFmtId="4" fontId="75" fillId="0" borderId="88" xfId="0" applyNumberFormat="1" applyFont="1" applyFill="1" applyBorder="1" applyProtection="1"/>
    <xf numFmtId="0" fontId="58" fillId="0" borderId="94" xfId="0" applyFont="1" applyFill="1" applyBorder="1" applyAlignment="1">
      <alignment horizontal="left"/>
    </xf>
    <xf numFmtId="0" fontId="58" fillId="0" borderId="94" xfId="0" applyFont="1" applyFill="1" applyBorder="1" applyAlignment="1" applyProtection="1">
      <alignment horizontal="left"/>
    </xf>
    <xf numFmtId="0" fontId="58" fillId="0" borderId="81" xfId="0" applyFont="1" applyFill="1" applyBorder="1" applyAlignment="1" applyProtection="1">
      <alignment horizontal="left"/>
    </xf>
    <xf numFmtId="3" fontId="58" fillId="0" borderId="20" xfId="0" applyNumberFormat="1" applyFont="1" applyFill="1" applyBorder="1" applyProtection="1"/>
    <xf numFmtId="3" fontId="58" fillId="0" borderId="77" xfId="0" applyNumberFormat="1" applyFont="1" applyFill="1" applyBorder="1" applyProtection="1"/>
    <xf numFmtId="3" fontId="58" fillId="0" borderId="94" xfId="0" applyNumberFormat="1" applyFont="1" applyFill="1" applyBorder="1" applyProtection="1"/>
    <xf numFmtId="4" fontId="75" fillId="0" borderId="69" xfId="0" applyNumberFormat="1" applyFont="1" applyFill="1" applyBorder="1" applyProtection="1"/>
    <xf numFmtId="0" fontId="79" fillId="0" borderId="16" xfId="0" applyFont="1" applyFill="1" applyBorder="1" applyAlignment="1" applyProtection="1">
      <alignment horizontal="left"/>
    </xf>
    <xf numFmtId="0" fontId="62" fillId="0" borderId="16" xfId="0" applyFont="1" applyFill="1" applyBorder="1" applyProtection="1"/>
    <xf numFmtId="3" fontId="62" fillId="0" borderId="88" xfId="0" applyNumberFormat="1" applyFont="1" applyFill="1" applyBorder="1"/>
    <xf numFmtId="4" fontId="62" fillId="0" borderId="84" xfId="0" applyNumberFormat="1" applyFont="1" applyFill="1" applyBorder="1" applyProtection="1"/>
    <xf numFmtId="0" fontId="75" fillId="0" borderId="20" xfId="0" applyFont="1" applyFill="1" applyBorder="1"/>
    <xf numFmtId="0" fontId="73" fillId="0" borderId="94" xfId="0" applyFont="1" applyFill="1" applyBorder="1" applyAlignment="1" applyProtection="1">
      <alignment horizontal="left"/>
    </xf>
    <xf numFmtId="3" fontId="58" fillId="0" borderId="77" xfId="0" applyNumberFormat="1" applyFont="1" applyFill="1" applyBorder="1" applyProtection="1">
      <protection locked="0"/>
    </xf>
    <xf numFmtId="4" fontId="58" fillId="0" borderId="81" xfId="0" applyNumberFormat="1" applyFont="1" applyFill="1" applyBorder="1" applyProtection="1"/>
    <xf numFmtId="49" fontId="83" fillId="0" borderId="40" xfId="0" applyNumberFormat="1" applyFont="1" applyFill="1" applyBorder="1"/>
    <xf numFmtId="49" fontId="83" fillId="0" borderId="62" xfId="0" applyNumberFormat="1" applyFont="1" applyFill="1" applyBorder="1" applyAlignment="1">
      <alignment horizontal="justify" wrapText="1"/>
    </xf>
    <xf numFmtId="0" fontId="5" fillId="28" borderId="41" xfId="0" applyFont="1" applyFill="1" applyBorder="1" applyAlignment="1"/>
    <xf numFmtId="0" fontId="71" fillId="28" borderId="96" xfId="0" applyFont="1" applyFill="1" applyBorder="1" applyAlignment="1"/>
    <xf numFmtId="0" fontId="71" fillId="28" borderId="129" xfId="0" applyFont="1" applyFill="1" applyBorder="1" applyAlignment="1"/>
    <xf numFmtId="3" fontId="5" fillId="28" borderId="35" xfId="0" applyNumberFormat="1" applyFont="1" applyFill="1" applyBorder="1" applyProtection="1">
      <protection locked="0"/>
    </xf>
    <xf numFmtId="2" fontId="5" fillId="28" borderId="110" xfId="0" applyNumberFormat="1" applyFont="1" applyFill="1" applyBorder="1"/>
    <xf numFmtId="0" fontId="5" fillId="0" borderId="66" xfId="0" applyFont="1" applyFill="1" applyBorder="1" applyAlignment="1">
      <alignment horizontal="left"/>
    </xf>
    <xf numFmtId="3" fontId="34" fillId="0" borderId="72" xfId="0" applyNumberFormat="1" applyFont="1" applyFill="1" applyBorder="1" applyAlignment="1">
      <alignment horizontal="right"/>
    </xf>
    <xf numFmtId="4" fontId="9" fillId="0" borderId="72" xfId="78" applyNumberFormat="1" applyFont="1" applyFill="1" applyBorder="1" applyAlignment="1">
      <alignment horizontal="right"/>
    </xf>
    <xf numFmtId="0" fontId="37" fillId="0" borderId="24" xfId="78" applyFont="1" applyFill="1" applyBorder="1" applyAlignment="1">
      <alignment horizontal="left"/>
    </xf>
    <xf numFmtId="3" fontId="56" fillId="0" borderId="78" xfId="0" applyNumberFormat="1" applyFont="1" applyFill="1" applyBorder="1" applyAlignment="1">
      <alignment horizontal="right"/>
    </xf>
    <xf numFmtId="4" fontId="6" fillId="0" borderId="78" xfId="78" applyNumberFormat="1" applyFont="1" applyFill="1" applyBorder="1" applyAlignment="1">
      <alignment horizontal="right"/>
    </xf>
    <xf numFmtId="3" fontId="5" fillId="0" borderId="72" xfId="78" applyNumberFormat="1" applyFont="1" applyFill="1" applyBorder="1" applyAlignment="1">
      <alignment horizontal="right"/>
    </xf>
    <xf numFmtId="4" fontId="5" fillId="0" borderId="72" xfId="78" applyNumberFormat="1" applyFont="1" applyFill="1" applyBorder="1" applyAlignment="1">
      <alignment horizontal="right"/>
    </xf>
    <xf numFmtId="0" fontId="4" fillId="0" borderId="105" xfId="78" applyFont="1" applyFill="1" applyBorder="1" applyAlignment="1">
      <alignment horizontal="justify"/>
    </xf>
    <xf numFmtId="3" fontId="14" fillId="0" borderId="130" xfId="0" applyNumberFormat="1" applyFont="1" applyFill="1" applyBorder="1" applyAlignment="1">
      <alignment horizontal="right"/>
    </xf>
    <xf numFmtId="0" fontId="5" fillId="0" borderId="96" xfId="0" applyFont="1" applyFill="1" applyBorder="1" applyAlignment="1">
      <alignment wrapText="1"/>
    </xf>
    <xf numFmtId="3" fontId="34" fillId="0" borderId="107" xfId="0" applyNumberFormat="1" applyFont="1" applyFill="1" applyBorder="1" applyAlignment="1">
      <alignment horizontal="right"/>
    </xf>
    <xf numFmtId="3" fontId="36" fillId="0" borderId="15" xfId="78" applyNumberFormat="1" applyFont="1" applyFill="1" applyBorder="1"/>
    <xf numFmtId="0" fontId="36" fillId="0" borderId="18" xfId="78" applyFont="1" applyBorder="1" applyAlignment="1">
      <alignment horizontal="right"/>
    </xf>
    <xf numFmtId="0" fontId="36" fillId="0" borderId="0" xfId="78" applyFont="1" applyBorder="1"/>
    <xf numFmtId="2" fontId="36" fillId="0" borderId="110" xfId="78" applyNumberFormat="1" applyFont="1" applyBorder="1"/>
    <xf numFmtId="0" fontId="16" fillId="0" borderId="0" xfId="78" applyFont="1"/>
    <xf numFmtId="0" fontId="60" fillId="0" borderId="50" xfId="78" applyFont="1" applyFill="1" applyBorder="1"/>
    <xf numFmtId="3" fontId="35" fillId="0" borderId="0" xfId="78" applyNumberFormat="1" applyFont="1" applyFill="1"/>
    <xf numFmtId="0" fontId="9" fillId="0" borderId="18" xfId="0" applyFont="1" applyFill="1" applyBorder="1" applyAlignment="1">
      <alignment horizontal="justify"/>
    </xf>
    <xf numFmtId="3" fontId="58" fillId="0" borderId="23" xfId="0" applyNumberFormat="1" applyFont="1" applyFill="1" applyBorder="1" applyProtection="1"/>
    <xf numFmtId="3" fontId="62" fillId="0" borderId="109" xfId="0" applyNumberFormat="1" applyFont="1" applyFill="1" applyBorder="1" applyProtection="1"/>
    <xf numFmtId="3" fontId="62" fillId="0" borderId="38" xfId="0" applyNumberFormat="1" applyFont="1" applyFill="1" applyBorder="1" applyProtection="1"/>
    <xf numFmtId="3" fontId="62" fillId="0" borderId="131" xfId="0" applyNumberFormat="1" applyFont="1" applyFill="1" applyBorder="1"/>
    <xf numFmtId="3" fontId="58" fillId="0" borderId="75" xfId="0" applyNumberFormat="1" applyFont="1" applyFill="1" applyBorder="1"/>
    <xf numFmtId="3" fontId="58" fillId="0" borderId="70" xfId="0" applyNumberFormat="1" applyFont="1" applyFill="1" applyBorder="1" applyProtection="1"/>
    <xf numFmtId="0" fontId="62" fillId="0" borderId="37" xfId="78" applyFont="1" applyFill="1" applyBorder="1" applyAlignment="1">
      <alignment horizontal="left"/>
    </xf>
    <xf numFmtId="3" fontId="61" fillId="0" borderId="0" xfId="0" applyNumberFormat="1" applyFont="1" applyFill="1"/>
    <xf numFmtId="3" fontId="15" fillId="0" borderId="0" xfId="0" applyNumberFormat="1" applyFont="1" applyFill="1" applyBorder="1"/>
    <xf numFmtId="3" fontId="15" fillId="0" borderId="0" xfId="0" applyNumberFormat="1" applyFont="1" applyFill="1"/>
    <xf numFmtId="3" fontId="34" fillId="0" borderId="73" xfId="0" applyNumberFormat="1" applyFont="1" applyFill="1" applyBorder="1" applyAlignment="1">
      <alignment horizontal="justify"/>
    </xf>
    <xf numFmtId="0" fontId="14" fillId="0" borderId="77" xfId="0" applyFont="1" applyFill="1" applyBorder="1" applyAlignment="1">
      <alignment horizontal="justify"/>
    </xf>
    <xf numFmtId="3" fontId="34" fillId="0" borderId="40" xfId="0" applyNumberFormat="1" applyFont="1" applyFill="1" applyBorder="1" applyAlignment="1">
      <alignment horizontal="justify"/>
    </xf>
    <xf numFmtId="3" fontId="5" fillId="0" borderId="38" xfId="0" applyNumberFormat="1" applyFont="1" applyFill="1" applyBorder="1"/>
    <xf numFmtId="3" fontId="16" fillId="0" borderId="20" xfId="0" applyNumberFormat="1" applyFont="1" applyFill="1" applyBorder="1"/>
    <xf numFmtId="0" fontId="9" fillId="28" borderId="73" xfId="0" applyFont="1" applyFill="1" applyBorder="1"/>
    <xf numFmtId="0" fontId="9" fillId="0" borderId="73" xfId="0" applyFont="1" applyFill="1" applyBorder="1"/>
    <xf numFmtId="3" fontId="5" fillId="0" borderId="40" xfId="0" applyNumberFormat="1" applyFont="1" applyFill="1" applyBorder="1" applyAlignment="1">
      <alignment horizontal="right"/>
    </xf>
    <xf numFmtId="3" fontId="9" fillId="0" borderId="73" xfId="0" applyNumberFormat="1" applyFont="1" applyFill="1" applyBorder="1"/>
    <xf numFmtId="3" fontId="4" fillId="0" borderId="20" xfId="0" applyNumberFormat="1" applyFont="1" applyFill="1" applyBorder="1"/>
    <xf numFmtId="0" fontId="9" fillId="0" borderId="37" xfId="78" applyFont="1" applyFill="1" applyBorder="1" applyAlignment="1">
      <alignment horizontal="left" wrapText="1"/>
    </xf>
    <xf numFmtId="0" fontId="62" fillId="0" borderId="37" xfId="78" applyFont="1" applyFill="1" applyBorder="1" applyAlignment="1">
      <alignment horizontal="left"/>
    </xf>
    <xf numFmtId="0" fontId="74" fillId="0" borderId="0" xfId="0" applyFont="1" applyFill="1"/>
    <xf numFmtId="3" fontId="80" fillId="0" borderId="69" xfId="0" applyNumberFormat="1" applyFont="1" applyFill="1" applyBorder="1" applyProtection="1">
      <protection locked="0"/>
    </xf>
    <xf numFmtId="3" fontId="80" fillId="0" borderId="72" xfId="0" applyNumberFormat="1" applyFont="1" applyFill="1" applyBorder="1" applyProtection="1">
      <protection locked="0"/>
    </xf>
    <xf numFmtId="0" fontId="5" fillId="0" borderId="37" xfId="78" applyFont="1" applyFill="1" applyBorder="1" applyAlignment="1">
      <alignment horizontal="left" wrapText="1"/>
    </xf>
    <xf numFmtId="4" fontId="5" fillId="0" borderId="69" xfId="78" applyNumberFormat="1" applyFont="1" applyFill="1" applyBorder="1" applyAlignment="1">
      <alignment horizontal="right"/>
    </xf>
    <xf numFmtId="0" fontId="62" fillId="0" borderId="37" xfId="78" applyFont="1" applyFill="1" applyBorder="1" applyAlignment="1">
      <alignment horizontal="left"/>
    </xf>
    <xf numFmtId="4" fontId="5" fillId="0" borderId="107" xfId="78" applyNumberFormat="1" applyFont="1" applyFill="1" applyBorder="1" applyAlignment="1">
      <alignment horizontal="right"/>
    </xf>
    <xf numFmtId="3" fontId="62" fillId="29" borderId="36" xfId="0" applyNumberFormat="1" applyFont="1" applyFill="1" applyBorder="1"/>
    <xf numFmtId="4" fontId="62" fillId="29" borderId="67" xfId="0" applyNumberFormat="1" applyFont="1" applyFill="1" applyBorder="1" applyAlignment="1">
      <alignment horizontal="right"/>
    </xf>
    <xf numFmtId="2" fontId="83" fillId="0" borderId="110" xfId="0" applyNumberFormat="1" applyFont="1" applyBorder="1"/>
    <xf numFmtId="2" fontId="9" fillId="0" borderId="27" xfId="0" applyNumberFormat="1" applyFont="1" applyFill="1" applyBorder="1"/>
    <xf numFmtId="2" fontId="9" fillId="0" borderId="68" xfId="0" applyNumberFormat="1" applyFont="1" applyFill="1" applyBorder="1"/>
    <xf numFmtId="2" fontId="9" fillId="0" borderId="67" xfId="0" applyNumberFormat="1" applyFont="1" applyFill="1" applyBorder="1"/>
    <xf numFmtId="2" fontId="9" fillId="0" borderId="121" xfId="0" applyNumberFormat="1" applyFont="1" applyFill="1" applyBorder="1"/>
    <xf numFmtId="0" fontId="5" fillId="0" borderId="130" xfId="0" applyFont="1" applyFill="1" applyBorder="1" applyAlignment="1">
      <alignment wrapText="1"/>
    </xf>
    <xf numFmtId="0" fontId="37" fillId="0" borderId="92" xfId="78" applyFont="1" applyFill="1" applyBorder="1" applyAlignment="1">
      <alignment horizontal="left"/>
    </xf>
    <xf numFmtId="3" fontId="5" fillId="0" borderId="116" xfId="78" applyNumberFormat="1" applyFont="1" applyFill="1" applyBorder="1" applyAlignment="1">
      <alignment horizontal="right"/>
    </xf>
    <xf numFmtId="0" fontId="9" fillId="0" borderId="96" xfId="78" applyFont="1" applyFill="1" applyBorder="1" applyAlignment="1">
      <alignment horizontal="left" wrapText="1"/>
    </xf>
    <xf numFmtId="3" fontId="5" fillId="0" borderId="107" xfId="78" applyNumberFormat="1" applyFont="1" applyFill="1" applyBorder="1" applyAlignment="1">
      <alignment horizontal="right"/>
    </xf>
    <xf numFmtId="3" fontId="5" fillId="0" borderId="29" xfId="0" applyNumberFormat="1" applyFont="1" applyFill="1" applyBorder="1" applyAlignment="1"/>
    <xf numFmtId="3" fontId="60" fillId="0" borderId="0" xfId="78" applyNumberFormat="1" applyFont="1" applyFill="1"/>
    <xf numFmtId="0" fontId="9" fillId="0" borderId="0" xfId="78" applyFont="1"/>
    <xf numFmtId="3" fontId="9" fillId="0" borderId="0" xfId="78" applyNumberFormat="1" applyFont="1"/>
    <xf numFmtId="0" fontId="9" fillId="0" borderId="16" xfId="78" applyFont="1" applyFill="1" applyBorder="1" applyAlignment="1">
      <alignment horizontal="justify"/>
    </xf>
    <xf numFmtId="0" fontId="9" fillId="0" borderId="0" xfId="78" applyFont="1" applyAlignment="1">
      <alignment horizontal="right"/>
    </xf>
    <xf numFmtId="0" fontId="36" fillId="27" borderId="45" xfId="0" applyFont="1" applyFill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36" fillId="0" borderId="18" xfId="78" applyFont="1" applyBorder="1" applyAlignment="1">
      <alignment horizontal="center"/>
    </xf>
    <xf numFmtId="0" fontId="36" fillId="0" borderId="0" xfId="78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3" fontId="36" fillId="0" borderId="43" xfId="0" applyNumberFormat="1" applyFont="1" applyBorder="1" applyAlignment="1">
      <alignment horizontal="center"/>
    </xf>
    <xf numFmtId="0" fontId="36" fillId="27" borderId="61" xfId="0" applyFont="1" applyFill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6" fillId="0" borderId="23" xfId="78" applyFont="1" applyBorder="1" applyAlignment="1">
      <alignment horizontal="right"/>
    </xf>
    <xf numFmtId="0" fontId="36" fillId="0" borderId="46" xfId="78" applyFont="1" applyBorder="1"/>
    <xf numFmtId="3" fontId="60" fillId="0" borderId="15" xfId="78" applyNumberFormat="1" applyFont="1" applyFill="1" applyBorder="1" applyAlignment="1">
      <alignment horizontal="center"/>
    </xf>
    <xf numFmtId="3" fontId="60" fillId="0" borderId="15" xfId="78" applyNumberFormat="1" applyFont="1" applyBorder="1"/>
    <xf numFmtId="0" fontId="60" fillId="0" borderId="18" xfId="78" applyFont="1" applyBorder="1" applyAlignment="1">
      <alignment horizontal="right"/>
    </xf>
    <xf numFmtId="3" fontId="60" fillId="0" borderId="52" xfId="78" applyNumberFormat="1" applyFont="1" applyFill="1" applyBorder="1"/>
    <xf numFmtId="0" fontId="60" fillId="0" borderId="66" xfId="78" applyFont="1" applyFill="1" applyBorder="1" applyAlignment="1">
      <alignment horizontal="justify"/>
    </xf>
    <xf numFmtId="0" fontId="60" fillId="0" borderId="37" xfId="78" applyFont="1" applyFill="1" applyBorder="1"/>
    <xf numFmtId="0" fontId="60" fillId="0" borderId="37" xfId="78" applyFont="1" applyFill="1" applyBorder="1" applyAlignment="1">
      <alignment horizontal="justify"/>
    </xf>
    <xf numFmtId="2" fontId="60" fillId="0" borderId="79" xfId="78" applyNumberFormat="1" applyFont="1" applyBorder="1"/>
    <xf numFmtId="0" fontId="60" fillId="0" borderId="37" xfId="78" applyFont="1" applyFill="1" applyBorder="1" applyAlignment="1">
      <alignment wrapText="1"/>
    </xf>
    <xf numFmtId="0" fontId="60" fillId="0" borderId="0" xfId="78" applyFont="1" applyFill="1" applyBorder="1" applyAlignment="1">
      <alignment horizontal="justify"/>
    </xf>
    <xf numFmtId="2" fontId="60" fillId="0" borderId="86" xfId="78" applyNumberFormat="1" applyFont="1" applyBorder="1"/>
    <xf numFmtId="0" fontId="36" fillId="0" borderId="26" xfId="78" applyFont="1" applyBorder="1" applyAlignment="1">
      <alignment horizontal="right"/>
    </xf>
    <xf numFmtId="0" fontId="36" fillId="0" borderId="24" xfId="78" applyFont="1" applyBorder="1" applyAlignment="1">
      <alignment horizontal="center"/>
    </xf>
    <xf numFmtId="3" fontId="36" fillId="0" borderId="32" xfId="78" applyNumberFormat="1" applyFont="1" applyFill="1" applyBorder="1"/>
    <xf numFmtId="2" fontId="36" fillId="0" borderId="89" xfId="78" applyNumberFormat="1" applyFont="1" applyBorder="1"/>
    <xf numFmtId="0" fontId="36" fillId="0" borderId="112" xfId="78" applyFont="1" applyBorder="1" applyAlignment="1">
      <alignment horizontal="right"/>
    </xf>
    <xf numFmtId="0" fontId="36" fillId="0" borderId="113" xfId="78" applyFont="1" applyBorder="1"/>
    <xf numFmtId="3" fontId="36" fillId="0" borderId="114" xfId="78" applyNumberFormat="1" applyFont="1" applyFill="1" applyBorder="1"/>
    <xf numFmtId="2" fontId="36" fillId="0" borderId="115" xfId="78" applyNumberFormat="1" applyFont="1" applyBorder="1"/>
    <xf numFmtId="0" fontId="60" fillId="0" borderId="0" xfId="78" applyFont="1" applyFill="1" applyBorder="1" applyAlignment="1">
      <alignment horizontal="left" wrapText="1"/>
    </xf>
    <xf numFmtId="3" fontId="36" fillId="0" borderId="58" xfId="78" applyNumberFormat="1" applyFont="1" applyFill="1" applyBorder="1"/>
    <xf numFmtId="2" fontId="60" fillId="0" borderId="115" xfId="78" applyNumberFormat="1" applyFont="1" applyBorder="1"/>
    <xf numFmtId="0" fontId="60" fillId="0" borderId="0" xfId="78" applyFont="1" applyFill="1" applyBorder="1"/>
    <xf numFmtId="3" fontId="60" fillId="0" borderId="52" xfId="78" applyNumberFormat="1" applyFont="1" applyBorder="1" applyAlignment="1">
      <alignment horizontal="right"/>
    </xf>
    <xf numFmtId="2" fontId="60" fillId="0" borderId="67" xfId="78" applyNumberFormat="1" applyFont="1" applyBorder="1"/>
    <xf numFmtId="3" fontId="60" fillId="0" borderId="36" xfId="78" applyNumberFormat="1" applyFont="1" applyBorder="1" applyAlignment="1">
      <alignment horizontal="right"/>
    </xf>
    <xf numFmtId="2" fontId="36" fillId="0" borderId="58" xfId="78" applyNumberFormat="1" applyFont="1" applyFill="1" applyBorder="1"/>
    <xf numFmtId="0" fontId="36" fillId="0" borderId="24" xfId="78" applyFont="1" applyBorder="1"/>
    <xf numFmtId="2" fontId="60" fillId="0" borderId="59" xfId="78" applyNumberFormat="1" applyFont="1" applyFill="1" applyBorder="1"/>
    <xf numFmtId="3" fontId="60" fillId="0" borderId="37" xfId="0" applyNumberFormat="1" applyFont="1" applyFill="1" applyBorder="1" applyAlignment="1">
      <alignment horizontal="justify"/>
    </xf>
    <xf numFmtId="3" fontId="60" fillId="0" borderId="66" xfId="0" applyNumberFormat="1" applyFont="1" applyFill="1" applyBorder="1" applyAlignment="1">
      <alignment horizontal="justify"/>
    </xf>
    <xf numFmtId="0" fontId="60" fillId="0" borderId="18" xfId="78" applyFont="1" applyFill="1" applyBorder="1" applyAlignment="1">
      <alignment horizontal="right"/>
    </xf>
    <xf numFmtId="3" fontId="60" fillId="0" borderId="0" xfId="0" applyNumberFormat="1" applyFont="1" applyFill="1" applyBorder="1" applyAlignment="1">
      <alignment horizontal="justify"/>
    </xf>
    <xf numFmtId="3" fontId="60" fillId="0" borderId="15" xfId="78" applyNumberFormat="1" applyFont="1" applyBorder="1" applyAlignment="1">
      <alignment horizontal="right"/>
    </xf>
    <xf numFmtId="0" fontId="57" fillId="0" borderId="18" xfId="78" applyFont="1" applyBorder="1" applyAlignment="1">
      <alignment horizontal="left"/>
    </xf>
    <xf numFmtId="0" fontId="57" fillId="0" borderId="0" xfId="78" applyFont="1" applyBorder="1"/>
    <xf numFmtId="2" fontId="60" fillId="0" borderId="68" xfId="78" applyNumberFormat="1" applyFont="1" applyFill="1" applyBorder="1"/>
    <xf numFmtId="2" fontId="60" fillId="0" borderId="67" xfId="78" applyNumberFormat="1" applyFont="1" applyFill="1" applyBorder="1"/>
    <xf numFmtId="0" fontId="9" fillId="0" borderId="0" xfId="78" applyFont="1" applyFill="1"/>
    <xf numFmtId="3" fontId="60" fillId="0" borderId="0" xfId="78" applyNumberFormat="1" applyFont="1" applyFill="1" applyAlignment="1">
      <alignment wrapText="1"/>
    </xf>
    <xf numFmtId="3" fontId="60" fillId="0" borderId="36" xfId="78" applyNumberFormat="1" applyFont="1" applyBorder="1"/>
    <xf numFmtId="3" fontId="60" fillId="0" borderId="37" xfId="0" applyNumberFormat="1" applyFont="1" applyBorder="1"/>
    <xf numFmtId="3" fontId="60" fillId="0" borderId="51" xfId="0" applyNumberFormat="1" applyFont="1" applyBorder="1"/>
    <xf numFmtId="3" fontId="60" fillId="0" borderId="51" xfId="78" applyNumberFormat="1" applyFont="1" applyBorder="1"/>
    <xf numFmtId="3" fontId="60" fillId="0" borderId="50" xfId="0" applyNumberFormat="1" applyFont="1" applyFill="1" applyBorder="1" applyAlignment="1">
      <alignment horizontal="justify"/>
    </xf>
    <xf numFmtId="3" fontId="60" fillId="0" borderId="50" xfId="0" applyNumberFormat="1" applyFont="1" applyBorder="1"/>
    <xf numFmtId="3" fontId="60" fillId="0" borderId="37" xfId="0" applyNumberFormat="1" applyFont="1" applyFill="1" applyBorder="1" applyAlignment="1">
      <alignment horizontal="justify" wrapText="1"/>
    </xf>
    <xf numFmtId="3" fontId="60" fillId="0" borderId="36" xfId="0" applyNumberFormat="1" applyFont="1" applyBorder="1"/>
    <xf numFmtId="0" fontId="60" fillId="0" borderId="37" xfId="78" applyFont="1" applyBorder="1"/>
    <xf numFmtId="0" fontId="60" fillId="0" borderId="66" xfId="77" applyFont="1" applyBorder="1" applyAlignment="1">
      <alignment horizontal="justify"/>
    </xf>
    <xf numFmtId="3" fontId="93" fillId="0" borderId="0" xfId="78" applyNumberFormat="1" applyFont="1" applyFill="1"/>
    <xf numFmtId="3" fontId="60" fillId="0" borderId="39" xfId="78" applyNumberFormat="1" applyFont="1" applyFill="1" applyBorder="1"/>
    <xf numFmtId="0" fontId="36" fillId="0" borderId="18" xfId="78" applyFont="1" applyBorder="1"/>
    <xf numFmtId="3" fontId="36" fillId="0" borderId="36" xfId="78" applyNumberFormat="1" applyFont="1" applyFill="1" applyBorder="1" applyAlignment="1">
      <alignment horizontal="right"/>
    </xf>
    <xf numFmtId="0" fontId="60" fillId="0" borderId="50" xfId="78" applyFont="1" applyBorder="1"/>
    <xf numFmtId="0" fontId="60" fillId="0" borderId="50" xfId="78" applyFont="1" applyFill="1" applyBorder="1" applyAlignment="1">
      <alignment wrapText="1"/>
    </xf>
    <xf numFmtId="0" fontId="36" fillId="0" borderId="18" xfId="78" applyFont="1" applyFill="1" applyBorder="1"/>
    <xf numFmtId="0" fontId="60" fillId="0" borderId="66" xfId="78" applyFont="1" applyFill="1" applyBorder="1"/>
    <xf numFmtId="3" fontId="60" fillId="0" borderId="93" xfId="78" applyNumberFormat="1" applyFont="1" applyFill="1" applyBorder="1"/>
    <xf numFmtId="0" fontId="60" fillId="0" borderId="37" xfId="0" applyFont="1" applyFill="1" applyBorder="1" applyAlignment="1">
      <alignment wrapText="1"/>
    </xf>
    <xf numFmtId="0" fontId="60" fillId="0" borderId="37" xfId="0" applyFont="1" applyBorder="1" applyAlignment="1">
      <alignment horizontal="justify"/>
    </xf>
    <xf numFmtId="0" fontId="60" fillId="0" borderId="50" xfId="0" applyFont="1" applyFill="1" applyBorder="1" applyAlignment="1">
      <alignment wrapText="1"/>
    </xf>
    <xf numFmtId="3" fontId="60" fillId="0" borderId="31" xfId="78" applyNumberFormat="1" applyFont="1" applyFill="1" applyBorder="1"/>
    <xf numFmtId="3" fontId="36" fillId="0" borderId="32" xfId="78" applyNumberFormat="1" applyFont="1" applyFill="1" applyBorder="1" applyAlignment="1">
      <alignment horizontal="right"/>
    </xf>
    <xf numFmtId="2" fontId="36" fillId="0" borderId="58" xfId="78" applyNumberFormat="1" applyFont="1" applyBorder="1"/>
    <xf numFmtId="3" fontId="36" fillId="0" borderId="0" xfId="78" applyNumberFormat="1" applyFont="1" applyFill="1"/>
    <xf numFmtId="0" fontId="36" fillId="0" borderId="17" xfId="78" applyFont="1" applyBorder="1" applyAlignment="1">
      <alignment horizontal="right"/>
    </xf>
    <xf numFmtId="0" fontId="36" fillId="0" borderId="22" xfId="78" applyFont="1" applyBorder="1"/>
    <xf numFmtId="3" fontId="36" fillId="0" borderId="43" xfId="78" applyNumberFormat="1" applyFont="1" applyFill="1" applyBorder="1"/>
    <xf numFmtId="2" fontId="36" fillId="0" borderId="28" xfId="78" applyNumberFormat="1" applyFont="1" applyBorder="1"/>
    <xf numFmtId="0" fontId="60" fillId="0" borderId="20" xfId="78" applyFont="1" applyBorder="1" applyAlignment="1">
      <alignment horizontal="right"/>
    </xf>
    <xf numFmtId="0" fontId="36" fillId="0" borderId="94" xfId="78" applyFont="1" applyFill="1" applyBorder="1"/>
    <xf numFmtId="3" fontId="36" fillId="0" borderId="21" xfId="78" applyNumberFormat="1" applyFont="1" applyBorder="1"/>
    <xf numFmtId="2" fontId="36" fillId="0" borderId="54" xfId="78" applyNumberFormat="1" applyFont="1" applyBorder="1"/>
    <xf numFmtId="0" fontId="60" fillId="0" borderId="0" xfId="78" applyFont="1"/>
    <xf numFmtId="0" fontId="60" fillId="0" borderId="0" xfId="78" applyFont="1" applyFill="1"/>
    <xf numFmtId="3" fontId="60" fillId="0" borderId="0" xfId="78" applyNumberFormat="1" applyFont="1"/>
    <xf numFmtId="0" fontId="9" fillId="0" borderId="0" xfId="78" applyFont="1" applyFill="1" applyBorder="1" applyAlignment="1">
      <alignment horizontal="left" wrapText="1"/>
    </xf>
    <xf numFmtId="3" fontId="60" fillId="0" borderId="51" xfId="78" applyNumberFormat="1" applyFont="1" applyBorder="1" applyAlignment="1">
      <alignment horizontal="right"/>
    </xf>
    <xf numFmtId="3" fontId="73" fillId="0" borderId="85" xfId="0" applyNumberFormat="1" applyFont="1" applyFill="1" applyBorder="1" applyProtection="1">
      <protection locked="0"/>
    </xf>
    <xf numFmtId="3" fontId="75" fillId="0" borderId="108" xfId="0" applyNumberFormat="1" applyFont="1" applyFill="1" applyBorder="1"/>
    <xf numFmtId="3" fontId="75" fillId="0" borderId="75" xfId="0" applyNumberFormat="1" applyFont="1" applyFill="1" applyBorder="1"/>
    <xf numFmtId="3" fontId="15" fillId="0" borderId="0" xfId="0" applyNumberFormat="1" applyFont="1" applyFill="1" applyBorder="1" applyAlignment="1">
      <alignment wrapText="1"/>
    </xf>
    <xf numFmtId="0" fontId="62" fillId="0" borderId="37" xfId="78" applyFont="1" applyFill="1" applyBorder="1" applyAlignment="1">
      <alignment horizontal="left"/>
    </xf>
    <xf numFmtId="0" fontId="89" fillId="0" borderId="0" xfId="0" applyFont="1" applyFill="1"/>
    <xf numFmtId="0" fontId="60" fillId="0" borderId="39" xfId="0" applyFont="1" applyFill="1" applyBorder="1" applyAlignment="1">
      <alignment wrapText="1"/>
    </xf>
    <xf numFmtId="0" fontId="62" fillId="0" borderId="50" xfId="0" applyFont="1" applyFill="1" applyBorder="1" applyAlignment="1" applyProtection="1"/>
    <xf numFmtId="0" fontId="74" fillId="0" borderId="50" xfId="0" applyFont="1" applyBorder="1" applyAlignment="1"/>
    <xf numFmtId="0" fontId="74" fillId="0" borderId="85" xfId="0" applyFont="1" applyBorder="1" applyAlignment="1"/>
    <xf numFmtId="0" fontId="62" fillId="0" borderId="37" xfId="78" applyFont="1" applyFill="1" applyBorder="1" applyAlignment="1">
      <alignment horizontal="left"/>
    </xf>
    <xf numFmtId="0" fontId="62" fillId="0" borderId="19" xfId="0" applyFont="1" applyFill="1" applyBorder="1" applyProtection="1"/>
    <xf numFmtId="0" fontId="62" fillId="0" borderId="122" xfId="78" applyFont="1" applyFill="1" applyBorder="1" applyAlignment="1">
      <alignment horizontal="left"/>
    </xf>
    <xf numFmtId="0" fontId="83" fillId="0" borderId="62" xfId="0" applyFont="1" applyFill="1" applyBorder="1" applyAlignment="1">
      <alignment horizontal="justify" wrapText="1"/>
    </xf>
    <xf numFmtId="3" fontId="83" fillId="0" borderId="65" xfId="0" applyNumberFormat="1" applyFont="1" applyBorder="1"/>
    <xf numFmtId="0" fontId="60" fillId="0" borderId="39" xfId="78" applyFont="1" applyBorder="1"/>
    <xf numFmtId="3" fontId="94" fillId="0" borderId="0" xfId="78" applyNumberFormat="1" applyFont="1" applyFill="1"/>
    <xf numFmtId="0" fontId="94" fillId="0" borderId="18" xfId="78" applyFont="1" applyFill="1" applyBorder="1" applyAlignment="1">
      <alignment horizontal="right"/>
    </xf>
    <xf numFmtId="0" fontId="94" fillId="0" borderId="37" xfId="0" applyFont="1" applyFill="1" applyBorder="1" applyAlignment="1">
      <alignment wrapText="1"/>
    </xf>
    <xf numFmtId="3" fontId="94" fillId="0" borderId="52" xfId="78" applyNumberFormat="1" applyFont="1" applyFill="1" applyBorder="1"/>
    <xf numFmtId="2" fontId="94" fillId="0" borderId="67" xfId="78" applyNumberFormat="1" applyFont="1" applyBorder="1"/>
    <xf numFmtId="0" fontId="95" fillId="0" borderId="0" xfId="78" applyFont="1"/>
    <xf numFmtId="0" fontId="62" fillId="0" borderId="122" xfId="0" applyFont="1" applyFill="1" applyBorder="1" applyAlignment="1" applyProtection="1"/>
    <xf numFmtId="3" fontId="62" fillId="0" borderId="123" xfId="0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horizontal="center"/>
    </xf>
    <xf numFmtId="3" fontId="97" fillId="0" borderId="0" xfId="0" applyNumberFormat="1" applyFont="1" applyFill="1"/>
    <xf numFmtId="0" fontId="4" fillId="0" borderId="2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Fill="1"/>
    <xf numFmtId="0" fontId="34" fillId="0" borderId="0" xfId="79" applyFont="1" applyAlignment="1">
      <alignment horizontal="right"/>
    </xf>
    <xf numFmtId="0" fontId="72" fillId="0" borderId="23" xfId="0" applyFont="1" applyFill="1" applyBorder="1"/>
    <xf numFmtId="3" fontId="72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/>
    <xf numFmtId="0" fontId="14" fillId="0" borderId="26" xfId="0" quotePrefix="1" applyFont="1" applyFill="1" applyBorder="1"/>
    <xf numFmtId="0" fontId="14" fillId="0" borderId="0" xfId="0" applyFont="1" applyFill="1"/>
    <xf numFmtId="3" fontId="14" fillId="0" borderId="0" xfId="0" quotePrefix="1" applyNumberFormat="1" applyFont="1" applyFill="1" applyBorder="1" applyAlignment="1">
      <alignment horizontal="right"/>
    </xf>
    <xf numFmtId="3" fontId="14" fillId="0" borderId="0" xfId="0" applyNumberFormat="1" applyFont="1" applyFill="1"/>
    <xf numFmtId="49" fontId="34" fillId="0" borderId="18" xfId="0" applyNumberFormat="1" applyFont="1" applyFill="1" applyBorder="1"/>
    <xf numFmtId="3" fontId="34" fillId="0" borderId="59" xfId="0" quotePrefix="1" applyNumberFormat="1" applyFont="1" applyFill="1" applyBorder="1" applyAlignment="1">
      <alignment horizontal="right"/>
    </xf>
    <xf numFmtId="3" fontId="34" fillId="0" borderId="0" xfId="0" quotePrefix="1" applyNumberFormat="1" applyFont="1" applyFill="1" applyBorder="1" applyAlignment="1">
      <alignment horizontal="right"/>
    </xf>
    <xf numFmtId="0" fontId="34" fillId="0" borderId="26" xfId="0" quotePrefix="1" applyFont="1" applyFill="1" applyBorder="1"/>
    <xf numFmtId="0" fontId="72" fillId="0" borderId="17" xfId="0" applyFont="1" applyFill="1" applyBorder="1"/>
    <xf numFmtId="3" fontId="72" fillId="0" borderId="54" xfId="0" quotePrefix="1" applyNumberFormat="1" applyFont="1" applyFill="1" applyBorder="1" applyAlignment="1">
      <alignment horizontal="right"/>
    </xf>
    <xf numFmtId="3" fontId="72" fillId="0" borderId="0" xfId="0" quotePrefix="1" applyNumberFormat="1" applyFont="1" applyFill="1" applyBorder="1" applyAlignment="1">
      <alignment horizontal="right"/>
    </xf>
    <xf numFmtId="0" fontId="34" fillId="0" borderId="18" xfId="0" applyFont="1" applyBorder="1"/>
    <xf numFmtId="3" fontId="34" fillId="0" borderId="59" xfId="0" applyNumberFormat="1" applyFont="1" applyFill="1" applyBorder="1" applyAlignment="1">
      <alignment horizontal="right"/>
    </xf>
    <xf numFmtId="0" fontId="34" fillId="0" borderId="26" xfId="0" applyFont="1" applyBorder="1"/>
    <xf numFmtId="0" fontId="34" fillId="0" borderId="19" xfId="0" applyFont="1" applyBorder="1"/>
    <xf numFmtId="0" fontId="0" fillId="0" borderId="0" xfId="0" applyFill="1"/>
    <xf numFmtId="0" fontId="3" fillId="0" borderId="0" xfId="79"/>
    <xf numFmtId="0" fontId="13" fillId="0" borderId="0" xfId="79" applyFont="1" applyAlignment="1">
      <alignment horizontal="right"/>
    </xf>
    <xf numFmtId="0" fontId="99" fillId="0" borderId="77" xfId="79" applyFont="1" applyBorder="1" applyAlignment="1">
      <alignment horizontal="center"/>
    </xf>
    <xf numFmtId="0" fontId="100" fillId="0" borderId="134" xfId="79" applyFont="1" applyBorder="1" applyAlignment="1">
      <alignment horizontal="center" vertical="center"/>
    </xf>
    <xf numFmtId="0" fontId="100" fillId="0" borderId="134" xfId="79" applyFont="1" applyBorder="1" applyAlignment="1">
      <alignment wrapText="1"/>
    </xf>
    <xf numFmtId="3" fontId="100" fillId="0" borderId="134" xfId="79" applyNumberFormat="1" applyFont="1" applyBorder="1" applyAlignment="1"/>
    <xf numFmtId="0" fontId="100" fillId="0" borderId="69" xfId="79" applyFont="1" applyBorder="1" applyAlignment="1">
      <alignment horizontal="center" vertical="center"/>
    </xf>
    <xf numFmtId="0" fontId="100" fillId="0" borderId="0" xfId="79" applyFont="1" applyBorder="1" applyAlignment="1">
      <alignment wrapText="1"/>
    </xf>
    <xf numFmtId="3" fontId="100" fillId="0" borderId="69" xfId="79" applyNumberFormat="1" applyFont="1" applyBorder="1" applyAlignment="1"/>
    <xf numFmtId="0" fontId="100" fillId="0" borderId="90" xfId="79" applyFont="1" applyBorder="1" applyAlignment="1">
      <alignment horizontal="center" vertical="center"/>
    </xf>
    <xf numFmtId="0" fontId="100" fillId="0" borderId="105" xfId="79" applyFont="1" applyBorder="1" applyAlignment="1">
      <alignment wrapText="1"/>
    </xf>
    <xf numFmtId="3" fontId="100" fillId="0" borderId="90" xfId="79" applyNumberFormat="1" applyFont="1" applyBorder="1"/>
    <xf numFmtId="0" fontId="100" fillId="0" borderId="0" xfId="79" applyFont="1" applyBorder="1"/>
    <xf numFmtId="3" fontId="100" fillId="0" borderId="69" xfId="79" applyNumberFormat="1" applyFont="1" applyBorder="1"/>
    <xf numFmtId="49" fontId="100" fillId="0" borderId="0" xfId="79" applyNumberFormat="1" applyFont="1" applyBorder="1"/>
    <xf numFmtId="0" fontId="100" fillId="0" borderId="78" xfId="79" applyFont="1" applyBorder="1" applyAlignment="1">
      <alignment horizontal="center" vertical="center"/>
    </xf>
    <xf numFmtId="0" fontId="100" fillId="0" borderId="24" xfId="79" applyFont="1" applyBorder="1" applyAlignment="1">
      <alignment wrapText="1"/>
    </xf>
    <xf numFmtId="3" fontId="100" fillId="0" borderId="78" xfId="79" applyNumberFormat="1" applyFont="1" applyFill="1" applyBorder="1"/>
    <xf numFmtId="3" fontId="100" fillId="0" borderId="78" xfId="79" applyNumberFormat="1" applyFont="1" applyBorder="1"/>
    <xf numFmtId="0" fontId="100" fillId="0" borderId="70" xfId="79" applyFont="1" applyBorder="1"/>
    <xf numFmtId="0" fontId="99" fillId="0" borderId="16" xfId="79" applyFont="1" applyBorder="1"/>
    <xf numFmtId="3" fontId="99" fillId="0" borderId="70" xfId="79" applyNumberFormat="1" applyFont="1" applyBorder="1"/>
    <xf numFmtId="0" fontId="101" fillId="0" borderId="0" xfId="79" applyFont="1"/>
    <xf numFmtId="0" fontId="102" fillId="0" borderId="0" xfId="90" applyFont="1"/>
    <xf numFmtId="0" fontId="13" fillId="0" borderId="0" xfId="79" applyFont="1"/>
    <xf numFmtId="0" fontId="3" fillId="0" borderId="0" xfId="79" applyFill="1"/>
    <xf numFmtId="0" fontId="100" fillId="0" borderId="0" xfId="90" applyFont="1" applyAlignment="1">
      <alignment wrapText="1"/>
    </xf>
    <xf numFmtId="0" fontId="9" fillId="0" borderId="0" xfId="90" applyFont="1"/>
    <xf numFmtId="0" fontId="100" fillId="0" borderId="0" xfId="90" applyFont="1"/>
    <xf numFmtId="0" fontId="100" fillId="0" borderId="0" xfId="78" applyFont="1" applyFill="1"/>
    <xf numFmtId="0" fontId="103" fillId="0" borderId="0" xfId="78" applyFont="1" applyFill="1"/>
    <xf numFmtId="3" fontId="100" fillId="0" borderId="0" xfId="78" applyNumberFormat="1" applyFont="1" applyFill="1" applyAlignment="1">
      <alignment horizontal="right"/>
    </xf>
    <xf numFmtId="0" fontId="100" fillId="0" borderId="0" xfId="79" applyFont="1" applyAlignment="1">
      <alignment horizontal="right"/>
    </xf>
    <xf numFmtId="0" fontId="4" fillId="0" borderId="23" xfId="78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5" fillId="0" borderId="19" xfId="78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84" xfId="0" applyFont="1" applyFill="1" applyBorder="1" applyAlignment="1">
      <alignment horizontal="center"/>
    </xf>
    <xf numFmtId="0" fontId="104" fillId="0" borderId="124" xfId="78" applyFont="1" applyFill="1" applyBorder="1" applyAlignment="1">
      <alignment horizontal="center"/>
    </xf>
    <xf numFmtId="0" fontId="4" fillId="0" borderId="132" xfId="0" applyFont="1" applyFill="1" applyBorder="1" applyAlignment="1">
      <alignment horizontal="center"/>
    </xf>
    <xf numFmtId="0" fontId="4" fillId="0" borderId="125" xfId="0" applyFont="1" applyFill="1" applyBorder="1" applyAlignment="1">
      <alignment horizontal="center"/>
    </xf>
    <xf numFmtId="3" fontId="34" fillId="0" borderId="135" xfId="0" applyNumberFormat="1" applyFont="1" applyFill="1" applyBorder="1" applyAlignment="1">
      <alignment wrapText="1"/>
    </xf>
    <xf numFmtId="3" fontId="34" fillId="0" borderId="32" xfId="0" applyNumberFormat="1" applyFont="1" applyFill="1" applyBorder="1" applyProtection="1"/>
    <xf numFmtId="3" fontId="5" fillId="0" borderId="89" xfId="0" applyNumberFormat="1" applyFont="1" applyFill="1" applyBorder="1"/>
    <xf numFmtId="0" fontId="104" fillId="0" borderId="26" xfId="78" applyFont="1" applyFill="1" applyBorder="1" applyAlignment="1">
      <alignment horizontal="center"/>
    </xf>
    <xf numFmtId="3" fontId="5" fillId="0" borderId="49" xfId="0" applyNumberFormat="1" applyFont="1" applyFill="1" applyBorder="1" applyProtection="1"/>
    <xf numFmtId="3" fontId="5" fillId="0" borderId="58" xfId="78" applyNumberFormat="1" applyFont="1" applyFill="1" applyBorder="1" applyAlignment="1">
      <alignment horizontal="right"/>
    </xf>
    <xf numFmtId="0" fontId="34" fillId="0" borderId="135" xfId="78" applyFont="1" applyFill="1" applyBorder="1" applyAlignment="1">
      <alignment horizontal="left" wrapText="1"/>
    </xf>
    <xf numFmtId="3" fontId="34" fillId="0" borderId="32" xfId="78" applyNumberFormat="1" applyFont="1" applyFill="1" applyBorder="1" applyAlignment="1">
      <alignment horizontal="right"/>
    </xf>
    <xf numFmtId="3" fontId="5" fillId="0" borderId="136" xfId="0" applyNumberFormat="1" applyFont="1" applyFill="1" applyBorder="1"/>
    <xf numFmtId="0" fontId="34" fillId="0" borderId="38" xfId="78" applyFont="1" applyFill="1" applyBorder="1" applyAlignment="1">
      <alignment horizontal="left" wrapText="1"/>
    </xf>
    <xf numFmtId="0" fontId="4" fillId="0" borderId="17" xfId="78" applyFont="1" applyFill="1" applyBorder="1" applyAlignment="1">
      <alignment horizontal="center"/>
    </xf>
    <xf numFmtId="3" fontId="4" fillId="0" borderId="44" xfId="78" applyNumberFormat="1" applyFont="1" applyFill="1" applyBorder="1"/>
    <xf numFmtId="0" fontId="4" fillId="0" borderId="124" xfId="78" applyFont="1" applyFill="1" applyBorder="1" applyAlignment="1">
      <alignment horizontal="center"/>
    </xf>
    <xf numFmtId="0" fontId="4" fillId="0" borderId="126" xfId="0" applyFont="1" applyFill="1" applyBorder="1" applyAlignment="1">
      <alignment horizontal="center"/>
    </xf>
    <xf numFmtId="0" fontId="4" fillId="0" borderId="133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18" xfId="78" applyFont="1" applyFill="1" applyBorder="1"/>
    <xf numFmtId="0" fontId="4" fillId="0" borderId="29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0" fontId="34" fillId="0" borderId="135" xfId="0" applyFont="1" applyFill="1" applyBorder="1" applyAlignment="1">
      <alignment wrapText="1" shrinkToFit="1"/>
    </xf>
    <xf numFmtId="3" fontId="34" fillId="0" borderId="32" xfId="0" applyNumberFormat="1" applyFont="1" applyFill="1" applyBorder="1"/>
    <xf numFmtId="0" fontId="34" fillId="0" borderId="135" xfId="0" applyFont="1" applyFill="1" applyBorder="1" applyAlignment="1">
      <alignment horizontal="justify" wrapText="1"/>
    </xf>
    <xf numFmtId="3" fontId="34" fillId="0" borderId="32" xfId="0" applyNumberFormat="1" applyFont="1" applyFill="1" applyBorder="1" applyAlignment="1">
      <alignment horizontal="right"/>
    </xf>
    <xf numFmtId="0" fontId="105" fillId="0" borderId="135" xfId="78" applyFont="1" applyFill="1" applyBorder="1" applyAlignment="1">
      <alignment horizontal="center"/>
    </xf>
    <xf numFmtId="3" fontId="5" fillId="0" borderId="32" xfId="0" applyNumberFormat="1" applyFont="1" applyFill="1" applyBorder="1" applyAlignment="1">
      <alignment horizontal="right"/>
    </xf>
    <xf numFmtId="3" fontId="9" fillId="0" borderId="86" xfId="0" applyNumberFormat="1" applyFont="1" applyFill="1" applyBorder="1" applyAlignment="1">
      <alignment horizontal="right"/>
    </xf>
    <xf numFmtId="0" fontId="4" fillId="0" borderId="135" xfId="78" applyFont="1" applyFill="1" applyBorder="1"/>
    <xf numFmtId="0" fontId="5" fillId="0" borderId="32" xfId="78" applyFont="1" applyFill="1" applyBorder="1"/>
    <xf numFmtId="3" fontId="5" fillId="0" borderId="89" xfId="78" applyNumberFormat="1" applyFont="1" applyFill="1" applyBorder="1" applyAlignment="1">
      <alignment horizontal="right"/>
    </xf>
    <xf numFmtId="3" fontId="34" fillId="27" borderId="32" xfId="78" applyNumberFormat="1" applyFont="1" applyFill="1" applyBorder="1" applyAlignment="1">
      <alignment horizontal="right"/>
    </xf>
    <xf numFmtId="0" fontId="34" fillId="0" borderId="135" xfId="78" applyFont="1" applyFill="1" applyBorder="1" applyAlignment="1">
      <alignment wrapText="1"/>
    </xf>
    <xf numFmtId="3" fontId="5" fillId="0" borderId="101" xfId="0" applyNumberFormat="1" applyFont="1" applyFill="1" applyBorder="1"/>
    <xf numFmtId="3" fontId="99" fillId="0" borderId="43" xfId="78" applyNumberFormat="1" applyFont="1" applyFill="1" applyBorder="1" applyAlignment="1">
      <alignment horizontal="right"/>
    </xf>
    <xf numFmtId="3" fontId="99" fillId="0" borderId="54" xfId="78" applyNumberFormat="1" applyFont="1" applyFill="1" applyBorder="1" applyAlignment="1">
      <alignment horizontal="right"/>
    </xf>
    <xf numFmtId="2" fontId="5" fillId="0" borderId="0" xfId="78" applyNumberFormat="1" applyFont="1" applyBorder="1"/>
    <xf numFmtId="0" fontId="100" fillId="0" borderId="0" xfId="78" applyFont="1" applyFill="1" applyBorder="1"/>
    <xf numFmtId="3" fontId="100" fillId="0" borderId="0" xfId="78" applyNumberFormat="1" applyFont="1" applyFill="1"/>
    <xf numFmtId="0" fontId="106" fillId="0" borderId="0" xfId="91" applyFont="1"/>
    <xf numFmtId="0" fontId="108" fillId="0" borderId="16" xfId="91" applyFont="1" applyBorder="1" applyAlignment="1">
      <alignment horizontal="center"/>
    </xf>
    <xf numFmtId="0" fontId="109" fillId="0" borderId="0" xfId="91" applyFont="1"/>
    <xf numFmtId="0" fontId="4" fillId="0" borderId="53" xfId="78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8" xfId="78" applyFont="1" applyFill="1" applyBorder="1" applyAlignment="1">
      <alignment horizontal="right"/>
    </xf>
    <xf numFmtId="0" fontId="4" fillId="0" borderId="0" xfId="78" applyFont="1" applyFill="1" applyBorder="1"/>
    <xf numFmtId="3" fontId="5" fillId="0" borderId="18" xfId="78" applyNumberFormat="1" applyFont="1" applyFill="1" applyBorder="1" applyAlignment="1">
      <alignment horizontal="right"/>
    </xf>
    <xf numFmtId="3" fontId="5" fillId="0" borderId="15" xfId="78" applyNumberFormat="1" applyFont="1" applyFill="1" applyBorder="1" applyAlignment="1">
      <alignment horizontal="right"/>
    </xf>
    <xf numFmtId="3" fontId="5" fillId="0" borderId="86" xfId="78" applyNumberFormat="1" applyFont="1" applyFill="1" applyBorder="1" applyAlignment="1">
      <alignment horizontal="right"/>
    </xf>
    <xf numFmtId="0" fontId="4" fillId="0" borderId="22" xfId="78" applyFont="1" applyFill="1" applyBorder="1" applyAlignment="1">
      <alignment horizontal="right"/>
    </xf>
    <xf numFmtId="3" fontId="4" fillId="0" borderId="17" xfId="78" applyNumberFormat="1" applyFont="1" applyFill="1" applyBorder="1" applyAlignment="1">
      <alignment horizontal="right"/>
    </xf>
    <xf numFmtId="3" fontId="4" fillId="0" borderId="43" xfId="78" applyNumberFormat="1" applyFont="1" applyFill="1" applyBorder="1" applyAlignment="1">
      <alignment horizontal="right"/>
    </xf>
    <xf numFmtId="3" fontId="4" fillId="0" borderId="22" xfId="78" applyNumberFormat="1" applyFont="1" applyFill="1" applyBorder="1" applyAlignment="1">
      <alignment horizontal="right"/>
    </xf>
    <xf numFmtId="3" fontId="4" fillId="0" borderId="80" xfId="78" applyNumberFormat="1" applyFont="1" applyFill="1" applyBorder="1" applyAlignment="1">
      <alignment horizontal="right"/>
    </xf>
    <xf numFmtId="3" fontId="5" fillId="0" borderId="23" xfId="78" applyNumberFormat="1" applyFont="1" applyFill="1" applyBorder="1" applyAlignment="1">
      <alignment horizontal="center"/>
    </xf>
    <xf numFmtId="3" fontId="5" fillId="0" borderId="45" xfId="78" applyNumberFormat="1" applyFont="1" applyFill="1" applyBorder="1" applyAlignment="1">
      <alignment horizontal="center"/>
    </xf>
    <xf numFmtId="3" fontId="5" fillId="0" borderId="46" xfId="78" applyNumberFormat="1" applyFont="1" applyFill="1" applyBorder="1" applyAlignment="1">
      <alignment horizontal="center"/>
    </xf>
    <xf numFmtId="3" fontId="5" fillId="0" borderId="45" xfId="78" applyNumberFormat="1" applyFont="1" applyFill="1" applyBorder="1" applyAlignment="1">
      <alignment horizontal="right"/>
    </xf>
    <xf numFmtId="3" fontId="5" fillId="0" borderId="53" xfId="78" applyNumberFormat="1" applyFont="1" applyFill="1" applyBorder="1" applyAlignment="1">
      <alignment horizontal="right"/>
    </xf>
    <xf numFmtId="0" fontId="35" fillId="0" borderId="50" xfId="78" applyFont="1" applyFill="1" applyBorder="1" applyAlignment="1">
      <alignment horizontal="justify"/>
    </xf>
    <xf numFmtId="0" fontId="4" fillId="0" borderId="17" xfId="78" applyFont="1" applyFill="1" applyBorder="1" applyAlignment="1">
      <alignment horizontal="right"/>
    </xf>
    <xf numFmtId="3" fontId="5" fillId="0" borderId="18" xfId="78" applyNumberFormat="1" applyFont="1" applyFill="1" applyBorder="1" applyAlignment="1">
      <alignment horizontal="center"/>
    </xf>
    <xf numFmtId="3" fontId="5" fillId="0" borderId="15" xfId="78" applyNumberFormat="1" applyFont="1" applyFill="1" applyBorder="1" applyAlignment="1">
      <alignment horizontal="center"/>
    </xf>
    <xf numFmtId="3" fontId="5" fillId="0" borderId="0" xfId="78" applyNumberFormat="1" applyFont="1" applyFill="1" applyBorder="1" applyAlignment="1">
      <alignment horizontal="center"/>
    </xf>
    <xf numFmtId="3" fontId="4" fillId="0" borderId="76" xfId="78" applyNumberFormat="1" applyFont="1" applyFill="1" applyBorder="1" applyAlignment="1">
      <alignment horizontal="right"/>
    </xf>
    <xf numFmtId="0" fontId="4" fillId="0" borderId="119" xfId="78" applyFont="1" applyFill="1" applyBorder="1"/>
    <xf numFmtId="3" fontId="5" fillId="0" borderId="109" xfId="78" applyNumberFormat="1" applyFont="1" applyFill="1" applyBorder="1" applyAlignment="1">
      <alignment horizontal="center"/>
    </xf>
    <xf numFmtId="3" fontId="5" fillId="0" borderId="118" xfId="78" applyNumberFormat="1" applyFont="1" applyFill="1" applyBorder="1" applyAlignment="1">
      <alignment horizontal="center"/>
    </xf>
    <xf numFmtId="3" fontId="5" fillId="0" borderId="119" xfId="78" applyNumberFormat="1" applyFont="1" applyFill="1" applyBorder="1" applyAlignment="1">
      <alignment horizontal="center"/>
    </xf>
    <xf numFmtId="3" fontId="5" fillId="0" borderId="118" xfId="78" applyNumberFormat="1" applyFont="1" applyFill="1" applyBorder="1" applyAlignment="1">
      <alignment horizontal="right"/>
    </xf>
    <xf numFmtId="3" fontId="5" fillId="0" borderId="128" xfId="78" applyNumberFormat="1" applyFont="1" applyFill="1" applyBorder="1" applyAlignment="1">
      <alignment horizontal="right"/>
    </xf>
    <xf numFmtId="3" fontId="35" fillId="0" borderId="89" xfId="0" applyNumberFormat="1" applyFont="1" applyFill="1" applyBorder="1" applyAlignment="1">
      <alignment horizontal="justify"/>
    </xf>
    <xf numFmtId="3" fontId="5" fillId="0" borderId="99" xfId="78" applyNumberFormat="1" applyFont="1" applyFill="1" applyBorder="1" applyAlignment="1">
      <alignment horizontal="right"/>
    </xf>
    <xf numFmtId="3" fontId="5" fillId="0" borderId="102" xfId="78" applyNumberFormat="1" applyFont="1" applyFill="1" applyBorder="1" applyAlignment="1">
      <alignment horizontal="right"/>
    </xf>
    <xf numFmtId="3" fontId="5" fillId="0" borderId="92" xfId="78" applyNumberFormat="1" applyFont="1" applyFill="1" applyBorder="1" applyAlignment="1">
      <alignment horizontal="right"/>
    </xf>
    <xf numFmtId="3" fontId="5" fillId="0" borderId="101" xfId="78" applyNumberFormat="1" applyFont="1" applyFill="1" applyBorder="1" applyAlignment="1">
      <alignment horizontal="right"/>
    </xf>
    <xf numFmtId="0" fontId="5" fillId="0" borderId="26" xfId="78" applyFont="1" applyFill="1" applyBorder="1" applyAlignment="1">
      <alignment horizontal="right"/>
    </xf>
    <xf numFmtId="0" fontId="4" fillId="0" borderId="80" xfId="78" applyFont="1" applyFill="1" applyBorder="1" applyAlignment="1">
      <alignment horizontal="right"/>
    </xf>
    <xf numFmtId="0" fontId="4" fillId="0" borderId="23" xfId="78" applyFont="1" applyFill="1" applyBorder="1" applyAlignment="1">
      <alignment horizontal="right"/>
    </xf>
    <xf numFmtId="0" fontId="4" fillId="0" borderId="128" xfId="78" applyFont="1" applyBorder="1"/>
    <xf numFmtId="0" fontId="35" fillId="0" borderId="85" xfId="78" applyFont="1" applyFill="1" applyBorder="1" applyAlignment="1"/>
    <xf numFmtId="3" fontId="5" fillId="0" borderId="41" xfId="78" applyNumberFormat="1" applyFont="1" applyFill="1" applyBorder="1" applyAlignment="1">
      <alignment horizontal="right"/>
    </xf>
    <xf numFmtId="3" fontId="5" fillId="0" borderId="64" xfId="78" applyNumberFormat="1" applyFont="1" applyFill="1" applyBorder="1" applyAlignment="1">
      <alignment horizontal="right"/>
    </xf>
    <xf numFmtId="3" fontId="5" fillId="0" borderId="96" xfId="78" applyNumberFormat="1" applyFont="1" applyFill="1" applyBorder="1" applyAlignment="1">
      <alignment horizontal="right"/>
    </xf>
    <xf numFmtId="3" fontId="5" fillId="0" borderId="137" xfId="78" applyNumberFormat="1" applyFont="1" applyFill="1" applyBorder="1" applyAlignment="1">
      <alignment horizontal="right"/>
    </xf>
    <xf numFmtId="0" fontId="4" fillId="0" borderId="80" xfId="78" applyFont="1" applyBorder="1" applyAlignment="1">
      <alignment horizontal="right"/>
    </xf>
    <xf numFmtId="0" fontId="5" fillId="0" borderId="20" xfId="78" applyFont="1" applyFill="1" applyBorder="1" applyAlignment="1">
      <alignment horizontal="right"/>
    </xf>
    <xf numFmtId="0" fontId="4" fillId="0" borderId="94" xfId="78" applyFont="1" applyFill="1" applyBorder="1"/>
    <xf numFmtId="3" fontId="4" fillId="0" borderId="20" xfId="78" applyNumberFormat="1" applyFont="1" applyFill="1" applyBorder="1"/>
    <xf numFmtId="0" fontId="5" fillId="0" borderId="0" xfId="78" applyFont="1" applyFill="1" applyBorder="1" applyAlignment="1">
      <alignment horizontal="right"/>
    </xf>
    <xf numFmtId="3" fontId="4" fillId="0" borderId="0" xfId="78" applyNumberFormat="1" applyFont="1" applyFill="1" applyBorder="1"/>
    <xf numFmtId="0" fontId="66" fillId="0" borderId="0" xfId="78" applyFont="1" applyFill="1"/>
    <xf numFmtId="0" fontId="35" fillId="0" borderId="0" xfId="78" applyFont="1" applyFill="1"/>
    <xf numFmtId="0" fontId="109" fillId="0" borderId="0" xfId="92" applyFont="1"/>
    <xf numFmtId="0" fontId="108" fillId="0" borderId="0" xfId="0" applyFont="1" applyAlignment="1">
      <alignment horizontal="center"/>
    </xf>
    <xf numFmtId="0" fontId="8" fillId="0" borderId="0" xfId="92" applyFont="1"/>
    <xf numFmtId="0" fontId="106" fillId="0" borderId="16" xfId="92" applyFont="1" applyBorder="1" applyAlignment="1">
      <alignment horizontal="center"/>
    </xf>
    <xf numFmtId="0" fontId="106" fillId="0" borderId="23" xfId="92" applyFont="1" applyBorder="1" applyAlignment="1">
      <alignment horizontal="center"/>
    </xf>
    <xf numFmtId="0" fontId="106" fillId="0" borderId="83" xfId="92" applyFont="1" applyBorder="1"/>
    <xf numFmtId="49" fontId="106" fillId="0" borderId="83" xfId="92" applyNumberFormat="1" applyFont="1" applyBorder="1" applyAlignment="1">
      <alignment horizontal="center"/>
    </xf>
    <xf numFmtId="0" fontId="106" fillId="0" borderId="18" xfId="92" applyFont="1" applyBorder="1" applyAlignment="1">
      <alignment horizontal="center"/>
    </xf>
    <xf numFmtId="0" fontId="106" fillId="0" borderId="86" xfId="92" applyFont="1" applyBorder="1" applyAlignment="1">
      <alignment horizontal="center"/>
    </xf>
    <xf numFmtId="0" fontId="106" fillId="0" borderId="69" xfId="92" applyFont="1" applyBorder="1"/>
    <xf numFmtId="2" fontId="106" fillId="0" borderId="69" xfId="92" applyNumberFormat="1" applyFont="1" applyBorder="1" applyAlignment="1">
      <alignment horizontal="center"/>
    </xf>
    <xf numFmtId="0" fontId="106" fillId="0" borderId="19" xfId="92" applyFont="1" applyBorder="1" applyAlignment="1">
      <alignment horizontal="center"/>
    </xf>
    <xf numFmtId="0" fontId="106" fillId="0" borderId="84" xfId="92" applyFont="1" applyBorder="1" applyAlignment="1">
      <alignment horizontal="center"/>
    </xf>
    <xf numFmtId="0" fontId="106" fillId="0" borderId="70" xfId="92" applyFont="1" applyBorder="1"/>
    <xf numFmtId="49" fontId="106" fillId="0" borderId="70" xfId="92" applyNumberFormat="1" applyFont="1" applyBorder="1" applyAlignment="1">
      <alignment horizontal="center"/>
    </xf>
    <xf numFmtId="49" fontId="106" fillId="0" borderId="86" xfId="92" applyNumberFormat="1" applyFont="1" applyBorder="1" applyAlignment="1">
      <alignment horizontal="center"/>
    </xf>
    <xf numFmtId="3" fontId="8" fillId="0" borderId="18" xfId="92" applyNumberFormat="1" applyFont="1" applyBorder="1" applyAlignment="1">
      <alignment horizontal="center"/>
    </xf>
    <xf numFmtId="0" fontId="8" fillId="0" borderId="18" xfId="92" applyFont="1" applyBorder="1"/>
    <xf numFmtId="0" fontId="8" fillId="0" borderId="86" xfId="92" applyFont="1" applyBorder="1"/>
    <xf numFmtId="0" fontId="8" fillId="0" borderId="69" xfId="92" applyFont="1" applyBorder="1"/>
    <xf numFmtId="3" fontId="8" fillId="0" borderId="59" xfId="92" applyNumberFormat="1" applyFont="1" applyBorder="1"/>
    <xf numFmtId="3" fontId="106" fillId="0" borderId="26" xfId="92" applyNumberFormat="1" applyFont="1" applyBorder="1" applyAlignment="1">
      <alignment horizontal="center"/>
    </xf>
    <xf numFmtId="0" fontId="106" fillId="0" borderId="26" xfId="92" applyFont="1" applyBorder="1"/>
    <xf numFmtId="0" fontId="106" fillId="0" borderId="89" xfId="92" applyFont="1" applyBorder="1"/>
    <xf numFmtId="0" fontId="106" fillId="0" borderId="78" xfId="92" applyFont="1" applyBorder="1"/>
    <xf numFmtId="3" fontId="106" fillId="0" borderId="58" xfId="92" applyNumberFormat="1" applyFont="1" applyBorder="1"/>
    <xf numFmtId="3" fontId="106" fillId="0" borderId="18" xfId="92" applyNumberFormat="1" applyFont="1" applyBorder="1" applyAlignment="1">
      <alignment horizontal="center"/>
    </xf>
    <xf numFmtId="0" fontId="106" fillId="0" borderId="18" xfId="92" applyFont="1" applyBorder="1"/>
    <xf numFmtId="0" fontId="106" fillId="0" borderId="86" xfId="92" applyFont="1" applyBorder="1"/>
    <xf numFmtId="3" fontId="106" fillId="0" borderId="59" xfId="92" applyNumberFormat="1" applyFont="1" applyBorder="1"/>
    <xf numFmtId="0" fontId="111" fillId="0" borderId="0" xfId="92" applyFont="1" applyFill="1"/>
    <xf numFmtId="0" fontId="34" fillId="0" borderId="18" xfId="92" applyFont="1" applyBorder="1"/>
    <xf numFmtId="3" fontId="106" fillId="0" borderId="17" xfId="92" applyNumberFormat="1" applyFont="1" applyBorder="1" applyAlignment="1">
      <alignment horizontal="center"/>
    </xf>
    <xf numFmtId="0" fontId="106" fillId="0" borderId="17" xfId="92" applyFont="1" applyBorder="1"/>
    <xf numFmtId="0" fontId="106" fillId="0" borderId="80" xfId="92" applyFont="1" applyBorder="1"/>
    <xf numFmtId="0" fontId="106" fillId="0" borderId="76" xfId="92" applyFont="1" applyBorder="1"/>
    <xf numFmtId="3" fontId="106" fillId="0" borderId="54" xfId="92" applyNumberFormat="1" applyFont="1" applyBorder="1"/>
    <xf numFmtId="3" fontId="106" fillId="0" borderId="83" xfId="92" applyNumberFormat="1" applyFont="1" applyBorder="1"/>
    <xf numFmtId="3" fontId="8" fillId="0" borderId="69" xfId="92" applyNumberFormat="1" applyFont="1" applyBorder="1"/>
    <xf numFmtId="3" fontId="106" fillId="0" borderId="78" xfId="92" applyNumberFormat="1" applyFont="1" applyBorder="1"/>
    <xf numFmtId="3" fontId="106" fillId="0" borderId="69" xfId="92" applyNumberFormat="1" applyFont="1" applyBorder="1"/>
    <xf numFmtId="3" fontId="106" fillId="0" borderId="76" xfId="92" applyNumberFormat="1" applyFont="1" applyBorder="1"/>
    <xf numFmtId="3" fontId="106" fillId="0" borderId="86" xfId="92" applyNumberFormat="1" applyFont="1" applyBorder="1"/>
    <xf numFmtId="3" fontId="106" fillId="0" borderId="57" xfId="92" applyNumberFormat="1" applyFont="1" applyBorder="1" applyAlignment="1">
      <alignment horizontal="center"/>
    </xf>
    <xf numFmtId="0" fontId="106" fillId="0" borderId="90" xfId="92" applyFont="1" applyBorder="1"/>
    <xf numFmtId="3" fontId="106" fillId="0" borderId="56" xfId="92" applyNumberFormat="1" applyFont="1" applyBorder="1"/>
    <xf numFmtId="3" fontId="106" fillId="0" borderId="23" xfId="92" applyNumberFormat="1" applyFont="1" applyBorder="1" applyAlignment="1">
      <alignment horizontal="center"/>
    </xf>
    <xf numFmtId="0" fontId="106" fillId="0" borderId="23" xfId="92" applyFont="1" applyBorder="1"/>
    <xf numFmtId="0" fontId="106" fillId="0" borderId="53" xfId="92" applyFont="1" applyBorder="1"/>
    <xf numFmtId="3" fontId="8" fillId="0" borderId="19" xfId="92" applyNumberFormat="1" applyFont="1" applyBorder="1" applyAlignment="1">
      <alignment horizontal="center"/>
    </xf>
    <xf numFmtId="0" fontId="8" fillId="0" borderId="19" xfId="92" applyFont="1" applyBorder="1"/>
    <xf numFmtId="0" fontId="8" fillId="0" borderId="84" xfId="92" applyFont="1" applyBorder="1"/>
    <xf numFmtId="0" fontId="8" fillId="0" borderId="70" xfId="92" applyFont="1" applyBorder="1"/>
    <xf numFmtId="3" fontId="8" fillId="0" borderId="70" xfId="92" applyNumberFormat="1" applyFont="1" applyBorder="1"/>
    <xf numFmtId="3" fontId="112" fillId="0" borderId="18" xfId="92" applyNumberFormat="1" applyFont="1" applyBorder="1" applyAlignment="1">
      <alignment horizontal="center"/>
    </xf>
    <xf numFmtId="0" fontId="112" fillId="0" borderId="69" xfId="92" applyFont="1" applyBorder="1"/>
    <xf numFmtId="3" fontId="112" fillId="0" borderId="59" xfId="92" applyNumberFormat="1" applyFont="1" applyBorder="1"/>
    <xf numFmtId="0" fontId="106" fillId="0" borderId="53" xfId="92" applyFont="1" applyBorder="1" applyAlignment="1">
      <alignment horizontal="center"/>
    </xf>
    <xf numFmtId="3" fontId="8" fillId="0" borderId="116" xfId="92" applyNumberFormat="1" applyFont="1" applyBorder="1" applyAlignment="1">
      <alignment horizontal="center"/>
    </xf>
    <xf numFmtId="3" fontId="106" fillId="0" borderId="19" xfId="92" applyNumberFormat="1" applyFont="1" applyBorder="1" applyAlignment="1">
      <alignment horizontal="center"/>
    </xf>
    <xf numFmtId="3" fontId="112" fillId="0" borderId="20" xfId="92" applyNumberFormat="1" applyFont="1" applyBorder="1" applyAlignment="1">
      <alignment horizontal="center"/>
    </xf>
    <xf numFmtId="0" fontId="112" fillId="0" borderId="77" xfId="92" applyFont="1" applyBorder="1"/>
    <xf numFmtId="3" fontId="112" fillId="0" borderId="60" xfId="92" applyNumberFormat="1" applyFont="1" applyBorder="1"/>
    <xf numFmtId="3" fontId="112" fillId="0" borderId="0" xfId="92" applyNumberFormat="1" applyFont="1" applyBorder="1" applyAlignment="1">
      <alignment horizontal="center"/>
    </xf>
    <xf numFmtId="0" fontId="112" fillId="0" borderId="0" xfId="92" applyFont="1" applyBorder="1" applyAlignment="1">
      <alignment wrapText="1"/>
    </xf>
    <xf numFmtId="0" fontId="110" fillId="0" borderId="0" xfId="0" applyFont="1" applyBorder="1" applyAlignment="1">
      <alignment wrapText="1"/>
    </xf>
    <xf numFmtId="0" fontId="112" fillId="0" borderId="0" xfId="92" applyFont="1" applyBorder="1"/>
    <xf numFmtId="3" fontId="112" fillId="0" borderId="0" xfId="92" applyNumberFormat="1" applyFont="1" applyBorder="1"/>
    <xf numFmtId="0" fontId="8" fillId="0" borderId="0" xfId="92" applyFont="1" applyBorder="1"/>
    <xf numFmtId="0" fontId="106" fillId="0" borderId="46" xfId="92" applyFont="1" applyBorder="1"/>
    <xf numFmtId="0" fontId="106" fillId="0" borderId="0" xfId="92" applyFont="1" applyBorder="1"/>
    <xf numFmtId="0" fontId="106" fillId="0" borderId="16" xfId="92" applyFont="1" applyBorder="1"/>
    <xf numFmtId="0" fontId="106" fillId="0" borderId="24" xfId="92" applyFont="1" applyBorder="1"/>
    <xf numFmtId="0" fontId="8" fillId="0" borderId="99" xfId="92" applyFont="1" applyBorder="1"/>
    <xf numFmtId="0" fontId="14" fillId="0" borderId="26" xfId="92" applyFont="1" applyBorder="1"/>
    <xf numFmtId="0" fontId="112" fillId="0" borderId="94" xfId="92" applyFont="1" applyBorder="1"/>
    <xf numFmtId="0" fontId="14" fillId="0" borderId="18" xfId="92" applyFont="1" applyBorder="1"/>
    <xf numFmtId="0" fontId="112" fillId="0" borderId="18" xfId="92" applyFont="1" applyBorder="1" applyAlignment="1">
      <alignment wrapText="1"/>
    </xf>
    <xf numFmtId="0" fontId="110" fillId="0" borderId="86" xfId="0" applyFont="1" applyBorder="1" applyAlignment="1">
      <alignment wrapText="1"/>
    </xf>
    <xf numFmtId="0" fontId="109" fillId="0" borderId="0" xfId="92" applyFont="1" applyAlignment="1">
      <alignment horizontal="center"/>
    </xf>
    <xf numFmtId="0" fontId="113" fillId="0" borderId="0" xfId="92" applyFont="1" applyAlignment="1">
      <alignment horizontal="center"/>
    </xf>
    <xf numFmtId="0" fontId="113" fillId="0" borderId="0" xfId="92" applyFont="1"/>
    <xf numFmtId="0" fontId="14" fillId="0" borderId="0" xfId="92" applyFont="1"/>
    <xf numFmtId="0" fontId="115" fillId="0" borderId="0" xfId="92" applyFont="1" applyBorder="1" applyAlignment="1">
      <alignment horizontal="center"/>
    </xf>
    <xf numFmtId="0" fontId="100" fillId="0" borderId="0" xfId="0" applyFont="1" applyAlignment="1">
      <alignment horizontal="right"/>
    </xf>
    <xf numFmtId="0" fontId="115" fillId="0" borderId="23" xfId="92" applyFont="1" applyBorder="1" applyAlignment="1">
      <alignment horizontal="center"/>
    </xf>
    <xf numFmtId="0" fontId="115" fillId="0" borderId="46" xfId="92" applyFont="1" applyBorder="1"/>
    <xf numFmtId="49" fontId="115" fillId="0" borderId="83" xfId="92" applyNumberFormat="1" applyFont="1" applyBorder="1" applyAlignment="1">
      <alignment horizontal="center"/>
    </xf>
    <xf numFmtId="0" fontId="115" fillId="0" borderId="18" xfId="92" applyFont="1" applyBorder="1" applyAlignment="1">
      <alignment horizontal="center"/>
    </xf>
    <xf numFmtId="0" fontId="115" fillId="0" borderId="86" xfId="92" applyFont="1" applyBorder="1" applyAlignment="1">
      <alignment horizontal="center"/>
    </xf>
    <xf numFmtId="0" fontId="115" fillId="0" borderId="0" xfId="92" applyFont="1" applyBorder="1"/>
    <xf numFmtId="2" fontId="115" fillId="0" borderId="69" xfId="92" applyNumberFormat="1" applyFont="1" applyBorder="1" applyAlignment="1">
      <alignment horizontal="center"/>
    </xf>
    <xf numFmtId="0" fontId="115" fillId="0" borderId="19" xfId="92" applyFont="1" applyBorder="1" applyAlignment="1">
      <alignment horizontal="center"/>
    </xf>
    <xf numFmtId="0" fontId="115" fillId="0" borderId="84" xfId="92" applyFont="1" applyBorder="1" applyAlignment="1">
      <alignment horizontal="center"/>
    </xf>
    <xf numFmtId="0" fontId="115" fillId="0" borderId="16" xfId="92" applyFont="1" applyBorder="1"/>
    <xf numFmtId="49" fontId="115" fillId="0" borderId="70" xfId="92" applyNumberFormat="1" applyFont="1" applyBorder="1" applyAlignment="1">
      <alignment horizontal="center"/>
    </xf>
    <xf numFmtId="3" fontId="115" fillId="0" borderId="18" xfId="92" applyNumberFormat="1" applyFont="1" applyBorder="1" applyAlignment="1">
      <alignment horizontal="center"/>
    </xf>
    <xf numFmtId="0" fontId="115" fillId="0" borderId="18" xfId="92" applyFont="1" applyBorder="1"/>
    <xf numFmtId="0" fontId="115" fillId="0" borderId="86" xfId="92" applyFont="1" applyBorder="1"/>
    <xf numFmtId="3" fontId="115" fillId="0" borderId="59" xfId="92" applyNumberFormat="1" applyFont="1" applyBorder="1"/>
    <xf numFmtId="3" fontId="113" fillId="0" borderId="18" xfId="92" applyNumberFormat="1" applyFont="1" applyBorder="1" applyAlignment="1">
      <alignment horizontal="center"/>
    </xf>
    <xf numFmtId="0" fontId="113" fillId="0" borderId="18" xfId="92" applyFont="1" applyBorder="1"/>
    <xf numFmtId="0" fontId="113" fillId="0" borderId="86" xfId="92" applyFont="1" applyBorder="1"/>
    <xf numFmtId="0" fontId="113" fillId="0" borderId="0" xfId="92" applyFont="1" applyBorder="1"/>
    <xf numFmtId="3" fontId="113" fillId="0" borderId="59" xfId="92" applyNumberFormat="1" applyFont="1" applyBorder="1"/>
    <xf numFmtId="3" fontId="115" fillId="0" borderId="26" xfId="92" applyNumberFormat="1" applyFont="1" applyBorder="1" applyAlignment="1">
      <alignment horizontal="center"/>
    </xf>
    <xf numFmtId="0" fontId="117" fillId="0" borderId="26" xfId="92" applyFont="1" applyBorder="1"/>
    <xf numFmtId="0" fontId="115" fillId="0" borderId="89" xfId="92" applyFont="1" applyBorder="1"/>
    <xf numFmtId="0" fontId="115" fillId="0" borderId="24" xfId="92" applyFont="1" applyBorder="1"/>
    <xf numFmtId="3" fontId="115" fillId="0" borderId="58" xfId="92" applyNumberFormat="1" applyFont="1" applyBorder="1"/>
    <xf numFmtId="0" fontId="113" fillId="0" borderId="99" xfId="92" applyFont="1" applyBorder="1"/>
    <xf numFmtId="0" fontId="117" fillId="0" borderId="18" xfId="92" applyFont="1" applyBorder="1"/>
    <xf numFmtId="3" fontId="118" fillId="0" borderId="20" xfId="92" applyNumberFormat="1" applyFont="1" applyBorder="1" applyAlignment="1">
      <alignment horizontal="center"/>
    </xf>
    <xf numFmtId="0" fontId="118" fillId="0" borderId="94" xfId="92" applyFont="1" applyBorder="1"/>
    <xf numFmtId="3" fontId="118" fillId="0" borderId="60" xfId="92" applyNumberFormat="1" applyFont="1" applyBorder="1"/>
    <xf numFmtId="3" fontId="118" fillId="0" borderId="18" xfId="92" applyNumberFormat="1" applyFont="1" applyBorder="1" applyAlignment="1">
      <alignment horizontal="center"/>
    </xf>
    <xf numFmtId="0" fontId="118" fillId="0" borderId="18" xfId="92" applyFont="1" applyBorder="1" applyAlignment="1">
      <alignment wrapText="1"/>
    </xf>
    <xf numFmtId="0" fontId="116" fillId="0" borderId="86" xfId="0" applyFont="1" applyBorder="1" applyAlignment="1">
      <alignment wrapText="1"/>
    </xf>
    <xf numFmtId="0" fontId="118" fillId="0" borderId="0" xfId="92" applyFont="1" applyBorder="1"/>
    <xf numFmtId="3" fontId="118" fillId="0" borderId="59" xfId="92" applyNumberFormat="1" applyFont="1" applyBorder="1"/>
    <xf numFmtId="3" fontId="113" fillId="0" borderId="0" xfId="92" applyNumberFormat="1" applyFont="1"/>
    <xf numFmtId="0" fontId="5" fillId="0" borderId="0" xfId="93" applyFont="1"/>
    <xf numFmtId="0" fontId="4" fillId="0" borderId="0" xfId="93" applyFont="1"/>
    <xf numFmtId="0" fontId="4" fillId="0" borderId="20" xfId="93" applyFont="1" applyBorder="1" applyAlignment="1">
      <alignment horizontal="centerContinuous"/>
    </xf>
    <xf numFmtId="3" fontId="4" fillId="0" borderId="138" xfId="93" applyNumberFormat="1" applyFont="1" applyBorder="1" applyAlignment="1">
      <alignment horizontal="centerContinuous"/>
    </xf>
    <xf numFmtId="0" fontId="4" fillId="0" borderId="94" xfId="93" applyFont="1" applyBorder="1" applyAlignment="1">
      <alignment horizontal="centerContinuous"/>
    </xf>
    <xf numFmtId="3" fontId="4" fillId="0" borderId="94" xfId="93" applyNumberFormat="1" applyFont="1" applyBorder="1" applyAlignment="1">
      <alignment horizontal="centerContinuous"/>
    </xf>
    <xf numFmtId="3" fontId="4" fillId="0" borderId="81" xfId="93" applyNumberFormat="1" applyFont="1" applyBorder="1" applyAlignment="1">
      <alignment horizontal="justify"/>
    </xf>
    <xf numFmtId="0" fontId="4" fillId="0" borderId="18" xfId="93" applyFont="1" applyBorder="1"/>
    <xf numFmtId="3" fontId="4" fillId="0" borderId="31" xfId="93" applyNumberFormat="1" applyFont="1" applyBorder="1"/>
    <xf numFmtId="0" fontId="4" fillId="0" borderId="0" xfId="93" applyFont="1" applyBorder="1"/>
    <xf numFmtId="3" fontId="4" fillId="0" borderId="0" xfId="93" applyNumberFormat="1" applyFont="1" applyBorder="1"/>
    <xf numFmtId="0" fontId="5" fillId="0" borderId="86" xfId="93" applyFont="1" applyBorder="1"/>
    <xf numFmtId="0" fontId="5" fillId="0" borderId="18" xfId="93" applyFont="1" applyBorder="1"/>
    <xf numFmtId="3" fontId="5" fillId="0" borderId="31" xfId="93" applyNumberFormat="1" applyFont="1" applyBorder="1" applyAlignment="1">
      <alignment horizontal="center"/>
    </xf>
    <xf numFmtId="0" fontId="5" fillId="0" borderId="0" xfId="93" applyFont="1" applyBorder="1"/>
    <xf numFmtId="3" fontId="5" fillId="0" borderId="0" xfId="93" applyNumberFormat="1" applyFont="1" applyBorder="1"/>
    <xf numFmtId="3" fontId="5" fillId="0" borderId="31" xfId="93" applyNumberFormat="1" applyFont="1" applyBorder="1"/>
    <xf numFmtId="0" fontId="4" fillId="0" borderId="17" xfId="93" applyFont="1" applyBorder="1"/>
    <xf numFmtId="3" fontId="4" fillId="0" borderId="87" xfId="93" applyNumberFormat="1" applyFont="1" applyBorder="1" applyAlignment="1">
      <alignment horizontal="center"/>
    </xf>
    <xf numFmtId="0" fontId="4" fillId="0" borderId="22" xfId="93" applyFont="1" applyBorder="1"/>
    <xf numFmtId="3" fontId="4" fillId="0" borderId="22" xfId="93" applyNumberFormat="1" applyFont="1" applyBorder="1"/>
    <xf numFmtId="3" fontId="4" fillId="0" borderId="80" xfId="93" applyNumberFormat="1" applyFont="1" applyBorder="1"/>
    <xf numFmtId="0" fontId="4" fillId="0" borderId="86" xfId="93" applyFont="1" applyBorder="1"/>
    <xf numFmtId="3" fontId="4" fillId="0" borderId="31" xfId="93" applyNumberFormat="1" applyFont="1" applyBorder="1" applyAlignment="1">
      <alignment horizontal="center"/>
    </xf>
    <xf numFmtId="3" fontId="5" fillId="0" borderId="86" xfId="93" applyNumberFormat="1" applyFont="1" applyBorder="1"/>
    <xf numFmtId="3" fontId="5" fillId="0" borderId="0" xfId="93" applyNumberFormat="1" applyFont="1"/>
    <xf numFmtId="3" fontId="4" fillId="0" borderId="0" xfId="93" applyNumberFormat="1" applyFont="1"/>
    <xf numFmtId="0" fontId="5" fillId="0" borderId="47" xfId="93" applyFont="1" applyBorder="1"/>
    <xf numFmtId="3" fontId="5" fillId="0" borderId="31" xfId="93" applyNumberFormat="1" applyFont="1" applyBorder="1" applyAlignment="1">
      <alignment horizontal="right"/>
    </xf>
    <xf numFmtId="0" fontId="5" fillId="0" borderId="18" xfId="93" applyFont="1" applyBorder="1" applyAlignment="1">
      <alignment horizontal="left"/>
    </xf>
    <xf numFmtId="3" fontId="4" fillId="0" borderId="87" xfId="93" applyNumberFormat="1" applyFont="1" applyBorder="1" applyAlignment="1">
      <alignment horizontal="right"/>
    </xf>
    <xf numFmtId="0" fontId="5" fillId="0" borderId="0" xfId="93" applyFont="1" applyBorder="1" applyAlignment="1">
      <alignment horizontal="right"/>
    </xf>
    <xf numFmtId="0" fontId="4" fillId="0" borderId="23" xfId="93" applyFont="1" applyBorder="1"/>
    <xf numFmtId="3" fontId="5" fillId="0" borderId="63" xfId="93" applyNumberFormat="1" applyFont="1" applyBorder="1" applyAlignment="1">
      <alignment horizontal="right"/>
    </xf>
    <xf numFmtId="0" fontId="5" fillId="0" borderId="46" xfId="93" applyFont="1" applyBorder="1"/>
    <xf numFmtId="3" fontId="5" fillId="0" borderId="46" xfId="93" applyNumberFormat="1" applyFont="1" applyBorder="1"/>
    <xf numFmtId="0" fontId="5" fillId="0" borderId="53" xfId="93" applyFont="1" applyBorder="1"/>
    <xf numFmtId="0" fontId="6" fillId="0" borderId="18" xfId="93" applyFont="1" applyBorder="1"/>
    <xf numFmtId="0" fontId="5" fillId="0" borderId="29" xfId="93" applyFont="1" applyBorder="1"/>
    <xf numFmtId="3" fontId="5" fillId="0" borderId="31" xfId="93" applyNumberFormat="1" applyFont="1" applyFill="1" applyBorder="1" applyAlignment="1">
      <alignment horizontal="right"/>
    </xf>
    <xf numFmtId="3" fontId="5" fillId="0" borderId="0" xfId="93" applyNumberFormat="1" applyFont="1" applyFill="1" applyBorder="1"/>
    <xf numFmtId="0" fontId="7" fillId="0" borderId="0" xfId="93" applyFont="1"/>
    <xf numFmtId="0" fontId="5" fillId="0" borderId="0" xfId="93" applyFont="1" applyBorder="1" applyAlignment="1">
      <alignment wrapText="1"/>
    </xf>
    <xf numFmtId="3" fontId="5" fillId="0" borderId="31" xfId="78" applyNumberFormat="1" applyFont="1" applyFill="1" applyBorder="1"/>
    <xf numFmtId="0" fontId="120" fillId="0" borderId="0" xfId="0" applyFont="1"/>
    <xf numFmtId="0" fontId="9" fillId="0" borderId="0" xfId="78" applyFont="1" applyFill="1" applyBorder="1"/>
    <xf numFmtId="3" fontId="5" fillId="0" borderId="46" xfId="93" applyNumberFormat="1" applyFont="1" applyBorder="1" applyAlignment="1">
      <alignment horizontal="right"/>
    </xf>
    <xf numFmtId="3" fontId="4" fillId="0" borderId="53" xfId="93" applyNumberFormat="1" applyFont="1" applyBorder="1"/>
    <xf numFmtId="3" fontId="5" fillId="0" borderId="0" xfId="93" applyNumberFormat="1" applyFont="1" applyFill="1" applyBorder="1" applyAlignment="1">
      <alignment horizontal="right"/>
    </xf>
    <xf numFmtId="3" fontId="4" fillId="0" borderId="86" xfId="93" applyNumberFormat="1" applyFont="1" applyBorder="1"/>
    <xf numFmtId="3" fontId="5" fillId="0" borderId="0" xfId="93" applyNumberFormat="1" applyFont="1" applyBorder="1" applyAlignment="1">
      <alignment horizontal="right"/>
    </xf>
    <xf numFmtId="0" fontId="6" fillId="0" borderId="99" xfId="93" applyFont="1" applyBorder="1"/>
    <xf numFmtId="3" fontId="5" fillId="0" borderId="92" xfId="93" applyNumberFormat="1" applyFont="1" applyBorder="1" applyAlignment="1">
      <alignment horizontal="right"/>
    </xf>
    <xf numFmtId="0" fontId="4" fillId="0" borderId="92" xfId="78" applyFont="1" applyFill="1" applyBorder="1"/>
    <xf numFmtId="3" fontId="4" fillId="0" borderId="92" xfId="93" applyNumberFormat="1" applyFont="1" applyBorder="1"/>
    <xf numFmtId="3" fontId="4" fillId="0" borderId="101" xfId="93" applyNumberFormat="1" applyFont="1" applyBorder="1"/>
    <xf numFmtId="0" fontId="4" fillId="0" borderId="19" xfId="93" applyFont="1" applyBorder="1"/>
    <xf numFmtId="3" fontId="4" fillId="0" borderId="16" xfId="93" applyNumberFormat="1" applyFont="1" applyBorder="1" applyAlignment="1">
      <alignment horizontal="right"/>
    </xf>
    <xf numFmtId="0" fontId="4" fillId="0" borderId="16" xfId="93" applyFont="1" applyBorder="1"/>
    <xf numFmtId="3" fontId="4" fillId="0" borderId="16" xfId="93" applyNumberFormat="1" applyFont="1" applyBorder="1"/>
    <xf numFmtId="3" fontId="4" fillId="0" borderId="84" xfId="93" applyNumberFormat="1" applyFont="1" applyBorder="1"/>
    <xf numFmtId="0" fontId="5" fillId="0" borderId="0" xfId="93" applyFont="1" applyFill="1" applyBorder="1" applyAlignment="1">
      <alignment wrapText="1"/>
    </xf>
    <xf numFmtId="0" fontId="5" fillId="0" borderId="0" xfId="93" applyFont="1" applyFill="1" applyBorder="1"/>
    <xf numFmtId="3" fontId="5" fillId="0" borderId="92" xfId="93" applyNumberFormat="1" applyFont="1" applyFill="1" applyBorder="1" applyAlignment="1">
      <alignment horizontal="right"/>
    </xf>
    <xf numFmtId="3" fontId="4" fillId="0" borderId="92" xfId="93" applyNumberFormat="1" applyFont="1" applyFill="1" applyBorder="1"/>
    <xf numFmtId="3" fontId="4" fillId="0" borderId="16" xfId="93" applyNumberFormat="1" applyFont="1" applyFill="1" applyBorder="1" applyAlignment="1">
      <alignment horizontal="right"/>
    </xf>
    <xf numFmtId="0" fontId="4" fillId="0" borderId="16" xfId="93" applyFont="1" applyFill="1" applyBorder="1"/>
    <xf numFmtId="3" fontId="4" fillId="0" borderId="16" xfId="93" applyNumberFormat="1" applyFont="1" applyFill="1" applyBorder="1"/>
    <xf numFmtId="3" fontId="5" fillId="0" borderId="46" xfId="93" applyNumberFormat="1" applyFont="1" applyFill="1" applyBorder="1" applyAlignment="1">
      <alignment horizontal="right"/>
    </xf>
    <xf numFmtId="0" fontId="5" fillId="0" borderId="46" xfId="93" applyFont="1" applyFill="1" applyBorder="1"/>
    <xf numFmtId="3" fontId="5" fillId="0" borderId="46" xfId="93" applyNumberFormat="1" applyFont="1" applyFill="1" applyBorder="1"/>
    <xf numFmtId="3" fontId="7" fillId="0" borderId="0" xfId="78" applyNumberFormat="1" applyFont="1" applyFill="1" applyBorder="1"/>
    <xf numFmtId="3" fontId="7" fillId="0" borderId="0" xfId="93" applyNumberFormat="1" applyFont="1" applyBorder="1"/>
    <xf numFmtId="0" fontId="8" fillId="0" borderId="0" xfId="94" applyFont="1"/>
    <xf numFmtId="3" fontId="8" fillId="0" borderId="0" xfId="94" applyNumberFormat="1" applyFont="1"/>
    <xf numFmtId="0" fontId="121" fillId="0" borderId="0" xfId="92" applyFont="1"/>
    <xf numFmtId="0" fontId="106" fillId="0" borderId="0" xfId="94" applyFont="1"/>
    <xf numFmtId="0" fontId="8" fillId="0" borderId="0" xfId="94" applyFont="1" applyBorder="1"/>
    <xf numFmtId="3" fontId="106" fillId="0" borderId="0" xfId="94" applyNumberFormat="1" applyFont="1"/>
    <xf numFmtId="0" fontId="8" fillId="0" borderId="0" xfId="94" applyFont="1" applyAlignment="1">
      <alignment horizontal="right"/>
    </xf>
    <xf numFmtId="0" fontId="77" fillId="0" borderId="23" xfId="94" applyFont="1" applyBorder="1"/>
    <xf numFmtId="0" fontId="77" fillId="0" borderId="46" xfId="94" applyFont="1" applyBorder="1" applyAlignment="1">
      <alignment horizontal="centerContinuous"/>
    </xf>
    <xf numFmtId="0" fontId="38" fillId="0" borderId="47" xfId="0" applyFont="1" applyBorder="1"/>
    <xf numFmtId="0" fontId="38" fillId="0" borderId="53" xfId="0" applyFont="1" applyBorder="1"/>
    <xf numFmtId="0" fontId="77" fillId="0" borderId="0" xfId="94" applyFont="1"/>
    <xf numFmtId="0" fontId="77" fillId="0" borderId="19" xfId="94" applyFont="1" applyBorder="1"/>
    <xf numFmtId="0" fontId="77" fillId="0" borderId="16" xfId="94" applyFont="1" applyBorder="1"/>
    <xf numFmtId="3" fontId="107" fillId="0" borderId="61" xfId="94" applyNumberFormat="1" applyFont="1" applyBorder="1" applyAlignment="1">
      <alignment horizontal="center"/>
    </xf>
    <xf numFmtId="3" fontId="107" fillId="0" borderId="28" xfId="94" applyNumberFormat="1" applyFont="1" applyBorder="1" applyAlignment="1">
      <alignment horizontal="center"/>
    </xf>
    <xf numFmtId="0" fontId="77" fillId="0" borderId="26" xfId="94" applyFont="1" applyFill="1" applyBorder="1"/>
    <xf numFmtId="0" fontId="77" fillId="0" borderId="92" xfId="94" applyFont="1" applyFill="1" applyBorder="1"/>
    <xf numFmtId="0" fontId="77" fillId="0" borderId="24" xfId="94" applyFont="1" applyFill="1" applyBorder="1"/>
    <xf numFmtId="3" fontId="77" fillId="0" borderId="32" xfId="94" applyNumberFormat="1" applyFont="1" applyFill="1" applyBorder="1"/>
    <xf numFmtId="4" fontId="77" fillId="0" borderId="58" xfId="94" applyNumberFormat="1" applyFont="1" applyFill="1" applyBorder="1"/>
    <xf numFmtId="0" fontId="77" fillId="0" borderId="0" xfId="94" applyFont="1" applyFill="1"/>
    <xf numFmtId="0" fontId="107" fillId="0" borderId="19" xfId="94" applyFont="1" applyFill="1" applyBorder="1"/>
    <xf numFmtId="0" fontId="107" fillId="0" borderId="16" xfId="94" applyFont="1" applyFill="1" applyBorder="1"/>
    <xf numFmtId="3" fontId="107" fillId="0" borderId="61" xfId="94" applyNumberFormat="1" applyFont="1" applyFill="1" applyBorder="1"/>
    <xf numFmtId="4" fontId="107" fillId="0" borderId="28" xfId="94" applyNumberFormat="1" applyFont="1" applyFill="1" applyBorder="1"/>
    <xf numFmtId="0" fontId="123" fillId="0" borderId="26" xfId="94" applyFont="1" applyFill="1" applyBorder="1"/>
    <xf numFmtId="4" fontId="123" fillId="0" borderId="58" xfId="94" applyNumberFormat="1" applyFont="1" applyFill="1" applyBorder="1"/>
    <xf numFmtId="0" fontId="123" fillId="0" borderId="0" xfId="0" applyFont="1" applyFill="1" applyBorder="1" applyAlignment="1">
      <alignment vertical="center" wrapText="1"/>
    </xf>
    <xf numFmtId="0" fontId="123" fillId="0" borderId="0" xfId="94" applyFont="1" applyFill="1"/>
    <xf numFmtId="0" fontId="98" fillId="0" borderId="19" xfId="94" applyFont="1" applyFill="1" applyBorder="1"/>
    <xf numFmtId="0" fontId="98" fillId="0" borderId="22" xfId="94" applyFont="1" applyFill="1" applyBorder="1"/>
    <xf numFmtId="3" fontId="98" fillId="0" borderId="43" xfId="94" applyNumberFormat="1" applyFont="1" applyFill="1" applyBorder="1"/>
    <xf numFmtId="4" fontId="98" fillId="0" borderId="28" xfId="94" applyNumberFormat="1" applyFont="1" applyFill="1" applyBorder="1"/>
    <xf numFmtId="3" fontId="77" fillId="0" borderId="0" xfId="94" applyNumberFormat="1" applyFont="1"/>
    <xf numFmtId="0" fontId="123" fillId="0" borderId="18" xfId="94" applyFont="1" applyFill="1" applyBorder="1"/>
    <xf numFmtId="4" fontId="77" fillId="0" borderId="121" xfId="94" applyNumberFormat="1" applyFont="1" applyFill="1" applyBorder="1"/>
    <xf numFmtId="0" fontId="77" fillId="0" borderId="57" xfId="94" applyFont="1" applyBorder="1"/>
    <xf numFmtId="0" fontId="77" fillId="0" borderId="24" xfId="94" applyFont="1" applyBorder="1"/>
    <xf numFmtId="3" fontId="77" fillId="0" borderId="32" xfId="94" applyNumberFormat="1" applyFont="1" applyBorder="1"/>
    <xf numFmtId="4" fontId="77" fillId="0" borderId="121" xfId="94" applyNumberFormat="1" applyFont="1" applyBorder="1"/>
    <xf numFmtId="0" fontId="98" fillId="0" borderId="0" xfId="94" applyFont="1"/>
    <xf numFmtId="0" fontId="77" fillId="0" borderId="18" xfId="94" applyFont="1" applyBorder="1"/>
    <xf numFmtId="4" fontId="77" fillId="0" borderId="58" xfId="94" applyNumberFormat="1" applyFont="1" applyBorder="1"/>
    <xf numFmtId="0" fontId="77" fillId="0" borderId="26" xfId="94" applyFont="1" applyBorder="1"/>
    <xf numFmtId="0" fontId="77" fillId="0" borderId="105" xfId="94" applyFont="1" applyBorder="1"/>
    <xf numFmtId="3" fontId="77" fillId="0" borderId="55" xfId="94" applyNumberFormat="1" applyFont="1" applyFill="1" applyBorder="1"/>
    <xf numFmtId="4" fontId="77" fillId="0" borderId="56" xfId="94" applyNumberFormat="1" applyFont="1" applyBorder="1"/>
    <xf numFmtId="0" fontId="107" fillId="30" borderId="19" xfId="94" applyFont="1" applyFill="1" applyBorder="1"/>
    <xf numFmtId="0" fontId="107" fillId="30" borderId="16" xfId="94" applyFont="1" applyFill="1" applyBorder="1"/>
    <xf numFmtId="3" fontId="107" fillId="30" borderId="61" xfId="94" applyNumberFormat="1" applyFont="1" applyFill="1" applyBorder="1"/>
    <xf numFmtId="4" fontId="107" fillId="30" borderId="28" xfId="94" applyNumberFormat="1" applyFont="1" applyFill="1" applyBorder="1"/>
    <xf numFmtId="4" fontId="77" fillId="0" borderId="0" xfId="94" applyNumberFormat="1" applyFont="1"/>
    <xf numFmtId="0" fontId="3" fillId="0" borderId="0" xfId="95"/>
    <xf numFmtId="0" fontId="10" fillId="0" borderId="0" xfId="95" applyFont="1" applyBorder="1" applyAlignment="1">
      <alignment horizontal="center"/>
    </xf>
    <xf numFmtId="0" fontId="3" fillId="0" borderId="0" xfId="95" applyBorder="1" applyAlignment="1">
      <alignment horizontal="center"/>
    </xf>
    <xf numFmtId="0" fontId="3" fillId="0" borderId="32" xfId="95" applyBorder="1" applyAlignment="1">
      <alignment horizontal="center"/>
    </xf>
    <xf numFmtId="0" fontId="3" fillId="0" borderId="58" xfId="95" applyBorder="1" applyAlignment="1">
      <alignment horizontal="center"/>
    </xf>
    <xf numFmtId="0" fontId="10" fillId="0" borderId="43" xfId="95" applyFont="1" applyBorder="1" applyAlignment="1">
      <alignment horizontal="center"/>
    </xf>
    <xf numFmtId="0" fontId="10" fillId="0" borderId="54" xfId="95" applyFont="1" applyBorder="1" applyAlignment="1">
      <alignment horizontal="center"/>
    </xf>
    <xf numFmtId="3" fontId="3" fillId="0" borderId="92" xfId="95" applyNumberFormat="1" applyFill="1" applyBorder="1"/>
    <xf numFmtId="3" fontId="3" fillId="0" borderId="102" xfId="95" applyNumberFormat="1" applyBorder="1"/>
    <xf numFmtId="3" fontId="3" fillId="0" borderId="92" xfId="95" applyNumberFormat="1" applyBorder="1"/>
    <xf numFmtId="3" fontId="3" fillId="0" borderId="102" xfId="95" applyNumberFormat="1" applyFill="1" applyBorder="1"/>
    <xf numFmtId="3" fontId="3" fillId="0" borderId="101" xfId="95" applyNumberFormat="1" applyBorder="1"/>
    <xf numFmtId="3" fontId="3" fillId="0" borderId="24" xfId="95" applyNumberFormat="1" applyFill="1" applyBorder="1"/>
    <xf numFmtId="3" fontId="3" fillId="0" borderId="32" xfId="95" applyNumberFormat="1" applyBorder="1"/>
    <xf numFmtId="3" fontId="3" fillId="0" borderId="24" xfId="95" applyNumberFormat="1" applyBorder="1"/>
    <xf numFmtId="3" fontId="3" fillId="0" borderId="32" xfId="95" applyNumberFormat="1" applyFill="1" applyBorder="1"/>
    <xf numFmtId="3" fontId="3" fillId="0" borderId="89" xfId="95" applyNumberFormat="1" applyBorder="1"/>
    <xf numFmtId="3" fontId="3" fillId="0" borderId="43" xfId="95" applyNumberFormat="1" applyFill="1" applyBorder="1"/>
    <xf numFmtId="3" fontId="3" fillId="0" borderId="54" xfId="95" applyNumberFormat="1" applyFill="1" applyBorder="1"/>
    <xf numFmtId="0" fontId="3" fillId="0" borderId="140" xfId="95" applyFont="1" applyBorder="1" applyAlignment="1">
      <alignment horizontal="left"/>
    </xf>
    <xf numFmtId="0" fontId="3" fillId="0" borderId="127" xfId="95" applyBorder="1" applyAlignment="1">
      <alignment horizontal="left"/>
    </xf>
    <xf numFmtId="3" fontId="3" fillId="0" borderId="140" xfId="95" applyNumberFormat="1" applyFill="1" applyBorder="1"/>
    <xf numFmtId="3" fontId="3" fillId="0" borderId="132" xfId="95" applyNumberFormat="1" applyBorder="1"/>
    <xf numFmtId="3" fontId="3" fillId="0" borderId="140" xfId="95" applyNumberFormat="1" applyBorder="1"/>
    <xf numFmtId="3" fontId="3" fillId="0" borderId="132" xfId="95" applyNumberFormat="1" applyFill="1" applyBorder="1"/>
    <xf numFmtId="3" fontId="3" fillId="0" borderId="125" xfId="95" applyNumberFormat="1" applyBorder="1"/>
    <xf numFmtId="0" fontId="3" fillId="0" borderId="0" xfId="95" applyBorder="1"/>
    <xf numFmtId="0" fontId="3" fillId="0" borderId="32" xfId="95" applyBorder="1"/>
    <xf numFmtId="0" fontId="3" fillId="0" borderId="143" xfId="95" applyBorder="1"/>
    <xf numFmtId="0" fontId="3" fillId="0" borderId="0" xfId="95" applyBorder="1" applyAlignment="1">
      <alignment vertical="center"/>
    </xf>
    <xf numFmtId="0" fontId="3" fillId="0" borderId="55" xfId="95" applyBorder="1"/>
    <xf numFmtId="3" fontId="3" fillId="0" borderId="0" xfId="95" applyNumberFormat="1" applyBorder="1"/>
    <xf numFmtId="3" fontId="3" fillId="0" borderId="15" xfId="95" applyNumberFormat="1" applyBorder="1"/>
    <xf numFmtId="3" fontId="3" fillId="0" borderId="15" xfId="95" applyNumberFormat="1" applyFill="1" applyBorder="1"/>
    <xf numFmtId="3" fontId="3" fillId="0" borderId="0" xfId="95" applyNumberFormat="1" applyFill="1" applyBorder="1"/>
    <xf numFmtId="3" fontId="3" fillId="0" borderId="86" xfId="95" applyNumberFormat="1" applyBorder="1"/>
    <xf numFmtId="0" fontId="3" fillId="0" borderId="0" xfId="95" applyBorder="1" applyAlignment="1">
      <alignment horizontal="left" vertical="center"/>
    </xf>
    <xf numFmtId="3" fontId="3" fillId="0" borderId="49" xfId="95" applyNumberFormat="1" applyBorder="1"/>
    <xf numFmtId="0" fontId="3" fillId="0" borderId="92" xfId="95" applyBorder="1" applyAlignment="1">
      <alignment horizontal="left" vertical="center"/>
    </xf>
    <xf numFmtId="0" fontId="3" fillId="0" borderId="102" xfId="95" applyBorder="1"/>
    <xf numFmtId="0" fontId="3" fillId="0" borderId="15" xfId="95" applyFont="1" applyBorder="1"/>
    <xf numFmtId="0" fontId="3" fillId="0" borderId="15" xfId="95" applyBorder="1"/>
    <xf numFmtId="0" fontId="3" fillId="0" borderId="82" xfId="95" applyBorder="1"/>
    <xf numFmtId="0" fontId="3" fillId="0" borderId="15" xfId="95" applyFill="1" applyBorder="1"/>
    <xf numFmtId="0" fontId="3" fillId="0" borderId="32" xfId="95" applyFill="1" applyBorder="1"/>
    <xf numFmtId="0" fontId="3" fillId="0" borderId="61" xfId="95" applyBorder="1"/>
    <xf numFmtId="0" fontId="3" fillId="0" borderId="100" xfId="95" applyBorder="1"/>
    <xf numFmtId="3" fontId="3" fillId="0" borderId="16" xfId="95" applyNumberFormat="1" applyBorder="1"/>
    <xf numFmtId="3" fontId="3" fillId="0" borderId="61" xfId="95" applyNumberFormat="1" applyBorder="1"/>
    <xf numFmtId="3" fontId="3" fillId="0" borderId="84" xfId="95" applyNumberFormat="1" applyBorder="1"/>
    <xf numFmtId="3" fontId="8" fillId="0" borderId="0" xfId="96" applyNumberFormat="1" applyFont="1" applyAlignment="1">
      <alignment horizontal="center"/>
    </xf>
    <xf numFmtId="3" fontId="8" fillId="0" borderId="0" xfId="96" applyNumberFormat="1" applyFont="1"/>
    <xf numFmtId="3" fontId="124" fillId="0" borderId="0" xfId="96" applyNumberFormat="1" applyFont="1"/>
    <xf numFmtId="3" fontId="77" fillId="0" borderId="0" xfId="96" applyNumberFormat="1" applyFont="1"/>
    <xf numFmtId="0" fontId="5" fillId="0" borderId="0" xfId="79" applyFont="1" applyAlignment="1">
      <alignment horizontal="right"/>
    </xf>
    <xf numFmtId="3" fontId="107" fillId="0" borderId="20" xfId="96" applyNumberFormat="1" applyFont="1" applyBorder="1" applyAlignment="1"/>
    <xf numFmtId="3" fontId="77" fillId="0" borderId="94" xfId="96" applyNumberFormat="1" applyFont="1" applyBorder="1"/>
    <xf numFmtId="3" fontId="8" fillId="0" borderId="18" xfId="96" applyNumberFormat="1" applyFont="1" applyBorder="1" applyAlignment="1">
      <alignment horizontal="center"/>
    </xf>
    <xf numFmtId="3" fontId="8" fillId="0" borderId="0" xfId="96" applyNumberFormat="1" applyFont="1" applyBorder="1"/>
    <xf numFmtId="3" fontId="106" fillId="0" borderId="43" xfId="96" applyNumberFormat="1" applyFont="1" applyBorder="1" applyAlignment="1">
      <alignment horizontal="center"/>
    </xf>
    <xf numFmtId="3" fontId="106" fillId="0" borderId="22" xfId="96" applyNumberFormat="1" applyFont="1" applyBorder="1" applyAlignment="1">
      <alignment horizontal="center"/>
    </xf>
    <xf numFmtId="3" fontId="106" fillId="0" borderId="54" xfId="96" applyNumberFormat="1" applyFont="1" applyBorder="1" applyAlignment="1">
      <alignment horizontal="center"/>
    </xf>
    <xf numFmtId="3" fontId="125" fillId="0" borderId="17" xfId="96" applyNumberFormat="1" applyFont="1" applyFill="1" applyBorder="1" applyAlignment="1">
      <alignment horizontal="center"/>
    </xf>
    <xf numFmtId="3" fontId="125" fillId="0" borderId="22" xfId="96" applyNumberFormat="1" applyFont="1" applyFill="1" applyBorder="1"/>
    <xf numFmtId="3" fontId="107" fillId="0" borderId="43" xfId="96" applyNumberFormat="1" applyFont="1" applyFill="1" applyBorder="1" applyAlignment="1">
      <alignment horizontal="center"/>
    </xf>
    <xf numFmtId="3" fontId="107" fillId="0" borderId="54" xfId="96" applyNumberFormat="1" applyFont="1" applyFill="1" applyBorder="1" applyAlignment="1">
      <alignment horizontal="center"/>
    </xf>
    <xf numFmtId="3" fontId="125" fillId="0" borderId="0" xfId="96" applyNumberFormat="1" applyFont="1" applyFill="1"/>
    <xf numFmtId="3" fontId="107" fillId="0" borderId="20" xfId="96" applyNumberFormat="1" applyFont="1" applyFill="1" applyBorder="1" applyAlignment="1">
      <alignment horizontal="center"/>
    </xf>
    <xf numFmtId="3" fontId="107" fillId="0" borderId="94" xfId="96" applyNumberFormat="1" applyFont="1" applyFill="1" applyBorder="1"/>
    <xf numFmtId="3" fontId="107" fillId="0" borderId="21" xfId="96" applyNumberFormat="1" applyFont="1" applyFill="1" applyBorder="1"/>
    <xf numFmtId="3" fontId="107" fillId="0" borderId="60" xfId="96" applyNumberFormat="1" applyFont="1" applyFill="1" applyBorder="1"/>
    <xf numFmtId="3" fontId="107" fillId="0" borderId="0" xfId="96" applyNumberFormat="1" applyFont="1" applyFill="1"/>
    <xf numFmtId="3" fontId="106" fillId="0" borderId="18" xfId="96" applyNumberFormat="1" applyFont="1" applyFill="1" applyBorder="1" applyAlignment="1">
      <alignment horizontal="center"/>
    </xf>
    <xf numFmtId="3" fontId="106" fillId="0" borderId="0" xfId="96" applyNumberFormat="1" applyFont="1" applyFill="1" applyBorder="1"/>
    <xf numFmtId="3" fontId="106" fillId="0" borderId="15" xfId="96" applyNumberFormat="1" applyFont="1" applyFill="1" applyBorder="1"/>
    <xf numFmtId="3" fontId="106" fillId="0" borderId="59" xfId="96" applyNumberFormat="1" applyFont="1" applyFill="1" applyBorder="1"/>
    <xf numFmtId="3" fontId="106" fillId="0" borderId="0" xfId="96" applyNumberFormat="1" applyFont="1" applyFill="1"/>
    <xf numFmtId="3" fontId="8" fillId="0" borderId="40" xfId="96" applyNumberFormat="1" applyFont="1" applyFill="1" applyBorder="1" applyAlignment="1">
      <alignment horizontal="center"/>
    </xf>
    <xf numFmtId="3" fontId="8" fillId="0" borderId="37" xfId="96" applyNumberFormat="1" applyFont="1" applyFill="1" applyBorder="1"/>
    <xf numFmtId="3" fontId="8" fillId="0" borderId="36" xfId="96" applyNumberFormat="1" applyFont="1" applyFill="1" applyBorder="1"/>
    <xf numFmtId="3" fontId="8" fillId="0" borderId="68" xfId="96" applyNumberFormat="1" applyFont="1" applyFill="1" applyBorder="1"/>
    <xf numFmtId="3" fontId="8" fillId="0" borderId="0" xfId="96" applyNumberFormat="1" applyFont="1" applyFill="1"/>
    <xf numFmtId="3" fontId="8" fillId="0" borderId="18" xfId="96" applyNumberFormat="1" applyFont="1" applyFill="1" applyBorder="1" applyAlignment="1">
      <alignment horizontal="center"/>
    </xf>
    <xf numFmtId="3" fontId="8" fillId="0" borderId="0" xfId="96" applyNumberFormat="1" applyFont="1" applyFill="1" applyBorder="1"/>
    <xf numFmtId="3" fontId="8" fillId="0" borderId="15" xfId="96" applyNumberFormat="1" applyFont="1" applyFill="1" applyBorder="1"/>
    <xf numFmtId="3" fontId="8" fillId="0" borderId="59" xfId="96" applyNumberFormat="1" applyFont="1" applyFill="1" applyBorder="1"/>
    <xf numFmtId="3" fontId="106" fillId="0" borderId="40" xfId="96" applyNumberFormat="1" applyFont="1" applyFill="1" applyBorder="1" applyAlignment="1">
      <alignment horizontal="center"/>
    </xf>
    <xf numFmtId="3" fontId="106" fillId="0" borderId="37" xfId="96" applyNumberFormat="1" applyFont="1" applyFill="1" applyBorder="1"/>
    <xf numFmtId="3" fontId="106" fillId="0" borderId="36" xfId="96" applyNumberFormat="1" applyFont="1" applyFill="1" applyBorder="1"/>
    <xf numFmtId="3" fontId="106" fillId="0" borderId="68" xfId="96" applyNumberFormat="1" applyFont="1" applyFill="1" applyBorder="1"/>
    <xf numFmtId="3" fontId="107" fillId="0" borderId="81" xfId="96" applyNumberFormat="1" applyFont="1" applyFill="1" applyBorder="1"/>
    <xf numFmtId="3" fontId="98" fillId="0" borderId="18" xfId="96" applyNumberFormat="1" applyFont="1" applyFill="1" applyBorder="1" applyAlignment="1">
      <alignment horizontal="center"/>
    </xf>
    <xf numFmtId="3" fontId="98" fillId="0" borderId="0" xfId="96" applyNumberFormat="1" applyFont="1" applyFill="1" applyBorder="1"/>
    <xf numFmtId="3" fontId="98" fillId="0" borderId="15" xfId="96" applyNumberFormat="1" applyFont="1" applyFill="1" applyBorder="1"/>
    <xf numFmtId="3" fontId="98" fillId="0" borderId="59" xfId="96" applyNumberFormat="1" applyFont="1" applyFill="1" applyBorder="1"/>
    <xf numFmtId="3" fontId="98" fillId="0" borderId="0" xfId="96" applyNumberFormat="1" applyFont="1" applyFill="1"/>
    <xf numFmtId="3" fontId="14" fillId="0" borderId="40" xfId="96" applyNumberFormat="1" applyFont="1" applyFill="1" applyBorder="1" applyAlignment="1">
      <alignment horizontal="center"/>
    </xf>
    <xf numFmtId="3" fontId="56" fillId="0" borderId="37" xfId="96" applyNumberFormat="1" applyFont="1" applyFill="1" applyBorder="1"/>
    <xf numFmtId="3" fontId="14" fillId="0" borderId="37" xfId="96" applyNumberFormat="1" applyFont="1" applyFill="1" applyBorder="1"/>
    <xf numFmtId="3" fontId="56" fillId="0" borderId="36" xfId="96" applyNumberFormat="1" applyFont="1" applyFill="1" applyBorder="1"/>
    <xf numFmtId="3" fontId="56" fillId="0" borderId="68" xfId="96" applyNumberFormat="1" applyFont="1" applyFill="1" applyBorder="1"/>
    <xf numFmtId="3" fontId="14" fillId="0" borderId="0" xfId="96" applyNumberFormat="1" applyFont="1" applyFill="1"/>
    <xf numFmtId="3" fontId="8" fillId="0" borderId="0" xfId="96" applyNumberFormat="1" applyFont="1" applyFill="1" applyBorder="1" applyAlignment="1">
      <alignment horizontal="center"/>
    </xf>
    <xf numFmtId="3" fontId="8" fillId="0" borderId="37" xfId="96" applyNumberFormat="1" applyFont="1" applyFill="1" applyBorder="1" applyAlignment="1">
      <alignment horizontal="center"/>
    </xf>
    <xf numFmtId="3" fontId="8" fillId="0" borderId="0" xfId="96" applyNumberFormat="1" applyFont="1" applyFill="1" applyBorder="1" applyAlignment="1">
      <alignment horizontal="center" vertical="center"/>
    </xf>
    <xf numFmtId="3" fontId="8" fillId="0" borderId="0" xfId="96" applyNumberFormat="1" applyFont="1" applyFill="1" applyBorder="1" applyAlignment="1">
      <alignment wrapText="1"/>
    </xf>
    <xf numFmtId="3" fontId="98" fillId="0" borderId="40" xfId="96" applyNumberFormat="1" applyFont="1" applyBorder="1" applyAlignment="1">
      <alignment horizontal="center"/>
    </xf>
    <xf numFmtId="3" fontId="98" fillId="0" borderId="37" xfId="96" applyNumberFormat="1" applyFont="1" applyBorder="1"/>
    <xf numFmtId="3" fontId="98" fillId="0" borderId="36" xfId="96" applyNumberFormat="1" applyFont="1" applyBorder="1"/>
    <xf numFmtId="3" fontId="98" fillId="0" borderId="68" xfId="96" applyNumberFormat="1" applyFont="1" applyBorder="1"/>
    <xf numFmtId="3" fontId="98" fillId="0" borderId="0" xfId="96" applyNumberFormat="1" applyFont="1"/>
    <xf numFmtId="3" fontId="8" fillId="0" borderId="15" xfId="96" applyNumberFormat="1" applyFont="1" applyBorder="1"/>
    <xf numFmtId="3" fontId="8" fillId="0" borderId="59" xfId="96" applyNumberFormat="1" applyFont="1" applyBorder="1"/>
    <xf numFmtId="3" fontId="8" fillId="0" borderId="40" xfId="96" applyNumberFormat="1" applyFont="1" applyBorder="1" applyAlignment="1">
      <alignment horizontal="center"/>
    </xf>
    <xf numFmtId="3" fontId="8" fillId="0" borderId="37" xfId="96" applyNumberFormat="1" applyFont="1" applyBorder="1"/>
    <xf numFmtId="3" fontId="8" fillId="0" borderId="36" xfId="96" applyNumberFormat="1" applyFont="1" applyBorder="1"/>
    <xf numFmtId="3" fontId="8" fillId="0" borderId="68" xfId="96" applyNumberFormat="1" applyFont="1" applyBorder="1"/>
    <xf numFmtId="3" fontId="8" fillId="0" borderId="41" xfId="96" applyNumberFormat="1" applyFont="1" applyBorder="1" applyAlignment="1">
      <alignment horizontal="center"/>
    </xf>
    <xf numFmtId="3" fontId="8" fillId="0" borderId="96" xfId="96" applyNumberFormat="1" applyFont="1" applyBorder="1"/>
    <xf numFmtId="3" fontId="8" fillId="0" borderId="64" xfId="96" applyNumberFormat="1" applyFont="1" applyBorder="1"/>
    <xf numFmtId="3" fontId="8" fillId="0" borderId="110" xfId="96" applyNumberFormat="1" applyFont="1" applyBorder="1"/>
    <xf numFmtId="3" fontId="98" fillId="0" borderId="112" xfId="96" applyNumberFormat="1" applyFont="1" applyBorder="1" applyAlignment="1">
      <alignment horizontal="center"/>
    </xf>
    <xf numFmtId="3" fontId="98" fillId="0" borderId="113" xfId="96" applyNumberFormat="1" applyFont="1" applyBorder="1"/>
    <xf numFmtId="3" fontId="98" fillId="0" borderId="114" xfId="96" applyNumberFormat="1" applyFont="1" applyBorder="1"/>
    <xf numFmtId="3" fontId="98" fillId="0" borderId="115" xfId="96" applyNumberFormat="1" applyFont="1" applyBorder="1"/>
    <xf numFmtId="3" fontId="98" fillId="0" borderId="18" xfId="96" applyNumberFormat="1" applyFont="1" applyBorder="1" applyAlignment="1">
      <alignment horizontal="center"/>
    </xf>
    <xf numFmtId="3" fontId="98" fillId="0" borderId="0" xfId="96" applyNumberFormat="1" applyFont="1" applyBorder="1"/>
    <xf numFmtId="3" fontId="98" fillId="0" borderId="15" xfId="96" applyNumberFormat="1" applyFont="1" applyBorder="1"/>
    <xf numFmtId="3" fontId="98" fillId="0" borderId="59" xfId="96" applyNumberFormat="1" applyFont="1" applyBorder="1"/>
    <xf numFmtId="3" fontId="8" fillId="0" borderId="37" xfId="97" applyNumberFormat="1" applyFont="1" applyBorder="1"/>
    <xf numFmtId="3" fontId="8" fillId="0" borderId="36" xfId="97" applyNumberFormat="1" applyFont="1" applyBorder="1"/>
    <xf numFmtId="3" fontId="98" fillId="0" borderId="0" xfId="97" applyNumberFormat="1" applyFont="1" applyBorder="1"/>
    <xf numFmtId="3" fontId="98" fillId="0" borderId="15" xfId="97" applyNumberFormat="1" applyFont="1" applyBorder="1"/>
    <xf numFmtId="3" fontId="107" fillId="0" borderId="20" xfId="96" applyNumberFormat="1" applyFont="1" applyBorder="1" applyAlignment="1">
      <alignment horizontal="center"/>
    </xf>
    <xf numFmtId="3" fontId="107" fillId="0" borderId="94" xfId="96" applyNumberFormat="1" applyFont="1" applyBorder="1"/>
    <xf numFmtId="3" fontId="107" fillId="0" borderId="94" xfId="97" applyNumberFormat="1" applyFont="1" applyBorder="1"/>
    <xf numFmtId="3" fontId="107" fillId="0" borderId="21" xfId="97" applyNumberFormat="1" applyFont="1" applyBorder="1"/>
    <xf numFmtId="3" fontId="107" fillId="0" borderId="60" xfId="96" applyNumberFormat="1" applyFont="1" applyBorder="1"/>
    <xf numFmtId="3" fontId="107" fillId="0" borderId="0" xfId="96" applyNumberFormat="1" applyFont="1"/>
    <xf numFmtId="3" fontId="34" fillId="0" borderId="18" xfId="96" applyNumberFormat="1" applyFont="1" applyBorder="1" applyAlignment="1">
      <alignment horizontal="center"/>
    </xf>
    <xf numFmtId="3" fontId="34" fillId="0" borderId="0" xfId="96" applyNumberFormat="1" applyFont="1" applyBorder="1"/>
    <xf numFmtId="3" fontId="34" fillId="0" borderId="0" xfId="97" applyNumberFormat="1" applyFont="1" applyBorder="1"/>
    <xf numFmtId="3" fontId="34" fillId="0" borderId="15" xfId="97" applyNumberFormat="1" applyFont="1" applyBorder="1"/>
    <xf numFmtId="3" fontId="34" fillId="0" borderId="68" xfId="96" applyNumberFormat="1" applyFont="1" applyBorder="1"/>
    <xf numFmtId="3" fontId="34" fillId="0" borderId="0" xfId="96" applyNumberFormat="1" applyFont="1"/>
    <xf numFmtId="3" fontId="34" fillId="0" borderId="40" xfId="96" applyNumberFormat="1" applyFont="1" applyBorder="1" applyAlignment="1">
      <alignment horizontal="center"/>
    </xf>
    <xf numFmtId="3" fontId="34" fillId="0" borderId="37" xfId="96" applyNumberFormat="1" applyFont="1" applyBorder="1"/>
    <xf numFmtId="3" fontId="34" fillId="0" borderId="37" xfId="97" applyNumberFormat="1" applyFont="1" applyBorder="1"/>
    <xf numFmtId="3" fontId="34" fillId="0" borderId="36" xfId="97" applyNumberFormat="1" applyFont="1" applyBorder="1"/>
    <xf numFmtId="3" fontId="34" fillId="0" borderId="59" xfId="96" applyNumberFormat="1" applyFont="1" applyBorder="1"/>
    <xf numFmtId="3" fontId="126" fillId="0" borderId="0" xfId="97" applyNumberFormat="1" applyFont="1" applyBorder="1"/>
    <xf numFmtId="3" fontId="8" fillId="0" borderId="0" xfId="97" applyNumberFormat="1" applyFont="1" applyBorder="1"/>
    <xf numFmtId="3" fontId="8" fillId="0" borderId="15" xfId="97" applyNumberFormat="1" applyFont="1" applyBorder="1"/>
    <xf numFmtId="3" fontId="34" fillId="0" borderId="59" xfId="96" applyNumberFormat="1" applyFont="1" applyBorder="1" applyAlignment="1">
      <alignment horizontal="right"/>
    </xf>
    <xf numFmtId="3" fontId="34" fillId="0" borderId="68" xfId="96" applyNumberFormat="1" applyFont="1" applyBorder="1" applyAlignment="1">
      <alignment horizontal="right"/>
    </xf>
    <xf numFmtId="3" fontId="72" fillId="0" borderId="0" xfId="97" applyNumberFormat="1" applyFont="1" applyBorder="1"/>
    <xf numFmtId="3" fontId="72" fillId="0" borderId="15" xfId="97" applyNumberFormat="1" applyFont="1" applyBorder="1"/>
    <xf numFmtId="3" fontId="72" fillId="0" borderId="37" xfId="97" applyNumberFormat="1" applyFont="1" applyBorder="1"/>
    <xf numFmtId="3" fontId="72" fillId="0" borderId="36" xfId="97" applyNumberFormat="1" applyFont="1" applyBorder="1"/>
    <xf numFmtId="3" fontId="14" fillId="0" borderId="18" xfId="96" applyNumberFormat="1" applyFont="1" applyBorder="1" applyAlignment="1">
      <alignment horizontal="center"/>
    </xf>
    <xf numFmtId="3" fontId="14" fillId="0" borderId="0" xfId="96" applyNumberFormat="1" applyFont="1" applyBorder="1"/>
    <xf numFmtId="3" fontId="56" fillId="0" borderId="0" xfId="97" applyNumberFormat="1" applyFont="1" applyBorder="1"/>
    <xf numFmtId="3" fontId="56" fillId="0" borderId="15" xfId="97" applyNumberFormat="1" applyFont="1" applyBorder="1"/>
    <xf numFmtId="3" fontId="14" fillId="0" borderId="59" xfId="96" applyNumberFormat="1" applyFont="1" applyBorder="1"/>
    <xf numFmtId="3" fontId="14" fillId="0" borderId="0" xfId="96" applyNumberFormat="1" applyFont="1"/>
    <xf numFmtId="3" fontId="8" fillId="0" borderId="0" xfId="96" applyNumberFormat="1" applyFont="1" applyBorder="1" applyAlignment="1">
      <alignment horizontal="center"/>
    </xf>
    <xf numFmtId="3" fontId="107" fillId="0" borderId="20" xfId="96" applyNumberFormat="1" applyFont="1" applyBorder="1" applyAlignment="1">
      <alignment horizontal="left"/>
    </xf>
    <xf numFmtId="3" fontId="125" fillId="0" borderId="20" xfId="96" applyNumberFormat="1" applyFont="1" applyBorder="1" applyAlignment="1">
      <alignment horizontal="center"/>
    </xf>
    <xf numFmtId="3" fontId="125" fillId="0" borderId="94" xfId="96" applyNumberFormat="1" applyFont="1" applyBorder="1"/>
    <xf numFmtId="3" fontId="125" fillId="0" borderId="94" xfId="97" applyNumberFormat="1" applyFont="1" applyBorder="1"/>
    <xf numFmtId="3" fontId="125" fillId="0" borderId="21" xfId="97" applyNumberFormat="1" applyFont="1" applyBorder="1"/>
    <xf numFmtId="3" fontId="125" fillId="0" borderId="60" xfId="96" applyNumberFormat="1" applyFont="1" applyBorder="1" applyAlignment="1">
      <alignment horizontal="right"/>
    </xf>
    <xf numFmtId="3" fontId="125" fillId="0" borderId="0" xfId="96" applyNumberFormat="1" applyFont="1"/>
    <xf numFmtId="3" fontId="8" fillId="0" borderId="23" xfId="96" applyNumberFormat="1" applyFont="1" applyBorder="1" applyAlignment="1">
      <alignment horizontal="center"/>
    </xf>
    <xf numFmtId="3" fontId="8" fillId="0" borderId="46" xfId="96" applyNumberFormat="1" applyFont="1" applyBorder="1"/>
    <xf numFmtId="3" fontId="8" fillId="0" borderId="46" xfId="97" applyNumberFormat="1" applyFont="1" applyBorder="1"/>
    <xf numFmtId="3" fontId="8" fillId="0" borderId="45" xfId="97" applyNumberFormat="1" applyFont="1" applyBorder="1"/>
    <xf numFmtId="3" fontId="8" fillId="0" borderId="27" xfId="96" applyNumberFormat="1" applyFont="1" applyBorder="1"/>
    <xf numFmtId="3" fontId="106" fillId="0" borderId="18" xfId="96" applyNumberFormat="1" applyFont="1" applyBorder="1" applyAlignment="1"/>
    <xf numFmtId="3" fontId="106" fillId="0" borderId="0" xfId="96" applyNumberFormat="1" applyFont="1" applyBorder="1"/>
    <xf numFmtId="3" fontId="106" fillId="0" borderId="15" xfId="96" applyNumberFormat="1" applyFont="1" applyBorder="1"/>
    <xf numFmtId="3" fontId="106" fillId="0" borderId="59" xfId="96" applyNumberFormat="1" applyFont="1" applyBorder="1"/>
    <xf numFmtId="3" fontId="106" fillId="0" borderId="0" xfId="96" applyNumberFormat="1" applyFont="1"/>
    <xf numFmtId="3" fontId="34" fillId="0" borderId="36" xfId="96" applyNumberFormat="1" applyFont="1" applyFill="1" applyBorder="1"/>
    <xf numFmtId="3" fontId="34" fillId="0" borderId="15" xfId="96" applyNumberFormat="1" applyFont="1" applyFill="1" applyBorder="1"/>
    <xf numFmtId="3" fontId="14" fillId="0" borderId="15" xfId="96" applyNumberFormat="1" applyFont="1" applyFill="1" applyBorder="1"/>
    <xf numFmtId="3" fontId="14" fillId="0" borderId="59" xfId="96" applyNumberFormat="1" applyFont="1" applyFill="1" applyBorder="1"/>
    <xf numFmtId="3" fontId="34" fillId="0" borderId="68" xfId="96" applyNumberFormat="1" applyFont="1" applyFill="1" applyBorder="1"/>
    <xf numFmtId="3" fontId="14" fillId="0" borderId="40" xfId="96" applyNumberFormat="1" applyFont="1" applyFill="1" applyBorder="1"/>
    <xf numFmtId="3" fontId="34" fillId="0" borderId="18" xfId="96" applyNumberFormat="1" applyFont="1" applyFill="1" applyBorder="1" applyAlignment="1">
      <alignment horizontal="center"/>
    </xf>
    <xf numFmtId="3" fontId="34" fillId="0" borderId="0" xfId="96" applyNumberFormat="1" applyFont="1" applyFill="1" applyBorder="1"/>
    <xf numFmtId="3" fontId="34" fillId="0" borderId="59" xfId="96" applyNumberFormat="1" applyFont="1" applyFill="1" applyBorder="1"/>
    <xf numFmtId="3" fontId="34" fillId="0" borderId="0" xfId="96" applyNumberFormat="1" applyFont="1" applyFill="1"/>
    <xf numFmtId="3" fontId="34" fillId="0" borderId="40" xfId="96" applyNumberFormat="1" applyFont="1" applyFill="1" applyBorder="1" applyAlignment="1">
      <alignment horizontal="center"/>
    </xf>
    <xf numFmtId="3" fontId="34" fillId="0" borderId="37" xfId="96" applyNumberFormat="1" applyFont="1" applyFill="1" applyBorder="1"/>
    <xf numFmtId="3" fontId="14" fillId="0" borderId="18" xfId="96" applyNumberFormat="1" applyFont="1" applyFill="1" applyBorder="1" applyAlignment="1">
      <alignment horizontal="center"/>
    </xf>
    <xf numFmtId="3" fontId="14" fillId="0" borderId="0" xfId="96" applyNumberFormat="1" applyFont="1" applyFill="1" applyBorder="1"/>
    <xf numFmtId="3" fontId="14" fillId="0" borderId="18" xfId="96" applyNumberFormat="1" applyFont="1" applyFill="1" applyBorder="1"/>
    <xf numFmtId="3" fontId="123" fillId="0" borderId="36" xfId="96" applyNumberFormat="1" applyFont="1" applyFill="1" applyBorder="1"/>
    <xf numFmtId="3" fontId="123" fillId="0" borderId="37" xfId="96" applyNumberFormat="1" applyFont="1" applyFill="1" applyBorder="1"/>
    <xf numFmtId="3" fontId="123" fillId="0" borderId="68" xfId="96" applyNumberFormat="1" applyFont="1" applyFill="1" applyBorder="1"/>
    <xf numFmtId="3" fontId="14" fillId="0" borderId="19" xfId="96" applyNumberFormat="1" applyFont="1" applyBorder="1" applyAlignment="1">
      <alignment horizontal="center"/>
    </xf>
    <xf numFmtId="3" fontId="14" fillId="0" borderId="61" xfId="96" applyNumberFormat="1" applyFont="1" applyBorder="1"/>
    <xf numFmtId="3" fontId="14" fillId="0" borderId="16" xfId="96" applyNumberFormat="1" applyFont="1" applyBorder="1"/>
    <xf numFmtId="3" fontId="14" fillId="0" borderId="28" xfId="96" applyNumberFormat="1" applyFont="1" applyFill="1" applyBorder="1"/>
    <xf numFmtId="3" fontId="129" fillId="0" borderId="0" xfId="99" applyNumberFormat="1" applyFont="1" applyBorder="1" applyAlignment="1">
      <alignment horizontal="right"/>
    </xf>
    <xf numFmtId="3" fontId="130" fillId="0" borderId="0" xfId="99" applyNumberFormat="1" applyFont="1" applyBorder="1" applyAlignment="1">
      <alignment horizontal="right"/>
    </xf>
    <xf numFmtId="0" fontId="127" fillId="0" borderId="0" xfId="100" applyBorder="1"/>
    <xf numFmtId="0" fontId="131" fillId="0" borderId="0" xfId="100" applyFont="1" applyBorder="1"/>
    <xf numFmtId="0" fontId="132" fillId="0" borderId="0" xfId="98" applyFont="1" applyFill="1"/>
    <xf numFmtId="0" fontId="133" fillId="0" borderId="0" xfId="98" applyFont="1" applyFill="1"/>
    <xf numFmtId="0" fontId="132" fillId="0" borderId="0" xfId="98" applyFont="1" applyFill="1" applyAlignment="1">
      <alignment horizontal="left"/>
    </xf>
    <xf numFmtId="0" fontId="133" fillId="0" borderId="0" xfId="98" applyFont="1" applyFill="1" applyAlignment="1">
      <alignment horizontal="left"/>
    </xf>
    <xf numFmtId="0" fontId="134" fillId="0" borderId="0" xfId="98" applyFont="1"/>
    <xf numFmtId="0" fontId="136" fillId="0" borderId="23" xfId="98" applyFont="1" applyBorder="1" applyAlignment="1">
      <alignment horizontal="center" vertical="center"/>
    </xf>
    <xf numFmtId="0" fontId="137" fillId="0" borderId="0" xfId="100" applyFont="1" applyBorder="1"/>
    <xf numFmtId="0" fontId="133" fillId="0" borderId="0" xfId="100" applyFont="1" applyBorder="1"/>
    <xf numFmtId="0" fontId="136" fillId="0" borderId="18" xfId="98" applyFont="1" applyBorder="1" applyAlignment="1">
      <alignment horizontal="center" vertical="center"/>
    </xf>
    <xf numFmtId="0" fontId="136" fillId="0" borderId="19" xfId="98" applyFont="1" applyBorder="1" applyAlignment="1">
      <alignment horizontal="center" vertical="center"/>
    </xf>
    <xf numFmtId="0" fontId="134" fillId="0" borderId="18" xfId="101" applyFont="1" applyFill="1" applyBorder="1" applyAlignment="1" applyProtection="1">
      <alignment horizontal="left" vertical="top"/>
    </xf>
    <xf numFmtId="3" fontId="135" fillId="0" borderId="99" xfId="99" applyNumberFormat="1" applyFont="1" applyFill="1" applyBorder="1" applyAlignment="1">
      <alignment horizontal="left"/>
    </xf>
    <xf numFmtId="3" fontId="135" fillId="0" borderId="116" xfId="99" applyNumberFormat="1" applyFont="1" applyFill="1" applyBorder="1" applyAlignment="1">
      <alignment horizontal="right"/>
    </xf>
    <xf numFmtId="3" fontId="131" fillId="0" borderId="0" xfId="100" applyNumberFormat="1" applyFont="1" applyBorder="1"/>
    <xf numFmtId="3" fontId="135" fillId="0" borderId="26" xfId="99" applyNumberFormat="1" applyFont="1" applyFill="1" applyBorder="1" applyAlignment="1">
      <alignment horizontal="left"/>
    </xf>
    <xf numFmtId="3" fontId="135" fillId="0" borderId="78" xfId="99" applyNumberFormat="1" applyFont="1" applyFill="1" applyBorder="1" applyAlignment="1">
      <alignment horizontal="right"/>
    </xf>
    <xf numFmtId="0" fontId="134" fillId="0" borderId="19" xfId="101" applyFont="1" applyFill="1" applyBorder="1" applyAlignment="1" applyProtection="1">
      <alignment horizontal="left" vertical="top"/>
    </xf>
    <xf numFmtId="3" fontId="135" fillId="0" borderId="19" xfId="99" applyNumberFormat="1" applyFont="1" applyFill="1" applyBorder="1" applyAlignment="1">
      <alignment horizontal="left"/>
    </xf>
    <xf numFmtId="3" fontId="135" fillId="0" borderId="70" xfId="99" applyNumberFormat="1" applyFont="1" applyFill="1" applyBorder="1" applyAlignment="1">
      <alignment horizontal="right"/>
    </xf>
    <xf numFmtId="0" fontId="134" fillId="0" borderId="83" xfId="101" applyFont="1" applyFill="1" applyBorder="1" applyAlignment="1" applyProtection="1">
      <alignment horizontal="left" vertical="top"/>
    </xf>
    <xf numFmtId="3" fontId="135" fillId="0" borderId="134" xfId="99" applyNumberFormat="1" applyFont="1" applyFill="1" applyBorder="1" applyAlignment="1">
      <alignment horizontal="right"/>
    </xf>
    <xf numFmtId="0" fontId="134" fillId="0" borderId="69" xfId="101" applyFont="1" applyFill="1" applyBorder="1" applyAlignment="1" applyProtection="1">
      <alignment horizontal="left" vertical="top"/>
    </xf>
    <xf numFmtId="3" fontId="135" fillId="0" borderId="124" xfId="99" applyNumberFormat="1" applyFont="1" applyFill="1" applyBorder="1" applyAlignment="1">
      <alignment horizontal="left"/>
    </xf>
    <xf numFmtId="3" fontId="135" fillId="0" borderId="83" xfId="99" applyNumberFormat="1" applyFont="1" applyFill="1" applyBorder="1" applyAlignment="1">
      <alignment horizontal="right"/>
    </xf>
    <xf numFmtId="0" fontId="134" fillId="0" borderId="69" xfId="101" applyFont="1" applyFill="1" applyBorder="1" applyAlignment="1" applyProtection="1">
      <alignment vertical="top"/>
    </xf>
    <xf numFmtId="3" fontId="135" fillId="0" borderId="17" xfId="99" applyNumberFormat="1" applyFont="1" applyFill="1" applyBorder="1" applyAlignment="1">
      <alignment horizontal="left"/>
    </xf>
    <xf numFmtId="3" fontId="135" fillId="0" borderId="69" xfId="99" applyNumberFormat="1" applyFont="1" applyFill="1" applyBorder="1" applyAlignment="1">
      <alignment horizontal="right"/>
    </xf>
    <xf numFmtId="3" fontId="135" fillId="0" borderId="76" xfId="99" applyNumberFormat="1" applyFont="1" applyFill="1" applyBorder="1" applyAlignment="1">
      <alignment horizontal="right"/>
    </xf>
    <xf numFmtId="3" fontId="135" fillId="0" borderId="90" xfId="99" applyNumberFormat="1" applyFont="1" applyFill="1" applyBorder="1" applyAlignment="1">
      <alignment horizontal="right"/>
    </xf>
    <xf numFmtId="3" fontId="136" fillId="0" borderId="70" xfId="99" applyNumberFormat="1" applyFont="1" applyFill="1" applyBorder="1" applyAlignment="1">
      <alignment horizontal="right"/>
    </xf>
    <xf numFmtId="0" fontId="140" fillId="0" borderId="0" xfId="100" applyFont="1" applyBorder="1"/>
    <xf numFmtId="3" fontId="141" fillId="0" borderId="0" xfId="100" applyNumberFormat="1" applyFont="1" applyBorder="1"/>
    <xf numFmtId="3" fontId="133" fillId="0" borderId="0" xfId="100" applyNumberFormat="1" applyFont="1" applyBorder="1"/>
    <xf numFmtId="3" fontId="142" fillId="0" borderId="76" xfId="98" applyNumberFormat="1" applyFont="1" applyFill="1" applyBorder="1" applyAlignment="1">
      <alignment horizontal="left"/>
    </xf>
    <xf numFmtId="3" fontId="136" fillId="0" borderId="76" xfId="99" applyNumberFormat="1" applyFont="1" applyFill="1" applyBorder="1" applyAlignment="1">
      <alignment horizontal="right"/>
    </xf>
    <xf numFmtId="0" fontId="139" fillId="0" borderId="83" xfId="98" applyFont="1" applyFill="1" applyBorder="1" applyAlignment="1" applyProtection="1">
      <alignment horizontal="center" vertical="center"/>
    </xf>
    <xf numFmtId="0" fontId="142" fillId="0" borderId="69" xfId="98" applyFont="1" applyFill="1" applyBorder="1" applyProtection="1"/>
    <xf numFmtId="0" fontId="134" fillId="0" borderId="69" xfId="98" applyFont="1" applyFill="1" applyBorder="1" applyAlignment="1" applyProtection="1">
      <alignment horizontal="left" vertical="top"/>
    </xf>
    <xf numFmtId="3" fontId="135" fillId="0" borderId="20" xfId="99" applyNumberFormat="1" applyFont="1" applyFill="1" applyBorder="1" applyAlignment="1">
      <alignment horizontal="left"/>
    </xf>
    <xf numFmtId="0" fontId="134" fillId="0" borderId="83" xfId="0" applyFont="1" applyFill="1" applyBorder="1" applyAlignment="1">
      <alignment vertical="top"/>
    </xf>
    <xf numFmtId="3" fontId="135" fillId="0" borderId="134" xfId="99" applyNumberFormat="1" applyFont="1" applyFill="1" applyBorder="1" applyAlignment="1">
      <alignment horizontal="left"/>
    </xf>
    <xf numFmtId="3" fontId="135" fillId="0" borderId="78" xfId="99" applyNumberFormat="1" applyFont="1" applyFill="1" applyBorder="1" applyAlignment="1">
      <alignment horizontal="left"/>
    </xf>
    <xf numFmtId="3" fontId="135" fillId="0" borderId="90" xfId="99" applyNumberFormat="1" applyFont="1" applyFill="1" applyBorder="1" applyAlignment="1">
      <alignment horizontal="left"/>
    </xf>
    <xf numFmtId="0" fontId="134" fillId="0" borderId="69" xfId="0" applyFont="1" applyFill="1" applyBorder="1" applyAlignment="1">
      <alignment horizontal="right" vertical="top"/>
    </xf>
    <xf numFmtId="0" fontId="134" fillId="0" borderId="18" xfId="98" applyFont="1" applyFill="1" applyBorder="1"/>
    <xf numFmtId="0" fontId="142" fillId="0" borderId="77" xfId="98" applyFont="1" applyFill="1" applyBorder="1" applyAlignment="1" applyProtection="1">
      <alignment horizontal="left"/>
    </xf>
    <xf numFmtId="3" fontId="136" fillId="0" borderId="77" xfId="99" applyNumberFormat="1" applyFont="1" applyFill="1" applyBorder="1" applyAlignment="1">
      <alignment horizontal="right"/>
    </xf>
    <xf numFmtId="0" fontId="142" fillId="0" borderId="83" xfId="98" applyFont="1" applyFill="1" applyBorder="1" applyProtection="1"/>
    <xf numFmtId="3" fontId="135" fillId="0" borderId="78" xfId="99" applyNumberFormat="1" applyFont="1" applyFill="1" applyBorder="1" applyAlignment="1"/>
    <xf numFmtId="0" fontId="142" fillId="0" borderId="23" xfId="98" applyFont="1" applyFill="1" applyBorder="1" applyProtection="1"/>
    <xf numFmtId="0" fontId="134" fillId="0" borderId="18" xfId="98" applyFont="1" applyFill="1" applyBorder="1" applyAlignment="1" applyProtection="1">
      <alignment vertical="top"/>
    </xf>
    <xf numFmtId="0" fontId="134" fillId="0" borderId="18" xfId="98" applyFont="1" applyFill="1" applyBorder="1" applyAlignment="1" applyProtection="1">
      <alignment horizontal="right" vertical="top"/>
    </xf>
    <xf numFmtId="0" fontId="134" fillId="0" borderId="18" xfId="98" applyFont="1" applyFill="1" applyBorder="1" applyAlignment="1" applyProtection="1">
      <alignment horizontal="left" vertical="top" wrapText="1"/>
    </xf>
    <xf numFmtId="164" fontId="134" fillId="0" borderId="18" xfId="89" applyNumberFormat="1" applyFont="1" applyFill="1" applyBorder="1" applyAlignment="1" applyProtection="1">
      <alignment horizontal="right" vertical="top" wrapText="1"/>
    </xf>
    <xf numFmtId="0" fontId="136" fillId="0" borderId="77" xfId="98" applyFont="1" applyFill="1" applyBorder="1" applyAlignment="1" applyProtection="1">
      <alignment horizontal="center" vertical="center"/>
    </xf>
    <xf numFmtId="3" fontId="135" fillId="0" borderId="76" xfId="99" applyNumberFormat="1" applyFont="1" applyFill="1" applyBorder="1" applyAlignment="1"/>
    <xf numFmtId="3" fontId="136" fillId="0" borderId="77" xfId="99" applyNumberFormat="1" applyFont="1" applyFill="1" applyBorder="1" applyAlignment="1"/>
    <xf numFmtId="3" fontId="143" fillId="0" borderId="0" xfId="99" applyNumberFormat="1" applyFont="1" applyBorder="1" applyAlignment="1"/>
    <xf numFmtId="3" fontId="144" fillId="0" borderId="0" xfId="99" applyNumberFormat="1" applyFont="1" applyBorder="1" applyAlignment="1">
      <alignment horizontal="right"/>
    </xf>
    <xf numFmtId="3" fontId="145" fillId="0" borderId="0" xfId="99" applyNumberFormat="1" applyFont="1" applyBorder="1" applyAlignment="1">
      <alignment horizontal="right"/>
    </xf>
    <xf numFmtId="0" fontId="144" fillId="0" borderId="0" xfId="98" applyFont="1"/>
    <xf numFmtId="3" fontId="146" fillId="0" borderId="0" xfId="99" applyNumberFormat="1" applyFont="1" applyBorder="1" applyAlignment="1">
      <alignment horizontal="right"/>
    </xf>
    <xf numFmtId="0" fontId="144" fillId="0" borderId="0" xfId="100" applyFont="1"/>
    <xf numFmtId="0" fontId="78" fillId="0" borderId="69" xfId="100" applyFont="1" applyBorder="1" applyAlignment="1">
      <alignment horizontal="center"/>
    </xf>
    <xf numFmtId="0" fontId="100" fillId="0" borderId="0" xfId="102" applyFont="1"/>
    <xf numFmtId="0" fontId="147" fillId="0" borderId="0" xfId="102" applyFont="1"/>
    <xf numFmtId="3" fontId="100" fillId="0" borderId="0" xfId="102" applyNumberFormat="1" applyFont="1"/>
    <xf numFmtId="3" fontId="147" fillId="0" borderId="0" xfId="102" applyNumberFormat="1" applyFont="1"/>
    <xf numFmtId="0" fontId="99" fillId="0" borderId="0" xfId="102" applyFont="1"/>
    <xf numFmtId="3" fontId="99" fillId="0" borderId="0" xfId="102" applyNumberFormat="1" applyFont="1"/>
    <xf numFmtId="0" fontId="100" fillId="0" borderId="0" xfId="102" applyFont="1" applyAlignment="1">
      <alignment horizontal="right"/>
    </xf>
    <xf numFmtId="0" fontId="148" fillId="0" borderId="0" xfId="102" applyFont="1" applyAlignment="1">
      <alignment horizontal="center"/>
    </xf>
    <xf numFmtId="0" fontId="99" fillId="0" borderId="0" xfId="102" applyFont="1" applyBorder="1"/>
    <xf numFmtId="3" fontId="100" fillId="0" borderId="0" xfId="102" applyNumberFormat="1" applyFont="1" applyBorder="1"/>
    <xf numFmtId="14" fontId="100" fillId="0" borderId="0" xfId="102" applyNumberFormat="1" applyFont="1"/>
    <xf numFmtId="0" fontId="100" fillId="0" borderId="0" xfId="102" applyFont="1" applyFill="1"/>
    <xf numFmtId="3" fontId="100" fillId="0" borderId="0" xfId="102" applyNumberFormat="1" applyFont="1" applyFill="1" applyBorder="1"/>
    <xf numFmtId="14" fontId="100" fillId="0" borderId="0" xfId="102" applyNumberFormat="1" applyFont="1" applyFill="1"/>
    <xf numFmtId="0" fontId="110" fillId="0" borderId="30" xfId="102" applyFont="1" applyFill="1" applyBorder="1"/>
    <xf numFmtId="3" fontId="149" fillId="0" borderId="0" xfId="102" applyNumberFormat="1" applyFont="1"/>
    <xf numFmtId="0" fontId="150" fillId="0" borderId="0" xfId="102" applyFont="1"/>
    <xf numFmtId="0" fontId="100" fillId="0" borderId="0" xfId="102" applyFont="1" applyBorder="1"/>
    <xf numFmtId="0" fontId="101" fillId="0" borderId="0" xfId="102" applyFont="1"/>
    <xf numFmtId="0" fontId="150" fillId="0" borderId="0" xfId="102" applyFont="1" applyBorder="1"/>
    <xf numFmtId="0" fontId="62" fillId="0" borderId="0" xfId="105" applyFont="1"/>
    <xf numFmtId="0" fontId="62" fillId="0" borderId="0" xfId="105" applyFont="1" applyFill="1"/>
    <xf numFmtId="3" fontId="62" fillId="0" borderId="0" xfId="105" applyNumberFormat="1" applyFont="1" applyFill="1"/>
    <xf numFmtId="0" fontId="7" fillId="0" borderId="0" xfId="105" applyFont="1"/>
    <xf numFmtId="0" fontId="5" fillId="0" borderId="0" xfId="105" applyFont="1"/>
    <xf numFmtId="0" fontId="4" fillId="0" borderId="0" xfId="105" applyFont="1"/>
    <xf numFmtId="0" fontId="4" fillId="0" borderId="0" xfId="105" applyFont="1" applyAlignment="1">
      <alignment horizontal="right"/>
    </xf>
    <xf numFmtId="0" fontId="5" fillId="0" borderId="0" xfId="105" applyFont="1" applyFill="1"/>
    <xf numFmtId="0" fontId="36" fillId="0" borderId="83" xfId="105" applyFont="1" applyBorder="1" applyAlignment="1">
      <alignment horizontal="center"/>
    </xf>
    <xf numFmtId="0" fontId="36" fillId="0" borderId="23" xfId="105" applyFont="1" applyBorder="1" applyAlignment="1">
      <alignment horizontal="center"/>
    </xf>
    <xf numFmtId="0" fontId="36" fillId="0" borderId="53" xfId="105" applyFont="1" applyBorder="1" applyAlignment="1">
      <alignment horizontal="center"/>
    </xf>
    <xf numFmtId="0" fontId="60" fillId="0" borderId="0" xfId="105" applyFont="1" applyFill="1"/>
    <xf numFmtId="0" fontId="60" fillId="0" borderId="0" xfId="105" applyFont="1"/>
    <xf numFmtId="0" fontId="36" fillId="0" borderId="69" xfId="105" applyFont="1" applyBorder="1" applyAlignment="1">
      <alignment horizontal="center"/>
    </xf>
    <xf numFmtId="0" fontId="60" fillId="0" borderId="18" xfId="105" applyFont="1" applyBorder="1"/>
    <xf numFmtId="0" fontId="36" fillId="0" borderId="86" xfId="105" applyFont="1" applyBorder="1" applyAlignment="1">
      <alignment horizontal="center"/>
    </xf>
    <xf numFmtId="0" fontId="36" fillId="0" borderId="70" xfId="105" applyFont="1" applyBorder="1" applyAlignment="1">
      <alignment horizontal="center"/>
    </xf>
    <xf numFmtId="0" fontId="60" fillId="0" borderId="19" xfId="105" applyFont="1" applyBorder="1"/>
    <xf numFmtId="0" fontId="36" fillId="0" borderId="70" xfId="105" applyFont="1" applyBorder="1" applyAlignment="1">
      <alignment horizontal="center" vertical="center" wrapText="1"/>
    </xf>
    <xf numFmtId="0" fontId="36" fillId="0" borderId="84" xfId="105" applyFont="1" applyBorder="1" applyAlignment="1">
      <alignment horizontal="center" vertical="center" wrapText="1"/>
    </xf>
    <xf numFmtId="0" fontId="36" fillId="0" borderId="84" xfId="105" applyFont="1" applyBorder="1" applyAlignment="1">
      <alignment horizontal="justify"/>
    </xf>
    <xf numFmtId="0" fontId="151" fillId="0" borderId="0" xfId="105" applyFont="1" applyFill="1" applyAlignment="1">
      <alignment horizontal="center"/>
    </xf>
    <xf numFmtId="0" fontId="16" fillId="0" borderId="69" xfId="105" applyFont="1" applyBorder="1" applyAlignment="1">
      <alignment horizontal="center"/>
    </xf>
    <xf numFmtId="0" fontId="16" fillId="0" borderId="18" xfId="105" applyFont="1" applyBorder="1" applyAlignment="1">
      <alignment horizontal="center"/>
    </xf>
    <xf numFmtId="0" fontId="5" fillId="0" borderId="83" xfId="105" applyFont="1" applyBorder="1" applyAlignment="1">
      <alignment horizontal="center"/>
    </xf>
    <xf numFmtId="0" fontId="5" fillId="0" borderId="53" xfId="105" applyFont="1" applyBorder="1" applyAlignment="1">
      <alignment horizontal="center"/>
    </xf>
    <xf numFmtId="0" fontId="16" fillId="0" borderId="53" xfId="105" applyFont="1" applyBorder="1" applyAlignment="1">
      <alignment horizontal="center"/>
    </xf>
    <xf numFmtId="0" fontId="4" fillId="0" borderId="69" xfId="105" applyFont="1" applyBorder="1" applyAlignment="1">
      <alignment horizontal="center"/>
    </xf>
    <xf numFmtId="0" fontId="16" fillId="0" borderId="23" xfId="105" applyFont="1" applyBorder="1" applyAlignment="1">
      <alignment horizontal="center"/>
    </xf>
    <xf numFmtId="0" fontId="88" fillId="0" borderId="0" xfId="105" applyFont="1" applyFill="1" applyAlignment="1">
      <alignment horizontal="center"/>
    </xf>
    <xf numFmtId="3" fontId="36" fillId="0" borderId="116" xfId="105" applyNumberFormat="1" applyFont="1" applyBorder="1" applyAlignment="1">
      <alignment horizontal="center"/>
    </xf>
    <xf numFmtId="0" fontId="123" fillId="0" borderId="99" xfId="106" applyFont="1" applyBorder="1"/>
    <xf numFmtId="3" fontId="60" fillId="0" borderId="116" xfId="105" applyNumberFormat="1" applyFont="1" applyBorder="1"/>
    <xf numFmtId="3" fontId="36" fillId="0" borderId="116" xfId="105" applyNumberFormat="1" applyFont="1" applyBorder="1"/>
    <xf numFmtId="3" fontId="15" fillId="0" borderId="69" xfId="105" applyNumberFormat="1" applyFont="1" applyBorder="1" applyAlignment="1">
      <alignment horizontal="center"/>
    </xf>
    <xf numFmtId="3" fontId="35" fillId="0" borderId="69" xfId="105" applyNumberFormat="1" applyFont="1" applyBorder="1"/>
    <xf numFmtId="3" fontId="35" fillId="0" borderId="116" xfId="105" applyNumberFormat="1" applyFont="1" applyBorder="1"/>
    <xf numFmtId="3" fontId="5" fillId="0" borderId="0" xfId="105" applyNumberFormat="1" applyFont="1" applyFill="1"/>
    <xf numFmtId="3" fontId="36" fillId="0" borderId="78" xfId="105" applyNumberFormat="1" applyFont="1" applyBorder="1" applyAlignment="1">
      <alignment horizontal="center"/>
    </xf>
    <xf numFmtId="0" fontId="123" fillId="0" borderId="26" xfId="106" applyFont="1" applyBorder="1"/>
    <xf numFmtId="3" fontId="15" fillId="0" borderId="78" xfId="105" applyNumberFormat="1" applyFont="1" applyBorder="1" applyAlignment="1">
      <alignment horizontal="center"/>
    </xf>
    <xf numFmtId="0" fontId="123" fillId="0" borderId="26" xfId="106" applyFont="1" applyBorder="1" applyAlignment="1">
      <alignment wrapText="1"/>
    </xf>
    <xf numFmtId="3" fontId="35" fillId="0" borderId="78" xfId="105" applyNumberFormat="1" applyFont="1" applyBorder="1"/>
    <xf numFmtId="3" fontId="15" fillId="0" borderId="90" xfId="105" applyNumberFormat="1" applyFont="1" applyBorder="1" applyAlignment="1">
      <alignment horizontal="center"/>
    </xf>
    <xf numFmtId="0" fontId="123" fillId="0" borderId="57" xfId="106" applyFont="1" applyBorder="1"/>
    <xf numFmtId="3" fontId="36" fillId="0" borderId="69" xfId="105" applyNumberFormat="1" applyFont="1" applyBorder="1"/>
    <xf numFmtId="3" fontId="36" fillId="0" borderId="77" xfId="105" applyNumberFormat="1" applyFont="1" applyBorder="1" applyAlignment="1">
      <alignment horizontal="center"/>
    </xf>
    <xf numFmtId="0" fontId="36" fillId="0" borderId="20" xfId="105" applyFont="1" applyBorder="1"/>
    <xf numFmtId="3" fontId="36" fillId="0" borderId="77" xfId="105" applyNumberFormat="1" applyFont="1" applyBorder="1"/>
    <xf numFmtId="3" fontId="15" fillId="0" borderId="77" xfId="105" applyNumberFormat="1" applyFont="1" applyBorder="1" applyAlignment="1">
      <alignment horizontal="center"/>
    </xf>
    <xf numFmtId="3" fontId="15" fillId="0" borderId="77" xfId="105" applyNumberFormat="1" applyFont="1" applyBorder="1"/>
    <xf numFmtId="3" fontId="15" fillId="0" borderId="134" xfId="105" applyNumberFormat="1" applyFont="1" applyBorder="1" applyAlignment="1">
      <alignment horizontal="center"/>
    </xf>
    <xf numFmtId="0" fontId="123" fillId="0" borderId="23" xfId="106" applyFont="1" applyBorder="1"/>
    <xf numFmtId="3" fontId="35" fillId="0" borderId="83" xfId="105" applyNumberFormat="1" applyFont="1" applyBorder="1"/>
    <xf numFmtId="0" fontId="16" fillId="0" borderId="0" xfId="105" applyFont="1" applyFill="1"/>
    <xf numFmtId="0" fontId="16" fillId="0" borderId="0" xfId="105" applyFont="1"/>
    <xf numFmtId="3" fontId="15" fillId="0" borderId="116" xfId="105" applyNumberFormat="1" applyFont="1" applyBorder="1" applyAlignment="1">
      <alignment horizontal="center"/>
    </xf>
    <xf numFmtId="0" fontId="123" fillId="0" borderId="18" xfId="106" applyFont="1" applyBorder="1"/>
    <xf numFmtId="3" fontId="16" fillId="0" borderId="77" xfId="105" applyNumberFormat="1" applyFont="1" applyBorder="1" applyAlignment="1">
      <alignment horizontal="center"/>
    </xf>
    <xf numFmtId="0" fontId="36" fillId="0" borderId="20" xfId="105" applyFont="1" applyBorder="1" applyAlignment="1">
      <alignment horizontal="justify"/>
    </xf>
    <xf numFmtId="3" fontId="16" fillId="0" borderId="77" xfId="105" applyNumberFormat="1" applyFont="1" applyFill="1" applyBorder="1" applyAlignment="1">
      <alignment horizontal="center"/>
    </xf>
    <xf numFmtId="3" fontId="16" fillId="0" borderId="69" xfId="105" applyNumberFormat="1" applyFont="1" applyBorder="1" applyAlignment="1">
      <alignment horizontal="center"/>
    </xf>
    <xf numFmtId="0" fontId="36" fillId="0" borderId="18" xfId="105" applyFont="1" applyBorder="1" applyAlignment="1">
      <alignment horizontal="justify"/>
    </xf>
    <xf numFmtId="3" fontId="60" fillId="0" borderId="77" xfId="105" applyNumberFormat="1" applyFont="1" applyBorder="1"/>
    <xf numFmtId="3" fontId="60" fillId="0" borderId="86" xfId="105" applyNumberFormat="1" applyFont="1" applyBorder="1"/>
    <xf numFmtId="3" fontId="4" fillId="0" borderId="83" xfId="105" applyNumberFormat="1" applyFont="1" applyBorder="1" applyAlignment="1">
      <alignment horizontal="center"/>
    </xf>
    <xf numFmtId="0" fontId="36" fillId="0" borderId="23" xfId="105" applyFont="1" applyBorder="1" applyAlignment="1">
      <alignment horizontal="justify"/>
    </xf>
    <xf numFmtId="3" fontId="4" fillId="0" borderId="77" xfId="105" applyNumberFormat="1" applyFont="1" applyBorder="1" applyAlignment="1">
      <alignment horizontal="center"/>
    </xf>
    <xf numFmtId="0" fontId="15" fillId="0" borderId="20" xfId="105" applyFont="1" applyBorder="1"/>
    <xf numFmtId="3" fontId="5" fillId="0" borderId="0" xfId="105" applyNumberFormat="1" applyFont="1"/>
    <xf numFmtId="3" fontId="4" fillId="0" borderId="0" xfId="105" applyNumberFormat="1" applyFont="1"/>
    <xf numFmtId="0" fontId="5" fillId="0" borderId="46" xfId="105" applyFont="1" applyBorder="1"/>
    <xf numFmtId="3" fontId="5" fillId="0" borderId="46" xfId="105" applyNumberFormat="1" applyFont="1" applyBorder="1"/>
    <xf numFmtId="3" fontId="4" fillId="0" borderId="46" xfId="105" applyNumberFormat="1" applyFont="1" applyBorder="1"/>
    <xf numFmtId="3" fontId="7" fillId="0" borderId="0" xfId="105" applyNumberFormat="1" applyFont="1" applyFill="1" applyBorder="1"/>
    <xf numFmtId="0" fontId="5" fillId="0" borderId="0" xfId="105" applyFont="1" applyAlignment="1">
      <alignment horizontal="right"/>
    </xf>
    <xf numFmtId="3" fontId="153" fillId="0" borderId="0" xfId="105" applyNumberFormat="1" applyFont="1" applyFill="1"/>
    <xf numFmtId="0" fontId="5" fillId="0" borderId="0" xfId="105" applyFont="1" applyBorder="1"/>
    <xf numFmtId="49" fontId="5" fillId="0" borderId="0" xfId="105" applyNumberFormat="1" applyFont="1" applyAlignment="1">
      <alignment horizontal="right"/>
    </xf>
    <xf numFmtId="3" fontId="4" fillId="0" borderId="0" xfId="105" applyNumberFormat="1" applyFont="1" applyFill="1"/>
    <xf numFmtId="3" fontId="4" fillId="0" borderId="0" xfId="105" applyNumberFormat="1" applyFont="1" applyFill="1" applyBorder="1"/>
    <xf numFmtId="3" fontId="4" fillId="0" borderId="0" xfId="105" applyNumberFormat="1" applyFont="1" applyBorder="1"/>
    <xf numFmtId="0" fontId="5" fillId="0" borderId="0" xfId="105" applyFont="1" applyAlignment="1">
      <alignment horizontal="left"/>
    </xf>
    <xf numFmtId="3" fontId="5" fillId="0" borderId="0" xfId="105" applyNumberFormat="1" applyFont="1" applyBorder="1"/>
    <xf numFmtId="49" fontId="5" fillId="0" borderId="0" xfId="105" applyNumberFormat="1" applyFont="1" applyAlignment="1">
      <alignment horizontal="left"/>
    </xf>
    <xf numFmtId="0" fontId="4" fillId="0" borderId="0" xfId="105" applyFont="1" applyBorder="1"/>
    <xf numFmtId="3" fontId="5" fillId="0" borderId="0" xfId="105" applyNumberFormat="1" applyFont="1" applyFill="1" applyBorder="1"/>
    <xf numFmtId="0" fontId="5" fillId="0" borderId="0" xfId="105" applyFont="1" applyFill="1" applyBorder="1"/>
    <xf numFmtId="3" fontId="36" fillId="0" borderId="20" xfId="0" applyNumberFormat="1" applyFont="1" applyFill="1" applyBorder="1"/>
    <xf numFmtId="4" fontId="62" fillId="0" borderId="81" xfId="0" applyNumberFormat="1" applyFont="1" applyFill="1" applyBorder="1" applyAlignment="1">
      <alignment horizontal="right"/>
    </xf>
    <xf numFmtId="3" fontId="58" fillId="0" borderId="46" xfId="0" applyNumberFormat="1" applyFont="1" applyFill="1" applyBorder="1" applyAlignment="1">
      <alignment horizontal="left"/>
    </xf>
    <xf numFmtId="0" fontId="58" fillId="27" borderId="45" xfId="0" applyFont="1" applyFill="1" applyBorder="1" applyAlignment="1">
      <alignment horizontal="center"/>
    </xf>
    <xf numFmtId="0" fontId="58" fillId="27" borderId="53" xfId="0" applyFont="1" applyFill="1" applyBorder="1" applyAlignment="1">
      <alignment horizontal="center"/>
    </xf>
    <xf numFmtId="3" fontId="58" fillId="0" borderId="23" xfId="0" applyNumberFormat="1" applyFont="1" applyFill="1" applyBorder="1" applyAlignment="1">
      <alignment horizontal="left"/>
    </xf>
    <xf numFmtId="3" fontId="62" fillId="0" borderId="46" xfId="0" applyNumberFormat="1" applyFont="1" applyFill="1" applyBorder="1"/>
    <xf numFmtId="0" fontId="58" fillId="0" borderId="19" xfId="0" applyFont="1" applyFill="1" applyBorder="1" applyAlignment="1" applyProtection="1">
      <alignment horizontal="left"/>
    </xf>
    <xf numFmtId="3" fontId="58" fillId="0" borderId="16" xfId="0" applyNumberFormat="1" applyFont="1" applyFill="1" applyBorder="1" applyAlignment="1">
      <alignment horizontal="left"/>
    </xf>
    <xf numFmtId="0" fontId="58" fillId="0" borderId="43" xfId="0" applyFont="1" applyBorder="1" applyAlignment="1">
      <alignment horizontal="center"/>
    </xf>
    <xf numFmtId="0" fontId="58" fillId="27" borderId="61" xfId="0" applyFont="1" applyFill="1" applyBorder="1" applyAlignment="1">
      <alignment horizontal="center"/>
    </xf>
    <xf numFmtId="0" fontId="58" fillId="27" borderId="84" xfId="0" applyFont="1" applyFill="1" applyBorder="1" applyAlignment="1">
      <alignment horizontal="center"/>
    </xf>
    <xf numFmtId="3" fontId="58" fillId="0" borderId="19" xfId="0" applyNumberFormat="1" applyFont="1" applyFill="1" applyBorder="1" applyAlignment="1">
      <alignment horizontal="left"/>
    </xf>
    <xf numFmtId="3" fontId="62" fillId="0" borderId="16" xfId="0" applyNumberFormat="1" applyFont="1" applyFill="1" applyBorder="1"/>
    <xf numFmtId="3" fontId="81" fillId="0" borderId="0" xfId="0" applyNumberFormat="1" applyFont="1" applyFill="1" applyBorder="1"/>
    <xf numFmtId="0" fontId="62" fillId="0" borderId="18" xfId="0" applyFont="1" applyFill="1" applyBorder="1" applyAlignment="1" applyProtection="1"/>
    <xf numFmtId="0" fontId="62" fillId="0" borderId="40" xfId="0" applyFont="1" applyFill="1" applyBorder="1" applyAlignment="1" applyProtection="1"/>
    <xf numFmtId="0" fontId="62" fillId="0" borderId="40" xfId="0" applyFont="1" applyFill="1" applyBorder="1"/>
    <xf numFmtId="3" fontId="58" fillId="0" borderId="0" xfId="0" applyNumberFormat="1" applyFont="1" applyFill="1" applyBorder="1" applyAlignment="1" applyProtection="1">
      <alignment horizontal="right"/>
    </xf>
    <xf numFmtId="3" fontId="58" fillId="0" borderId="37" xfId="0" applyNumberFormat="1" applyFont="1" applyFill="1" applyBorder="1"/>
    <xf numFmtId="3" fontId="81" fillId="0" borderId="37" xfId="0" applyNumberFormat="1" applyFont="1" applyFill="1" applyBorder="1" applyAlignment="1" applyProtection="1">
      <alignment horizontal="left"/>
    </xf>
    <xf numFmtId="3" fontId="62" fillId="0" borderId="37" xfId="0" applyNumberFormat="1" applyFont="1" applyFill="1" applyBorder="1"/>
    <xf numFmtId="3" fontId="62" fillId="0" borderId="37" xfId="0" applyNumberFormat="1" applyFont="1" applyFill="1" applyBorder="1" applyAlignment="1" applyProtection="1">
      <alignment horizontal="left"/>
    </xf>
    <xf numFmtId="0" fontId="62" fillId="0" borderId="66" xfId="0" applyFont="1" applyFill="1" applyBorder="1"/>
    <xf numFmtId="3" fontId="58" fillId="0" borderId="17" xfId="0" applyNumberFormat="1" applyFont="1" applyFill="1" applyBorder="1" applyAlignment="1">
      <alignment horizontal="left"/>
    </xf>
    <xf numFmtId="3" fontId="80" fillId="0" borderId="18" xfId="0" applyNumberFormat="1" applyFont="1" applyFill="1" applyBorder="1" applyAlignment="1">
      <alignment horizontal="left"/>
    </xf>
    <xf numFmtId="3" fontId="80" fillId="0" borderId="0" xfId="0" applyNumberFormat="1" applyFont="1" applyFill="1" applyBorder="1" applyAlignment="1">
      <alignment horizontal="left"/>
    </xf>
    <xf numFmtId="3" fontId="80" fillId="0" borderId="0" xfId="0" applyNumberFormat="1" applyFont="1" applyFill="1" applyBorder="1" applyAlignment="1">
      <alignment horizontal="centerContinuous"/>
    </xf>
    <xf numFmtId="3" fontId="80" fillId="0" borderId="40" xfId="0" applyNumberFormat="1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centerContinuous"/>
    </xf>
    <xf numFmtId="0" fontId="80" fillId="0" borderId="40" xfId="0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right"/>
    </xf>
    <xf numFmtId="0" fontId="75" fillId="0" borderId="0" xfId="0" applyFont="1" applyFill="1" applyBorder="1"/>
    <xf numFmtId="3" fontId="75" fillId="0" borderId="0" xfId="0" applyNumberFormat="1" applyFont="1" applyFill="1" applyBorder="1" applyAlignment="1" applyProtection="1">
      <alignment horizontal="right"/>
    </xf>
    <xf numFmtId="0" fontId="80" fillId="0" borderId="40" xfId="0" applyFont="1" applyFill="1" applyBorder="1"/>
    <xf numFmtId="3" fontId="75" fillId="0" borderId="37" xfId="0" applyNumberFormat="1" applyFont="1" applyFill="1" applyBorder="1" applyAlignment="1" applyProtection="1">
      <alignment horizontal="right"/>
    </xf>
    <xf numFmtId="3" fontId="75" fillId="0" borderId="94" xfId="0" applyNumberFormat="1" applyFont="1" applyFill="1" applyBorder="1" applyAlignment="1" applyProtection="1">
      <alignment horizontal="right"/>
    </xf>
    <xf numFmtId="0" fontId="80" fillId="0" borderId="0" xfId="0" applyFont="1" applyFill="1" applyBorder="1"/>
    <xf numFmtId="3" fontId="80" fillId="0" borderId="0" xfId="0" applyNumberFormat="1" applyFont="1" applyFill="1" applyBorder="1" applyAlignment="1" applyProtection="1">
      <alignment horizontal="left"/>
    </xf>
    <xf numFmtId="3" fontId="80" fillId="0" borderId="37" xfId="0" applyNumberFormat="1" applyFont="1" applyFill="1" applyBorder="1" applyAlignment="1" applyProtection="1">
      <alignment horizontal="left"/>
    </xf>
    <xf numFmtId="3" fontId="80" fillId="0" borderId="37" xfId="0" applyNumberFormat="1" applyFont="1" applyFill="1" applyBorder="1"/>
    <xf numFmtId="0" fontId="80" fillId="0" borderId="37" xfId="0" applyFont="1" applyFill="1" applyBorder="1"/>
    <xf numFmtId="0" fontId="75" fillId="0" borderId="49" xfId="0" applyFont="1" applyFill="1" applyBorder="1"/>
    <xf numFmtId="3" fontId="75" fillId="0" borderId="24" xfId="0" applyNumberFormat="1" applyFont="1" applyFill="1" applyBorder="1" applyAlignment="1" applyProtection="1">
      <alignment horizontal="right"/>
    </xf>
    <xf numFmtId="3" fontId="75" fillId="0" borderId="94" xfId="0" applyNumberFormat="1" applyFont="1" applyFill="1" applyBorder="1" applyAlignment="1">
      <alignment horizontal="left"/>
    </xf>
    <xf numFmtId="3" fontId="58" fillId="0" borderId="20" xfId="0" applyNumberFormat="1" applyFont="1" applyFill="1" applyBorder="1" applyAlignment="1"/>
    <xf numFmtId="3" fontId="58" fillId="0" borderId="25" xfId="0" applyNumberFormat="1" applyFont="1" applyFill="1" applyBorder="1" applyAlignment="1"/>
    <xf numFmtId="3" fontId="58" fillId="0" borderId="45" xfId="0" applyNumberFormat="1" applyFont="1" applyFill="1" applyBorder="1" applyAlignment="1"/>
    <xf numFmtId="3" fontId="58" fillId="0" borderId="47" xfId="0" applyNumberFormat="1" applyFont="1" applyFill="1" applyBorder="1" applyAlignment="1"/>
    <xf numFmtId="3" fontId="58" fillId="0" borderId="27" xfId="0" applyNumberFormat="1" applyFont="1" applyFill="1" applyBorder="1"/>
    <xf numFmtId="3" fontId="58" fillId="0" borderId="63" xfId="0" applyNumberFormat="1" applyFont="1" applyFill="1" applyBorder="1" applyAlignment="1"/>
    <xf numFmtId="3" fontId="58" fillId="0" borderId="47" xfId="0" applyNumberFormat="1" applyFont="1" applyFill="1" applyBorder="1" applyAlignment="1">
      <alignment horizontal="left"/>
    </xf>
    <xf numFmtId="3" fontId="58" fillId="0" borderId="18" xfId="0" applyNumberFormat="1" applyFont="1" applyFill="1" applyBorder="1" applyAlignment="1"/>
    <xf numFmtId="3" fontId="62" fillId="0" borderId="40" xfId="0" applyNumberFormat="1" applyFont="1" applyFill="1" applyBorder="1" applyAlignment="1">
      <alignment horizontal="left"/>
    </xf>
    <xf numFmtId="3" fontId="58" fillId="0" borderId="37" xfId="0" applyNumberFormat="1" applyFont="1" applyFill="1" applyBorder="1" applyAlignment="1">
      <alignment horizontal="left"/>
    </xf>
    <xf numFmtId="0" fontId="62" fillId="0" borderId="37" xfId="78" applyFont="1" applyFill="1" applyBorder="1" applyAlignment="1">
      <alignment horizontal="justify" wrapText="1"/>
    </xf>
    <xf numFmtId="3" fontId="58" fillId="29" borderId="37" xfId="0" applyNumberFormat="1" applyFont="1" applyFill="1" applyBorder="1" applyAlignment="1">
      <alignment horizontal="left"/>
    </xf>
    <xf numFmtId="3" fontId="58" fillId="0" borderId="0" xfId="0" applyNumberFormat="1" applyFont="1" applyFill="1" applyBorder="1" applyAlignment="1">
      <alignment horizontal="left"/>
    </xf>
    <xf numFmtId="0" fontId="81" fillId="0" borderId="20" xfId="0" applyFont="1" applyFill="1" applyBorder="1" applyProtection="1"/>
    <xf numFmtId="3" fontId="58" fillId="0" borderId="19" xfId="0" applyNumberFormat="1" applyFont="1" applyFill="1" applyBorder="1"/>
    <xf numFmtId="4" fontId="58" fillId="27" borderId="27" xfId="0" applyNumberFormat="1" applyFont="1" applyFill="1" applyBorder="1" applyAlignment="1">
      <alignment horizontal="center"/>
    </xf>
    <xf numFmtId="0" fontId="58" fillId="0" borderId="18" xfId="0" applyFont="1" applyFill="1" applyBorder="1" applyAlignment="1" applyProtection="1">
      <alignment horizontal="left"/>
    </xf>
    <xf numFmtId="0" fontId="58" fillId="0" borderId="55" xfId="0" applyFont="1" applyBorder="1" applyAlignment="1">
      <alignment horizontal="center"/>
    </xf>
    <xf numFmtId="0" fontId="58" fillId="27" borderId="15" xfId="0" applyFont="1" applyFill="1" applyBorder="1" applyAlignment="1">
      <alignment horizontal="center"/>
    </xf>
    <xf numFmtId="0" fontId="58" fillId="27" borderId="86" xfId="0" applyFont="1" applyFill="1" applyBorder="1" applyAlignment="1">
      <alignment horizontal="center"/>
    </xf>
    <xf numFmtId="4" fontId="58" fillId="27" borderId="59" xfId="0" applyNumberFormat="1" applyFont="1" applyFill="1" applyBorder="1" applyAlignment="1">
      <alignment horizontal="center"/>
    </xf>
    <xf numFmtId="3" fontId="58" fillId="0" borderId="19" xfId="0" applyNumberFormat="1" applyFont="1" applyFill="1" applyBorder="1" applyAlignment="1">
      <alignment horizontal="centerContinuous"/>
    </xf>
    <xf numFmtId="3" fontId="58" fillId="0" borderId="16" xfId="0" applyNumberFormat="1" applyFont="1" applyFill="1" applyBorder="1" applyAlignment="1">
      <alignment horizontal="centerContinuous"/>
    </xf>
    <xf numFmtId="0" fontId="63" fillId="0" borderId="61" xfId="0" applyFont="1" applyFill="1" applyBorder="1" applyAlignment="1">
      <alignment horizontal="center"/>
    </xf>
    <xf numFmtId="0" fontId="63" fillId="0" borderId="84" xfId="0" applyFont="1" applyFill="1" applyBorder="1" applyAlignment="1">
      <alignment horizontal="center"/>
    </xf>
    <xf numFmtId="3" fontId="58" fillId="0" borderId="16" xfId="0" applyNumberFormat="1" applyFont="1" applyFill="1" applyBorder="1" applyAlignment="1" applyProtection="1">
      <alignment horizontal="right"/>
    </xf>
    <xf numFmtId="4" fontId="63" fillId="0" borderId="84" xfId="0" applyNumberFormat="1" applyFont="1" applyFill="1" applyBorder="1" applyAlignment="1">
      <alignment horizontal="center"/>
    </xf>
    <xf numFmtId="0" fontId="75" fillId="0" borderId="94" xfId="0" applyFont="1" applyFill="1" applyBorder="1" applyProtection="1"/>
    <xf numFmtId="3" fontId="75" fillId="0" borderId="81" xfId="0" applyNumberFormat="1" applyFont="1" applyFill="1" applyBorder="1" applyAlignment="1"/>
    <xf numFmtId="3" fontId="75" fillId="0" borderId="138" xfId="0" applyNumberFormat="1" applyFont="1" applyFill="1" applyBorder="1"/>
    <xf numFmtId="3" fontId="75" fillId="0" borderId="21" xfId="0" applyNumberFormat="1" applyFont="1" applyFill="1" applyBorder="1"/>
    <xf numFmtId="4" fontId="75" fillId="0" borderId="81" xfId="0" applyNumberFormat="1" applyFont="1" applyFill="1" applyBorder="1"/>
    <xf numFmtId="3" fontId="75" fillId="0" borderId="0" xfId="0" applyNumberFormat="1" applyFont="1" applyFill="1" applyBorder="1" applyAlignment="1"/>
    <xf numFmtId="3" fontId="75" fillId="0" borderId="15" xfId="0" applyNumberFormat="1" applyFont="1" applyFill="1" applyBorder="1"/>
    <xf numFmtId="3" fontId="75" fillId="0" borderId="86" xfId="0" applyNumberFormat="1" applyFont="1" applyFill="1" applyBorder="1"/>
    <xf numFmtId="3" fontId="75" fillId="0" borderId="23" xfId="0" applyNumberFormat="1" applyFont="1" applyFill="1" applyBorder="1" applyAlignment="1">
      <alignment horizontal="left"/>
    </xf>
    <xf numFmtId="3" fontId="75" fillId="0" borderId="46" xfId="0" applyNumberFormat="1" applyFont="1" applyFill="1" applyBorder="1" applyAlignment="1">
      <alignment horizontal="left"/>
    </xf>
    <xf numFmtId="3" fontId="80" fillId="0" borderId="16" xfId="0" applyNumberFormat="1" applyFont="1" applyFill="1" applyBorder="1"/>
    <xf numFmtId="3" fontId="80" fillId="0" borderId="61" xfId="0" applyNumberFormat="1" applyFont="1" applyFill="1" applyBorder="1"/>
    <xf numFmtId="3" fontId="80" fillId="0" borderId="84" xfId="0" applyNumberFormat="1" applyFont="1" applyFill="1" applyBorder="1"/>
    <xf numFmtId="0" fontId="80" fillId="0" borderId="19" xfId="0" applyFont="1" applyFill="1" applyBorder="1" applyAlignment="1" applyProtection="1">
      <alignment horizontal="left"/>
    </xf>
    <xf numFmtId="3" fontId="75" fillId="0" borderId="94" xfId="0" applyNumberFormat="1" applyFont="1" applyFill="1" applyBorder="1" applyAlignment="1"/>
    <xf numFmtId="0" fontId="75" fillId="0" borderId="19" xfId="0" applyFont="1" applyFill="1" applyBorder="1" applyProtection="1"/>
    <xf numFmtId="3" fontId="75" fillId="0" borderId="94" xfId="0" applyNumberFormat="1" applyFont="1" applyFill="1" applyBorder="1" applyAlignment="1">
      <alignment horizontal="right"/>
    </xf>
    <xf numFmtId="3" fontId="75" fillId="0" borderId="20" xfId="0" applyNumberFormat="1" applyFont="1" applyFill="1" applyBorder="1" applyAlignment="1">
      <alignment horizontal="left"/>
    </xf>
    <xf numFmtId="2" fontId="62" fillId="0" borderId="71" xfId="0" applyNumberFormat="1" applyFont="1" applyFill="1" applyBorder="1"/>
    <xf numFmtId="3" fontId="35" fillId="0" borderId="59" xfId="0" applyNumberFormat="1" applyFont="1" applyFill="1" applyBorder="1"/>
    <xf numFmtId="3" fontId="34" fillId="0" borderId="0" xfId="0" applyNumberFormat="1" applyFont="1" applyFill="1" applyBorder="1"/>
    <xf numFmtId="3" fontId="33" fillId="0" borderId="0" xfId="0" applyNumberFormat="1" applyFont="1" applyFill="1" applyBorder="1"/>
    <xf numFmtId="3" fontId="91" fillId="0" borderId="0" xfId="0" applyNumberFormat="1" applyFont="1" applyFill="1" applyBorder="1"/>
    <xf numFmtId="3" fontId="90" fillId="0" borderId="0" xfId="0" applyNumberFormat="1" applyFont="1" applyFill="1" applyBorder="1"/>
    <xf numFmtId="3" fontId="5" fillId="0" borderId="0" xfId="0" quotePrefix="1" applyNumberFormat="1" applyFont="1" applyFill="1" applyBorder="1"/>
    <xf numFmtId="3" fontId="92" fillId="0" borderId="0" xfId="0" applyNumberFormat="1" applyFont="1" applyFill="1" applyBorder="1"/>
    <xf numFmtId="3" fontId="4" fillId="0" borderId="54" xfId="78" applyNumberFormat="1" applyFont="1" applyFill="1" applyBorder="1"/>
    <xf numFmtId="3" fontId="34" fillId="27" borderId="55" xfId="78" applyNumberFormat="1" applyFont="1" applyFill="1" applyBorder="1" applyAlignment="1">
      <alignment horizontal="right"/>
    </xf>
    <xf numFmtId="0" fontId="34" fillId="0" borderId="135" xfId="0" applyFont="1" applyFill="1" applyBorder="1" applyAlignment="1">
      <alignment horizontal="justify"/>
    </xf>
    <xf numFmtId="0" fontId="34" fillId="0" borderId="135" xfId="78" applyFont="1" applyFill="1" applyBorder="1" applyAlignment="1"/>
    <xf numFmtId="0" fontId="34" fillId="0" borderId="57" xfId="78" applyFont="1" applyFill="1" applyBorder="1" applyAlignment="1"/>
    <xf numFmtId="0" fontId="34" fillId="0" borderId="57" xfId="78" applyFont="1" applyFill="1" applyBorder="1" applyAlignment="1">
      <alignment wrapText="1"/>
    </xf>
    <xf numFmtId="0" fontId="62" fillId="0" borderId="96" xfId="78" applyFont="1" applyFill="1" applyBorder="1" applyAlignment="1">
      <alignment horizontal="left"/>
    </xf>
    <xf numFmtId="0" fontId="62" fillId="0" borderId="96" xfId="78" applyFont="1" applyFill="1" applyBorder="1" applyAlignment="1">
      <alignment horizontal="justify"/>
    </xf>
    <xf numFmtId="0" fontId="62" fillId="0" borderId="137" xfId="0" applyFont="1" applyFill="1" applyBorder="1"/>
    <xf numFmtId="3" fontId="94" fillId="0" borderId="36" xfId="78" applyNumberFormat="1" applyFont="1" applyFill="1" applyBorder="1" applyAlignment="1">
      <alignment horizontal="right"/>
    </xf>
    <xf numFmtId="4" fontId="36" fillId="0" borderId="77" xfId="0" applyNumberFormat="1" applyFont="1" applyFill="1" applyBorder="1"/>
    <xf numFmtId="4" fontId="9" fillId="0" borderId="116" xfId="78" applyNumberFormat="1" applyFont="1" applyFill="1" applyBorder="1" applyAlignment="1">
      <alignment horizontal="right"/>
    </xf>
    <xf numFmtId="4" fontId="6" fillId="0" borderId="130" xfId="78" applyNumberFormat="1" applyFont="1" applyFill="1" applyBorder="1" applyAlignment="1">
      <alignment horizontal="right"/>
    </xf>
    <xf numFmtId="3" fontId="72" fillId="0" borderId="27" xfId="0" applyNumberFormat="1" applyFont="1" applyFill="1" applyBorder="1" applyAlignment="1">
      <alignment horizontal="right"/>
    </xf>
    <xf numFmtId="3" fontId="14" fillId="0" borderId="58" xfId="0" quotePrefix="1" applyNumberFormat="1" applyFont="1" applyFill="1" applyBorder="1" applyAlignment="1">
      <alignment horizontal="right"/>
    </xf>
    <xf numFmtId="3" fontId="34" fillId="0" borderId="58" xfId="0" quotePrefix="1" applyNumberFormat="1" applyFont="1" applyFill="1" applyBorder="1" applyAlignment="1">
      <alignment horizontal="right"/>
    </xf>
    <xf numFmtId="3" fontId="154" fillId="0" borderId="58" xfId="0" applyNumberFormat="1" applyFont="1" applyFill="1" applyBorder="1" applyAlignment="1">
      <alignment horizontal="right"/>
    </xf>
    <xf numFmtId="3" fontId="154" fillId="0" borderId="28" xfId="0" applyNumberFormat="1" applyFont="1" applyFill="1" applyBorder="1" applyAlignment="1">
      <alignment horizontal="right"/>
    </xf>
    <xf numFmtId="3" fontId="155" fillId="0" borderId="0" xfId="76" applyNumberFormat="1" applyFont="1" applyFill="1"/>
    <xf numFmtId="3" fontId="155" fillId="0" borderId="0" xfId="76" applyNumberFormat="1" applyFont="1" applyFill="1" applyBorder="1" applyAlignment="1">
      <alignment horizontal="right"/>
    </xf>
    <xf numFmtId="3" fontId="156" fillId="0" borderId="0" xfId="76" applyNumberFormat="1" applyFont="1" applyFill="1"/>
    <xf numFmtId="3" fontId="155" fillId="0" borderId="0" xfId="76" applyNumberFormat="1" applyFont="1" applyFill="1" applyBorder="1" applyAlignment="1">
      <alignment horizontal="center"/>
    </xf>
    <xf numFmtId="3" fontId="155" fillId="0" borderId="0" xfId="76" applyNumberFormat="1" applyFont="1" applyFill="1" applyBorder="1"/>
    <xf numFmtId="3" fontId="157" fillId="0" borderId="0" xfId="76" applyNumberFormat="1" applyFont="1" applyFill="1" applyBorder="1"/>
    <xf numFmtId="3" fontId="158" fillId="0" borderId="23" xfId="76" applyNumberFormat="1" applyFont="1" applyFill="1" applyBorder="1" applyAlignment="1">
      <alignment horizontal="center"/>
    </xf>
    <xf numFmtId="3" fontId="158" fillId="0" borderId="0" xfId="76" applyNumberFormat="1" applyFont="1" applyFill="1" applyBorder="1" applyAlignment="1">
      <alignment horizontal="center"/>
    </xf>
    <xf numFmtId="3" fontId="158" fillId="0" borderId="18" xfId="76" applyNumberFormat="1" applyFont="1" applyFill="1" applyBorder="1" applyAlignment="1">
      <alignment horizontal="center" vertical="center"/>
    </xf>
    <xf numFmtId="3" fontId="158" fillId="0" borderId="0" xfId="76" applyNumberFormat="1" applyFont="1" applyFill="1" applyBorder="1" applyAlignment="1">
      <alignment horizontal="justify"/>
    </xf>
    <xf numFmtId="3" fontId="158" fillId="0" borderId="70" xfId="76" applyNumberFormat="1" applyFont="1" applyFill="1" applyBorder="1" applyAlignment="1">
      <alignment horizontal="center" vertical="center"/>
    </xf>
    <xf numFmtId="3" fontId="158" fillId="0" borderId="70" xfId="76" applyNumberFormat="1" applyFont="1" applyFill="1" applyBorder="1" applyAlignment="1">
      <alignment horizontal="center" vertical="center" wrapText="1"/>
    </xf>
    <xf numFmtId="3" fontId="158" fillId="0" borderId="83" xfId="76" applyNumberFormat="1" applyFont="1" applyFill="1" applyBorder="1" applyAlignment="1">
      <alignment horizontal="center" vertical="center"/>
    </xf>
    <xf numFmtId="3" fontId="158" fillId="0" borderId="0" xfId="76" applyNumberFormat="1" applyFont="1" applyFill="1" applyBorder="1"/>
    <xf numFmtId="3" fontId="155" fillId="0" borderId="116" xfId="76" applyNumberFormat="1" applyFont="1" applyFill="1" applyBorder="1" applyAlignment="1">
      <alignment horizontal="left"/>
    </xf>
    <xf numFmtId="3" fontId="155" fillId="0" borderId="70" xfId="76" applyNumberFormat="1" applyFont="1" applyBorder="1" applyAlignment="1" applyProtection="1">
      <alignment horizontal="left"/>
    </xf>
    <xf numFmtId="3" fontId="155" fillId="0" borderId="17" xfId="76" applyNumberFormat="1" applyFont="1" applyFill="1" applyBorder="1" applyAlignment="1" applyProtection="1">
      <alignment horizontal="left"/>
    </xf>
    <xf numFmtId="3" fontId="155" fillId="0" borderId="69" xfId="76" applyNumberFormat="1" applyFont="1" applyFill="1" applyBorder="1" applyAlignment="1" applyProtection="1">
      <alignment horizontal="center" vertical="center"/>
    </xf>
    <xf numFmtId="3" fontId="159" fillId="0" borderId="69" xfId="76" applyNumberFormat="1" applyFont="1" applyFill="1" applyBorder="1" applyAlignment="1" applyProtection="1">
      <alignment horizontal="center"/>
    </xf>
    <xf numFmtId="3" fontId="155" fillId="0" borderId="75" xfId="76" applyNumberFormat="1" applyFont="1" applyFill="1" applyBorder="1" applyProtection="1"/>
    <xf numFmtId="3" fontId="155" fillId="0" borderId="78" xfId="76" applyNumberFormat="1" applyFont="1" applyFill="1" applyBorder="1" applyAlignment="1">
      <alignment horizontal="left"/>
    </xf>
    <xf numFmtId="3" fontId="155" fillId="0" borderId="90" xfId="76" applyNumberFormat="1" applyFont="1" applyFill="1" applyBorder="1" applyAlignment="1">
      <alignment horizontal="left"/>
    </xf>
    <xf numFmtId="3" fontId="155" fillId="0" borderId="77" xfId="76" applyNumberFormat="1" applyFont="1" applyFill="1" applyBorder="1" applyAlignment="1" applyProtection="1">
      <alignment horizontal="left"/>
    </xf>
    <xf numFmtId="3" fontId="159" fillId="0" borderId="83" xfId="76" applyNumberFormat="1" applyFont="1" applyFill="1" applyBorder="1" applyAlignment="1" applyProtection="1">
      <alignment horizontal="center"/>
    </xf>
    <xf numFmtId="3" fontId="155" fillId="0" borderId="76" xfId="76" applyNumberFormat="1" applyFont="1" applyFill="1" applyBorder="1" applyAlignment="1" applyProtection="1">
      <alignment horizontal="left"/>
    </xf>
    <xf numFmtId="3" fontId="155" fillId="0" borderId="75" xfId="76" applyNumberFormat="1" applyFont="1" applyFill="1" applyBorder="1" applyAlignment="1" applyProtection="1">
      <alignment wrapText="1"/>
    </xf>
    <xf numFmtId="3" fontId="155" fillId="0" borderId="116" xfId="76" applyNumberFormat="1" applyFont="1" applyFill="1" applyBorder="1" applyAlignment="1" applyProtection="1">
      <alignment horizontal="justify"/>
    </xf>
    <xf numFmtId="3" fontId="155" fillId="0" borderId="69" xfId="76" applyNumberFormat="1" applyFont="1" applyFill="1" applyBorder="1" applyAlignment="1" applyProtection="1">
      <alignment horizontal="justify"/>
    </xf>
    <xf numFmtId="3" fontId="155" fillId="0" borderId="0" xfId="76" applyNumberFormat="1" applyFont="1" applyFill="1" applyBorder="1" applyAlignment="1">
      <alignment horizontal="justify"/>
    </xf>
    <xf numFmtId="3" fontId="155" fillId="0" borderId="77" xfId="76" applyNumberFormat="1" applyFont="1" applyFill="1" applyBorder="1" applyAlignment="1">
      <alignment horizontal="left"/>
    </xf>
    <xf numFmtId="3" fontId="155" fillId="0" borderId="70" xfId="76" applyNumberFormat="1" applyFont="1" applyFill="1" applyBorder="1" applyAlignment="1" applyProtection="1">
      <alignment horizontal="left"/>
    </xf>
    <xf numFmtId="3" fontId="155" fillId="0" borderId="76" xfId="76" applyNumberFormat="1" applyFont="1" applyFill="1" applyBorder="1" applyAlignment="1" applyProtection="1"/>
    <xf numFmtId="3" fontId="155" fillId="0" borderId="77" xfId="76" applyNumberFormat="1" applyFont="1" applyFill="1" applyBorder="1" applyAlignment="1" applyProtection="1">
      <alignment horizontal="left" vertical="center"/>
    </xf>
    <xf numFmtId="0" fontId="155" fillId="0" borderId="0" xfId="76" applyFont="1" applyBorder="1" applyAlignment="1">
      <alignment horizontal="left"/>
    </xf>
    <xf numFmtId="3" fontId="160" fillId="0" borderId="0" xfId="76" applyNumberFormat="1" applyFont="1" applyFill="1" applyBorder="1" applyAlignment="1">
      <alignment horizontal="right"/>
    </xf>
    <xf numFmtId="0" fontId="156" fillId="0" borderId="0" xfId="76" applyFont="1" applyBorder="1" applyAlignment="1">
      <alignment horizontal="left"/>
    </xf>
    <xf numFmtId="3" fontId="160" fillId="0" borderId="0" xfId="76" applyNumberFormat="1" applyFont="1" applyFill="1" applyBorder="1" applyAlignment="1">
      <alignment horizontal="center"/>
    </xf>
    <xf numFmtId="3" fontId="160" fillId="0" borderId="0" xfId="76" applyNumberFormat="1" applyFont="1" applyFill="1" applyBorder="1"/>
    <xf numFmtId="3" fontId="161" fillId="0" borderId="0" xfId="76" applyNumberFormat="1" applyFont="1" applyFill="1" applyBorder="1"/>
    <xf numFmtId="0" fontId="161" fillId="0" borderId="0" xfId="76" applyFont="1" applyBorder="1" applyProtection="1"/>
    <xf numFmtId="0" fontId="160" fillId="0" borderId="0" xfId="76" applyFont="1" applyBorder="1" applyProtection="1"/>
    <xf numFmtId="3" fontId="160" fillId="0" borderId="0" xfId="76" applyNumberFormat="1" applyFont="1" applyBorder="1" applyProtection="1"/>
    <xf numFmtId="0" fontId="155" fillId="0" borderId="0" xfId="76" applyFont="1"/>
    <xf numFmtId="3" fontId="156" fillId="0" borderId="0" xfId="76" applyNumberFormat="1" applyFont="1" applyFill="1" applyBorder="1" applyAlignment="1">
      <alignment horizontal="right"/>
    </xf>
    <xf numFmtId="0" fontId="156" fillId="0" borderId="0" xfId="76" applyFont="1"/>
    <xf numFmtId="3" fontId="156" fillId="0" borderId="0" xfId="76" applyNumberFormat="1" applyFont="1" applyFill="1" applyBorder="1" applyAlignment="1">
      <alignment horizontal="center"/>
    </xf>
    <xf numFmtId="3" fontId="58" fillId="0" borderId="0" xfId="76" applyNumberFormat="1" applyFont="1" applyFill="1"/>
    <xf numFmtId="3" fontId="5" fillId="0" borderId="0" xfId="76" applyNumberFormat="1" applyFont="1" applyFill="1" applyBorder="1" applyAlignment="1">
      <alignment horizontal="right"/>
    </xf>
    <xf numFmtId="3" fontId="80" fillId="0" borderId="0" xfId="76" applyNumberFormat="1" applyFont="1" applyFill="1" applyAlignment="1">
      <alignment horizontal="left"/>
    </xf>
    <xf numFmtId="3" fontId="75" fillId="0" borderId="0" xfId="76" applyNumberFormat="1" applyFont="1" applyFill="1"/>
    <xf numFmtId="3" fontId="5" fillId="0" borderId="0" xfId="76" applyNumberFormat="1" applyFont="1" applyFill="1" applyBorder="1"/>
    <xf numFmtId="3" fontId="162" fillId="0" borderId="0" xfId="76" applyNumberFormat="1" applyFont="1" applyFill="1" applyBorder="1" applyAlignment="1">
      <alignment horizontal="center"/>
    </xf>
    <xf numFmtId="3" fontId="163" fillId="0" borderId="0" xfId="76" applyNumberFormat="1" applyFont="1" applyFill="1" applyBorder="1"/>
    <xf numFmtId="3" fontId="16" fillId="0" borderId="0" xfId="76" applyNumberFormat="1" applyFont="1" applyFill="1" applyBorder="1" applyAlignment="1">
      <alignment horizontal="justify"/>
    </xf>
    <xf numFmtId="3" fontId="156" fillId="0" borderId="83" xfId="76" applyNumberFormat="1" applyFont="1" applyFill="1" applyBorder="1" applyAlignment="1">
      <alignment horizontal="center" vertical="center"/>
    </xf>
    <xf numFmtId="3" fontId="156" fillId="0" borderId="83" xfId="76" applyNumberFormat="1" applyFont="1" applyFill="1" applyBorder="1" applyAlignment="1">
      <alignment horizontal="right"/>
    </xf>
    <xf numFmtId="3" fontId="16" fillId="0" borderId="0" xfId="76" applyNumberFormat="1" applyFont="1" applyFill="1" applyBorder="1"/>
    <xf numFmtId="3" fontId="156" fillId="0" borderId="116" xfId="76" applyNumberFormat="1" applyFont="1" applyFill="1" applyBorder="1" applyAlignment="1">
      <alignment horizontal="left"/>
    </xf>
    <xf numFmtId="3" fontId="156" fillId="0" borderId="116" xfId="76" applyNumberFormat="1" applyFont="1" applyFill="1" applyBorder="1" applyAlignment="1">
      <alignment horizontal="right"/>
    </xf>
    <xf numFmtId="10" fontId="156" fillId="0" borderId="116" xfId="76" applyNumberFormat="1" applyFont="1" applyFill="1" applyBorder="1" applyAlignment="1">
      <alignment horizontal="right"/>
    </xf>
    <xf numFmtId="3" fontId="164" fillId="0" borderId="116" xfId="76" applyNumberFormat="1" applyFont="1" applyFill="1" applyBorder="1" applyAlignment="1">
      <alignment horizontal="right"/>
    </xf>
    <xf numFmtId="3" fontId="156" fillId="0" borderId="70" xfId="76" applyNumberFormat="1" applyFont="1" applyBorder="1" applyAlignment="1" applyProtection="1">
      <alignment horizontal="left"/>
    </xf>
    <xf numFmtId="3" fontId="156" fillId="0" borderId="69" xfId="76" applyNumberFormat="1" applyFont="1" applyFill="1" applyBorder="1" applyAlignment="1">
      <alignment horizontal="right"/>
    </xf>
    <xf numFmtId="10" fontId="156" fillId="0" borderId="69" xfId="76" applyNumberFormat="1" applyFont="1" applyFill="1" applyBorder="1" applyAlignment="1">
      <alignment horizontal="right"/>
    </xf>
    <xf numFmtId="3" fontId="156" fillId="0" borderId="17" xfId="76" applyNumberFormat="1" applyFont="1" applyFill="1" applyBorder="1" applyAlignment="1" applyProtection="1">
      <alignment horizontal="left"/>
    </xf>
    <xf numFmtId="3" fontId="156" fillId="0" borderId="77" xfId="76" applyNumberFormat="1" applyFont="1" applyFill="1" applyBorder="1" applyAlignment="1">
      <alignment horizontal="right"/>
    </xf>
    <xf numFmtId="10" fontId="156" fillId="0" borderId="77" xfId="76" applyNumberFormat="1" applyFont="1" applyFill="1" applyBorder="1" applyAlignment="1">
      <alignment horizontal="right"/>
    </xf>
    <xf numFmtId="10" fontId="156" fillId="0" borderId="70" xfId="76" applyNumberFormat="1" applyFont="1" applyFill="1" applyBorder="1" applyAlignment="1">
      <alignment horizontal="right"/>
    </xf>
    <xf numFmtId="3" fontId="156" fillId="0" borderId="69" xfId="76" applyNumberFormat="1" applyFont="1" applyFill="1" applyBorder="1" applyAlignment="1" applyProtection="1">
      <alignment horizontal="center" vertical="center"/>
    </xf>
    <xf numFmtId="3" fontId="165" fillId="0" borderId="69" xfId="76" applyNumberFormat="1" applyFont="1" applyFill="1" applyBorder="1" applyAlignment="1" applyProtection="1">
      <alignment horizontal="center"/>
    </xf>
    <xf numFmtId="3" fontId="156" fillId="0" borderId="75" xfId="76" applyNumberFormat="1" applyFont="1" applyFill="1" applyBorder="1" applyProtection="1"/>
    <xf numFmtId="3" fontId="156" fillId="0" borderId="78" xfId="76" applyNumberFormat="1" applyFont="1" applyFill="1" applyBorder="1" applyAlignment="1">
      <alignment horizontal="left"/>
    </xf>
    <xf numFmtId="3" fontId="156" fillId="0" borderId="78" xfId="76" applyNumberFormat="1" applyFont="1" applyFill="1" applyBorder="1" applyAlignment="1">
      <alignment horizontal="right"/>
    </xf>
    <xf numFmtId="3" fontId="156" fillId="0" borderId="90" xfId="76" applyNumberFormat="1" applyFont="1" applyFill="1" applyBorder="1" applyAlignment="1">
      <alignment horizontal="left"/>
    </xf>
    <xf numFmtId="3" fontId="156" fillId="0" borderId="77" xfId="76" applyNumberFormat="1" applyFont="1" applyFill="1" applyBorder="1" applyAlignment="1" applyProtection="1">
      <alignment horizontal="left"/>
    </xf>
    <xf numFmtId="3" fontId="165" fillId="0" borderId="83" xfId="76" applyNumberFormat="1" applyFont="1" applyFill="1" applyBorder="1" applyAlignment="1" applyProtection="1">
      <alignment horizontal="center"/>
    </xf>
    <xf numFmtId="3" fontId="156" fillId="0" borderId="75" xfId="76" applyNumberFormat="1" applyFont="1" applyFill="1" applyBorder="1" applyAlignment="1">
      <alignment horizontal="right"/>
    </xf>
    <xf numFmtId="3" fontId="156" fillId="0" borderId="76" xfId="76" applyNumberFormat="1" applyFont="1" applyFill="1" applyBorder="1" applyAlignment="1" applyProtection="1">
      <alignment horizontal="left"/>
    </xf>
    <xf numFmtId="3" fontId="156" fillId="0" borderId="76" xfId="76" applyNumberFormat="1" applyFont="1" applyFill="1" applyBorder="1" applyAlignment="1">
      <alignment horizontal="right"/>
    </xf>
    <xf numFmtId="10" fontId="156" fillId="0" borderId="76" xfId="76" applyNumberFormat="1" applyFont="1" applyFill="1" applyBorder="1" applyAlignment="1">
      <alignment horizontal="right"/>
    </xf>
    <xf numFmtId="3" fontId="156" fillId="0" borderId="116" xfId="76" applyNumberFormat="1" applyFont="1" applyFill="1" applyBorder="1" applyAlignment="1" applyProtection="1">
      <alignment horizontal="justify"/>
    </xf>
    <xf numFmtId="3" fontId="156" fillId="0" borderId="69" xfId="76" applyNumberFormat="1" applyFont="1" applyFill="1" applyBorder="1" applyAlignment="1" applyProtection="1">
      <alignment horizontal="justify"/>
    </xf>
    <xf numFmtId="3" fontId="156" fillId="0" borderId="90" xfId="76" applyNumberFormat="1" applyFont="1" applyFill="1" applyBorder="1" applyAlignment="1">
      <alignment horizontal="right"/>
    </xf>
    <xf numFmtId="3" fontId="164" fillId="0" borderId="90" xfId="76" applyNumberFormat="1" applyFont="1" applyFill="1" applyBorder="1" applyAlignment="1">
      <alignment horizontal="right"/>
    </xf>
    <xf numFmtId="3" fontId="156" fillId="0" borderId="77" xfId="76" applyNumberFormat="1" applyFont="1" applyFill="1" applyBorder="1" applyAlignment="1">
      <alignment horizontal="left"/>
    </xf>
    <xf numFmtId="10" fontId="156" fillId="0" borderId="83" xfId="76" applyNumberFormat="1" applyFont="1" applyFill="1" applyBorder="1" applyAlignment="1">
      <alignment horizontal="right"/>
    </xf>
    <xf numFmtId="3" fontId="156" fillId="0" borderId="70" xfId="76" applyNumberFormat="1" applyFont="1" applyFill="1" applyBorder="1" applyAlignment="1" applyProtection="1">
      <alignment horizontal="left"/>
    </xf>
    <xf numFmtId="3" fontId="156" fillId="0" borderId="76" xfId="76" applyNumberFormat="1" applyFont="1" applyFill="1" applyBorder="1" applyAlignment="1" applyProtection="1"/>
    <xf numFmtId="3" fontId="156" fillId="0" borderId="77" xfId="76" applyNumberFormat="1" applyFont="1" applyFill="1" applyBorder="1" applyAlignment="1" applyProtection="1">
      <alignment horizontal="left" vertical="center"/>
    </xf>
    <xf numFmtId="3" fontId="156" fillId="0" borderId="116" xfId="76" applyNumberFormat="1" applyFont="1" applyFill="1" applyBorder="1" applyAlignment="1" applyProtection="1">
      <alignment horizontal="right"/>
    </xf>
    <xf numFmtId="10" fontId="156" fillId="0" borderId="134" xfId="76" applyNumberFormat="1" applyFont="1" applyFill="1" applyBorder="1" applyAlignment="1">
      <alignment horizontal="right"/>
    </xf>
    <xf numFmtId="3" fontId="156" fillId="0" borderId="69" xfId="76" applyNumberFormat="1" applyFont="1" applyFill="1" applyBorder="1" applyAlignment="1" applyProtection="1">
      <alignment horizontal="right"/>
    </xf>
    <xf numFmtId="3" fontId="156" fillId="0" borderId="77" xfId="76" applyNumberFormat="1" applyFont="1" applyFill="1" applyBorder="1" applyAlignment="1" applyProtection="1">
      <alignment horizontal="right"/>
    </xf>
    <xf numFmtId="3" fontId="156" fillId="0" borderId="77" xfId="76" applyNumberFormat="1" applyFont="1" applyFill="1" applyBorder="1" applyAlignment="1" applyProtection="1">
      <alignment vertical="center"/>
    </xf>
    <xf numFmtId="0" fontId="75" fillId="0" borderId="0" xfId="76" applyFont="1" applyBorder="1" applyAlignment="1">
      <alignment horizontal="left"/>
    </xf>
    <xf numFmtId="3" fontId="7" fillId="0" borderId="0" xfId="76" applyNumberFormat="1" applyFont="1" applyFill="1" applyBorder="1" applyAlignment="1">
      <alignment horizontal="right"/>
    </xf>
    <xf numFmtId="0" fontId="80" fillId="0" borderId="0" xfId="76" applyFont="1" applyBorder="1" applyAlignment="1">
      <alignment horizontal="left"/>
    </xf>
    <xf numFmtId="3" fontId="75" fillId="0" borderId="0" xfId="76" applyNumberFormat="1" applyFont="1" applyBorder="1" applyAlignment="1">
      <alignment horizontal="left"/>
    </xf>
    <xf numFmtId="3" fontId="7" fillId="0" borderId="0" xfId="76" applyNumberFormat="1" applyFont="1" applyFill="1" applyBorder="1"/>
    <xf numFmtId="3" fontId="35" fillId="0" borderId="37" xfId="0" applyNumberFormat="1" applyFont="1" applyFill="1" applyBorder="1" applyAlignment="1">
      <alignment horizontal="justify"/>
    </xf>
    <xf numFmtId="4" fontId="62" fillId="0" borderId="79" xfId="0" applyNumberFormat="1" applyFont="1" applyFill="1" applyBorder="1"/>
    <xf numFmtId="3" fontId="166" fillId="0" borderId="78" xfId="76" applyNumberFormat="1" applyFont="1" applyFill="1" applyBorder="1" applyAlignment="1">
      <alignment horizontal="right"/>
    </xf>
    <xf numFmtId="3" fontId="166" fillId="0" borderId="75" xfId="76" applyNumberFormat="1" applyFont="1" applyFill="1" applyBorder="1" applyAlignment="1">
      <alignment horizontal="right"/>
    </xf>
    <xf numFmtId="3" fontId="167" fillId="0" borderId="116" xfId="76" applyNumberFormat="1" applyFont="1" applyFill="1" applyBorder="1" applyAlignment="1">
      <alignment horizontal="right"/>
    </xf>
    <xf numFmtId="3" fontId="167" fillId="0" borderId="69" xfId="76" applyNumberFormat="1" applyFont="1" applyFill="1" applyBorder="1" applyAlignment="1">
      <alignment horizontal="right"/>
    </xf>
    <xf numFmtId="3" fontId="158" fillId="0" borderId="53" xfId="76" applyNumberFormat="1" applyFont="1" applyFill="1" applyBorder="1" applyAlignment="1">
      <alignment horizontal="center" vertical="center"/>
    </xf>
    <xf numFmtId="3" fontId="158" fillId="0" borderId="19" xfId="76" applyNumberFormat="1" applyFont="1" applyFill="1" applyBorder="1" applyAlignment="1">
      <alignment horizontal="center" vertical="center"/>
    </xf>
    <xf numFmtId="3" fontId="168" fillId="0" borderId="23" xfId="76" applyNumberFormat="1" applyFont="1" applyFill="1" applyBorder="1" applyAlignment="1">
      <alignment horizontal="center"/>
    </xf>
    <xf numFmtId="3" fontId="168" fillId="0" borderId="18" xfId="76" applyNumberFormat="1" applyFont="1" applyFill="1" applyBorder="1" applyAlignment="1">
      <alignment horizontal="center" vertical="center"/>
    </xf>
    <xf numFmtId="3" fontId="168" fillId="0" borderId="70" xfId="76" applyNumberFormat="1" applyFont="1" applyFill="1" applyBorder="1" applyAlignment="1">
      <alignment horizontal="center" vertical="center"/>
    </xf>
    <xf numFmtId="3" fontId="168" fillId="0" borderId="70" xfId="76" applyNumberFormat="1" applyFont="1" applyFill="1" applyBorder="1" applyAlignment="1">
      <alignment horizontal="center" vertical="center" wrapText="1"/>
    </xf>
    <xf numFmtId="3" fontId="168" fillId="0" borderId="83" xfId="76" applyNumberFormat="1" applyFont="1" applyFill="1" applyBorder="1" applyAlignment="1">
      <alignment horizontal="center" vertical="center"/>
    </xf>
    <xf numFmtId="3" fontId="168" fillId="0" borderId="83" xfId="76" applyNumberFormat="1" applyFont="1" applyFill="1" applyBorder="1" applyAlignment="1">
      <alignment horizontal="right"/>
    </xf>
    <xf numFmtId="3" fontId="166" fillId="0" borderId="116" xfId="76" applyNumberFormat="1" applyFont="1" applyFill="1" applyBorder="1" applyAlignment="1">
      <alignment horizontal="left"/>
    </xf>
    <xf numFmtId="3" fontId="166" fillId="0" borderId="116" xfId="76" applyNumberFormat="1" applyFont="1" applyFill="1" applyBorder="1" applyAlignment="1">
      <alignment horizontal="right"/>
    </xf>
    <xf numFmtId="10" fontId="166" fillId="0" borderId="116" xfId="76" applyNumberFormat="1" applyFont="1" applyFill="1" applyBorder="1" applyAlignment="1">
      <alignment horizontal="right"/>
    </xf>
    <xf numFmtId="3" fontId="166" fillId="0" borderId="70" xfId="76" applyNumberFormat="1" applyFont="1" applyBorder="1" applyAlignment="1" applyProtection="1">
      <alignment horizontal="left"/>
    </xf>
    <xf numFmtId="3" fontId="166" fillId="0" borderId="69" xfId="76" applyNumberFormat="1" applyFont="1" applyFill="1" applyBorder="1" applyAlignment="1">
      <alignment horizontal="right"/>
    </xf>
    <xf numFmtId="10" fontId="166" fillId="0" borderId="69" xfId="76" applyNumberFormat="1" applyFont="1" applyFill="1" applyBorder="1" applyAlignment="1">
      <alignment horizontal="right"/>
    </xf>
    <xf numFmtId="3" fontId="166" fillId="0" borderId="17" xfId="76" applyNumberFormat="1" applyFont="1" applyFill="1" applyBorder="1" applyAlignment="1" applyProtection="1">
      <alignment horizontal="left"/>
    </xf>
    <xf numFmtId="3" fontId="166" fillId="0" borderId="77" xfId="76" applyNumberFormat="1" applyFont="1" applyFill="1" applyBorder="1" applyAlignment="1">
      <alignment horizontal="right"/>
    </xf>
    <xf numFmtId="10" fontId="166" fillId="0" borderId="77" xfId="76" applyNumberFormat="1" applyFont="1" applyFill="1" applyBorder="1" applyAlignment="1">
      <alignment horizontal="right"/>
    </xf>
    <xf numFmtId="10" fontId="166" fillId="0" borderId="70" xfId="76" applyNumberFormat="1" applyFont="1" applyFill="1" applyBorder="1" applyAlignment="1">
      <alignment horizontal="right"/>
    </xf>
    <xf numFmtId="3" fontId="166" fillId="0" borderId="69" xfId="76" applyNumberFormat="1" applyFont="1" applyFill="1" applyBorder="1" applyAlignment="1" applyProtection="1">
      <alignment horizontal="center" vertical="center"/>
    </xf>
    <xf numFmtId="3" fontId="169" fillId="0" borderId="69" xfId="76" applyNumberFormat="1" applyFont="1" applyFill="1" applyBorder="1" applyAlignment="1" applyProtection="1">
      <alignment horizontal="center"/>
    </xf>
    <xf numFmtId="3" fontId="166" fillId="0" borderId="75" xfId="76" applyNumberFormat="1" applyFont="1" applyFill="1" applyBorder="1" applyProtection="1"/>
    <xf numFmtId="3" fontId="166" fillId="0" borderId="78" xfId="76" applyNumberFormat="1" applyFont="1" applyFill="1" applyBorder="1" applyAlignment="1">
      <alignment horizontal="left"/>
    </xf>
    <xf numFmtId="10" fontId="166" fillId="29" borderId="116" xfId="76" applyNumberFormat="1" applyFont="1" applyFill="1" applyBorder="1" applyAlignment="1">
      <alignment horizontal="right"/>
    </xf>
    <xf numFmtId="3" fontId="166" fillId="0" borderId="90" xfId="76" applyNumberFormat="1" applyFont="1" applyFill="1" applyBorder="1" applyAlignment="1">
      <alignment horizontal="left"/>
    </xf>
    <xf numFmtId="3" fontId="166" fillId="0" borderId="90" xfId="76" applyNumberFormat="1" applyFont="1" applyFill="1" applyBorder="1" applyAlignment="1">
      <alignment horizontal="right"/>
    </xf>
    <xf numFmtId="3" fontId="166" fillId="0" borderId="77" xfId="76" applyNumberFormat="1" applyFont="1" applyFill="1" applyBorder="1" applyAlignment="1" applyProtection="1">
      <alignment horizontal="left"/>
    </xf>
    <xf numFmtId="3" fontId="169" fillId="0" borderId="83" xfId="76" applyNumberFormat="1" applyFont="1" applyFill="1" applyBorder="1" applyAlignment="1" applyProtection="1">
      <alignment horizontal="center"/>
    </xf>
    <xf numFmtId="3" fontId="166" fillId="0" borderId="83" xfId="76" applyNumberFormat="1" applyFont="1" applyFill="1" applyBorder="1" applyAlignment="1">
      <alignment horizontal="right"/>
    </xf>
    <xf numFmtId="3" fontId="166" fillId="0" borderId="76" xfId="76" applyNumberFormat="1" applyFont="1" applyFill="1" applyBorder="1" applyAlignment="1" applyProtection="1">
      <alignment horizontal="left"/>
    </xf>
    <xf numFmtId="3" fontId="166" fillId="0" borderId="76" xfId="76" applyNumberFormat="1" applyFont="1" applyFill="1" applyBorder="1" applyAlignment="1">
      <alignment horizontal="right"/>
    </xf>
    <xf numFmtId="10" fontId="166" fillId="0" borderId="76" xfId="76" applyNumberFormat="1" applyFont="1" applyFill="1" applyBorder="1" applyAlignment="1">
      <alignment horizontal="right"/>
    </xf>
    <xf numFmtId="3" fontId="166" fillId="0" borderId="116" xfId="76" applyNumberFormat="1" applyFont="1" applyFill="1" applyBorder="1" applyAlignment="1" applyProtection="1">
      <alignment horizontal="justify"/>
    </xf>
    <xf numFmtId="3" fontId="166" fillId="0" borderId="121" xfId="76" applyNumberFormat="1" applyFont="1" applyFill="1" applyBorder="1" applyAlignment="1">
      <alignment horizontal="right"/>
    </xf>
    <xf numFmtId="3" fontId="166" fillId="0" borderId="69" xfId="76" applyNumberFormat="1" applyFont="1" applyFill="1" applyBorder="1" applyAlignment="1" applyProtection="1">
      <alignment horizontal="justify"/>
    </xf>
    <xf numFmtId="3" fontId="166" fillId="0" borderId="77" xfId="76" applyNumberFormat="1" applyFont="1" applyFill="1" applyBorder="1" applyAlignment="1">
      <alignment horizontal="left"/>
    </xf>
    <xf numFmtId="10" fontId="166" fillId="0" borderId="83" xfId="76" applyNumberFormat="1" applyFont="1" applyFill="1" applyBorder="1" applyAlignment="1">
      <alignment horizontal="right"/>
    </xf>
    <xf numFmtId="3" fontId="166" fillId="0" borderId="70" xfId="76" applyNumberFormat="1" applyFont="1" applyFill="1" applyBorder="1" applyAlignment="1" applyProtection="1">
      <alignment horizontal="left"/>
    </xf>
    <xf numFmtId="3" fontId="166" fillId="0" borderId="76" xfId="76" applyNumberFormat="1" applyFont="1" applyFill="1" applyBorder="1" applyAlignment="1" applyProtection="1"/>
    <xf numFmtId="10" fontId="166" fillId="0" borderId="134" xfId="76" applyNumberFormat="1" applyFont="1" applyFill="1" applyBorder="1" applyAlignment="1">
      <alignment horizontal="right"/>
    </xf>
    <xf numFmtId="3" fontId="168" fillId="0" borderId="83" xfId="76" applyNumberFormat="1" applyFont="1" applyFill="1" applyBorder="1" applyAlignment="1">
      <alignment horizontal="center"/>
    </xf>
    <xf numFmtId="10" fontId="166" fillId="0" borderId="78" xfId="76" applyNumberFormat="1" applyFont="1" applyFill="1" applyBorder="1" applyAlignment="1">
      <alignment horizontal="right"/>
    </xf>
    <xf numFmtId="10" fontId="166" fillId="0" borderId="69" xfId="76" applyNumberFormat="1" applyFont="1" applyFill="1" applyBorder="1" applyAlignment="1"/>
    <xf numFmtId="3" fontId="166" fillId="0" borderId="77" xfId="76" applyNumberFormat="1" applyFont="1" applyFill="1" applyBorder="1" applyAlignment="1" applyProtection="1">
      <alignment horizontal="left" vertical="center"/>
    </xf>
    <xf numFmtId="3" fontId="171" fillId="0" borderId="23" xfId="76" applyNumberFormat="1" applyFont="1" applyFill="1" applyBorder="1" applyAlignment="1">
      <alignment horizontal="left"/>
    </xf>
    <xf numFmtId="3" fontId="158" fillId="0" borderId="18" xfId="76" applyNumberFormat="1" applyFont="1" applyFill="1" applyBorder="1" applyAlignment="1">
      <alignment horizontal="center"/>
    </xf>
    <xf numFmtId="3" fontId="171" fillId="0" borderId="18" xfId="76" applyNumberFormat="1" applyFont="1" applyFill="1" applyBorder="1" applyAlignment="1">
      <alignment horizontal="left"/>
    </xf>
    <xf numFmtId="3" fontId="158" fillId="0" borderId="86" xfId="76" applyNumberFormat="1" applyFont="1" applyFill="1" applyBorder="1" applyAlignment="1">
      <alignment horizontal="center" vertical="center"/>
    </xf>
    <xf numFmtId="3" fontId="158" fillId="0" borderId="77" xfId="76" applyNumberFormat="1" applyFont="1" applyFill="1" applyBorder="1" applyAlignment="1">
      <alignment horizontal="center"/>
    </xf>
    <xf numFmtId="3" fontId="172" fillId="0" borderId="16" xfId="0" applyNumberFormat="1" applyFont="1" applyBorder="1" applyAlignment="1">
      <alignment horizontal="left"/>
    </xf>
    <xf numFmtId="0" fontId="173" fillId="0" borderId="0" xfId="0" applyFont="1" applyFill="1" applyBorder="1" applyAlignment="1">
      <alignment horizontal="right"/>
    </xf>
    <xf numFmtId="0" fontId="96" fillId="0" borderId="25" xfId="0" applyFont="1" applyFill="1" applyBorder="1" applyAlignment="1">
      <alignment horizontal="center"/>
    </xf>
    <xf numFmtId="0" fontId="96" fillId="27" borderId="45" xfId="0" applyFont="1" applyFill="1" applyBorder="1" applyAlignment="1">
      <alignment horizontal="center"/>
    </xf>
    <xf numFmtId="0" fontId="96" fillId="0" borderId="27" xfId="0" applyFont="1" applyBorder="1" applyAlignment="1">
      <alignment horizontal="center"/>
    </xf>
    <xf numFmtId="0" fontId="96" fillId="0" borderId="95" xfId="0" applyFont="1" applyFill="1" applyBorder="1" applyAlignment="1">
      <alignment horizontal="center"/>
    </xf>
    <xf numFmtId="0" fontId="96" fillId="0" borderId="43" xfId="0" applyFont="1" applyBorder="1" applyAlignment="1">
      <alignment horizontal="center"/>
    </xf>
    <xf numFmtId="0" fontId="96" fillId="27" borderId="61" xfId="0" applyFont="1" applyFill="1" applyBorder="1" applyAlignment="1">
      <alignment horizontal="center"/>
    </xf>
    <xf numFmtId="0" fontId="96" fillId="0" borderId="28" xfId="0" applyFont="1" applyBorder="1" applyAlignment="1">
      <alignment horizontal="center"/>
    </xf>
    <xf numFmtId="0" fontId="173" fillId="28" borderId="38" xfId="0" applyFont="1" applyFill="1" applyBorder="1"/>
    <xf numFmtId="3" fontId="173" fillId="28" borderId="111" xfId="0" applyNumberFormat="1" applyFont="1" applyFill="1" applyBorder="1"/>
    <xf numFmtId="3" fontId="173" fillId="28" borderId="51" xfId="0" applyNumberFormat="1" applyFont="1" applyFill="1" applyBorder="1"/>
    <xf numFmtId="2" fontId="173" fillId="28" borderId="67" xfId="0" applyNumberFormat="1" applyFont="1" applyFill="1" applyBorder="1"/>
    <xf numFmtId="0" fontId="173" fillId="28" borderId="40" xfId="0" applyFont="1" applyFill="1" applyBorder="1"/>
    <xf numFmtId="3" fontId="173" fillId="28" borderId="34" xfId="0" applyNumberFormat="1" applyFont="1" applyFill="1" applyBorder="1"/>
    <xf numFmtId="3" fontId="173" fillId="28" borderId="36" xfId="0" applyNumberFormat="1" applyFont="1" applyFill="1" applyBorder="1"/>
    <xf numFmtId="0" fontId="96" fillId="0" borderId="17" xfId="0" applyFont="1" applyFill="1" applyBorder="1"/>
    <xf numFmtId="3" fontId="96" fillId="0" borderId="44" xfId="0" applyNumberFormat="1" applyFont="1" applyFill="1" applyBorder="1"/>
    <xf numFmtId="2" fontId="96" fillId="0" borderId="54" xfId="0" applyNumberFormat="1" applyFont="1" applyFill="1" applyBorder="1"/>
    <xf numFmtId="0" fontId="173" fillId="28" borderId="97" xfId="0" applyFont="1" applyFill="1" applyBorder="1" applyAlignment="1">
      <alignment horizontal="left"/>
    </xf>
    <xf numFmtId="3" fontId="173" fillId="28" borderId="118" xfId="0" applyNumberFormat="1" applyFont="1" applyFill="1" applyBorder="1"/>
    <xf numFmtId="2" fontId="173" fillId="28" borderId="103" xfId="0" applyNumberFormat="1" applyFont="1" applyFill="1" applyBorder="1"/>
    <xf numFmtId="0" fontId="173" fillId="28" borderId="106" xfId="0" applyFont="1" applyFill="1" applyBorder="1" applyAlignment="1">
      <alignment horizontal="left" wrapText="1"/>
    </xf>
    <xf numFmtId="0" fontId="173" fillId="28" borderId="40" xfId="0" applyFont="1" applyFill="1" applyBorder="1" applyAlignment="1">
      <alignment wrapText="1"/>
    </xf>
    <xf numFmtId="0" fontId="173" fillId="0" borderId="42" xfId="0" applyFont="1" applyFill="1" applyBorder="1" applyAlignment="1">
      <alignment horizontal="left"/>
    </xf>
    <xf numFmtId="3" fontId="173" fillId="0" borderId="34" xfId="0" applyNumberFormat="1" applyFont="1" applyFill="1" applyBorder="1"/>
    <xf numFmtId="3" fontId="173" fillId="0" borderId="36" xfId="0" applyNumberFormat="1" applyFont="1" applyFill="1" applyBorder="1"/>
    <xf numFmtId="2" fontId="173" fillId="0" borderId="67" xfId="0" applyNumberFormat="1" applyFont="1" applyFill="1" applyBorder="1"/>
    <xf numFmtId="0" fontId="173" fillId="0" borderId="42" xfId="0" applyFont="1" applyFill="1" applyBorder="1" applyAlignment="1">
      <alignment horizontal="left" wrapText="1"/>
    </xf>
    <xf numFmtId="0" fontId="173" fillId="0" borderId="42" xfId="0" applyFont="1" applyFill="1" applyBorder="1"/>
    <xf numFmtId="0" fontId="173" fillId="0" borderId="40" xfId="0" applyFont="1" applyFill="1" applyBorder="1"/>
    <xf numFmtId="0" fontId="173" fillId="0" borderId="40" xfId="0" applyFont="1" applyFill="1" applyBorder="1" applyAlignment="1">
      <alignment horizontal="justify"/>
    </xf>
    <xf numFmtId="3" fontId="173" fillId="0" borderId="65" xfId="0" applyNumberFormat="1" applyFont="1" applyFill="1" applyBorder="1"/>
    <xf numFmtId="0" fontId="173" fillId="0" borderId="62" xfId="0" applyFont="1" applyFill="1" applyBorder="1"/>
    <xf numFmtId="0" fontId="173" fillId="0" borderId="62" xfId="0" applyFont="1" applyFill="1" applyBorder="1" applyAlignment="1">
      <alignment horizontal="left" wrapText="1"/>
    </xf>
    <xf numFmtId="2" fontId="173" fillId="0" borderId="68" xfId="0" applyNumberFormat="1" applyFont="1" applyFill="1" applyBorder="1"/>
    <xf numFmtId="0" fontId="173" fillId="0" borderId="18" xfId="0" applyFont="1" applyFill="1" applyBorder="1" applyAlignment="1">
      <alignment horizontal="left" wrapText="1"/>
    </xf>
    <xf numFmtId="3" fontId="173" fillId="0" borderId="29" xfId="0" applyNumberFormat="1" applyFont="1" applyFill="1" applyBorder="1"/>
    <xf numFmtId="0" fontId="96" fillId="0" borderId="17" xfId="0" applyFont="1" applyFill="1" applyBorder="1" applyAlignment="1">
      <alignment wrapText="1"/>
    </xf>
    <xf numFmtId="2" fontId="96" fillId="0" borderId="56" xfId="0" applyNumberFormat="1" applyFont="1" applyFill="1" applyBorder="1"/>
    <xf numFmtId="0" fontId="96" fillId="0" borderId="19" xfId="0" applyFont="1" applyFill="1" applyBorder="1"/>
    <xf numFmtId="3" fontId="96" fillId="0" borderId="21" xfId="0" applyNumberFormat="1" applyFont="1" applyFill="1" applyBorder="1"/>
    <xf numFmtId="2" fontId="96" fillId="0" borderId="60" xfId="0" applyNumberFormat="1" applyFont="1" applyFill="1" applyBorder="1"/>
    <xf numFmtId="0" fontId="173" fillId="0" borderId="0" xfId="0" applyFont="1" applyFill="1" applyBorder="1"/>
    <xf numFmtId="3" fontId="173" fillId="0" borderId="0" xfId="0" applyNumberFormat="1" applyFont="1" applyFill="1"/>
    <xf numFmtId="0" fontId="173" fillId="0" borderId="0" xfId="0" applyFont="1" applyFill="1"/>
    <xf numFmtId="0" fontId="172" fillId="0" borderId="0" xfId="0" applyFont="1" applyFill="1" applyBorder="1"/>
    <xf numFmtId="3" fontId="173" fillId="0" borderId="0" xfId="0" applyNumberFormat="1" applyFont="1" applyFill="1" applyBorder="1" applyAlignment="1">
      <alignment horizontal="right"/>
    </xf>
    <xf numFmtId="0" fontId="96" fillId="0" borderId="23" xfId="0" applyFont="1" applyFill="1" applyBorder="1" applyAlignment="1">
      <alignment horizontal="center"/>
    </xf>
    <xf numFmtId="0" fontId="96" fillId="27" borderId="27" xfId="0" applyFont="1" applyFill="1" applyBorder="1" applyAlignment="1">
      <alignment horizontal="center"/>
    </xf>
    <xf numFmtId="0" fontId="96" fillId="0" borderId="19" xfId="0" applyFont="1" applyFill="1" applyBorder="1" applyAlignment="1">
      <alignment horizontal="center"/>
    </xf>
    <xf numFmtId="0" fontId="96" fillId="27" borderId="28" xfId="0" applyFont="1" applyFill="1" applyBorder="1" applyAlignment="1">
      <alignment horizontal="center"/>
    </xf>
    <xf numFmtId="0" fontId="173" fillId="28" borderId="109" xfId="0" applyFont="1" applyFill="1" applyBorder="1"/>
    <xf numFmtId="3" fontId="173" fillId="28" borderId="52" xfId="0" applyNumberFormat="1" applyFont="1" applyFill="1" applyBorder="1"/>
    <xf numFmtId="3" fontId="173" fillId="28" borderId="45" xfId="0" applyNumberFormat="1" applyFont="1" applyFill="1" applyBorder="1" applyAlignment="1">
      <alignment horizontal="right"/>
    </xf>
    <xf numFmtId="4" fontId="173" fillId="28" borderId="27" xfId="0" applyNumberFormat="1" applyFont="1" applyFill="1" applyBorder="1" applyAlignment="1">
      <alignment horizontal="right"/>
    </xf>
    <xf numFmtId="3" fontId="173" fillId="28" borderId="102" xfId="0" applyNumberFormat="1" applyFont="1" applyFill="1" applyBorder="1"/>
    <xf numFmtId="3" fontId="173" fillId="28" borderId="64" xfId="0" applyNumberFormat="1" applyFont="1" applyFill="1" applyBorder="1"/>
    <xf numFmtId="4" fontId="173" fillId="28" borderId="110" xfId="0" applyNumberFormat="1" applyFont="1" applyFill="1" applyBorder="1" applyAlignment="1">
      <alignment horizontal="right"/>
    </xf>
    <xf numFmtId="3" fontId="96" fillId="0" borderId="43" xfId="0" applyNumberFormat="1" applyFont="1" applyFill="1" applyBorder="1"/>
    <xf numFmtId="4" fontId="96" fillId="0" borderId="80" xfId="0" applyNumberFormat="1" applyFont="1" applyFill="1" applyBorder="1"/>
    <xf numFmtId="0" fontId="96" fillId="0" borderId="0" xfId="0" applyFont="1" applyFill="1" applyBorder="1"/>
    <xf numFmtId="3" fontId="96" fillId="0" borderId="0" xfId="0" applyNumberFormat="1" applyFont="1" applyFill="1" applyBorder="1"/>
    <xf numFmtId="0" fontId="96" fillId="0" borderId="0" xfId="0" applyFont="1" applyFill="1"/>
    <xf numFmtId="4" fontId="96" fillId="0" borderId="0" xfId="0" applyNumberFormat="1" applyFont="1" applyFill="1"/>
    <xf numFmtId="0" fontId="96" fillId="0" borderId="20" xfId="0" applyFont="1" applyFill="1" applyBorder="1"/>
    <xf numFmtId="3" fontId="96" fillId="0" borderId="60" xfId="0" applyNumberFormat="1" applyFont="1" applyFill="1" applyBorder="1"/>
    <xf numFmtId="4" fontId="96" fillId="0" borderId="60" xfId="0" applyNumberFormat="1" applyFont="1" applyFill="1" applyBorder="1"/>
    <xf numFmtId="3" fontId="61" fillId="0" borderId="16" xfId="0" applyNumberFormat="1" applyFont="1" applyBorder="1" applyAlignment="1">
      <alignment horizontal="left"/>
    </xf>
    <xf numFmtId="0" fontId="15" fillId="27" borderId="83" xfId="0" applyFont="1" applyFill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35" fillId="0" borderId="70" xfId="0" applyFont="1" applyFill="1" applyBorder="1" applyAlignment="1">
      <alignment horizontal="center"/>
    </xf>
    <xf numFmtId="0" fontId="15" fillId="0" borderId="91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27" borderId="70" xfId="0" applyFont="1" applyFill="1" applyBorder="1" applyAlignment="1">
      <alignment horizontal="center"/>
    </xf>
    <xf numFmtId="0" fontId="15" fillId="0" borderId="84" xfId="0" applyFont="1" applyBorder="1" applyAlignment="1">
      <alignment horizontal="center"/>
    </xf>
    <xf numFmtId="0" fontId="134" fillId="0" borderId="18" xfId="0" applyFont="1" applyFill="1" applyBorder="1" applyAlignment="1">
      <alignment vertical="top"/>
    </xf>
    <xf numFmtId="0" fontId="134" fillId="0" borderId="19" xfId="0" applyFont="1" applyFill="1" applyBorder="1" applyAlignment="1">
      <alignment vertical="top"/>
    </xf>
    <xf numFmtId="0" fontId="134" fillId="0" borderId="83" xfId="101" applyFont="1" applyFill="1" applyBorder="1" applyAlignment="1" applyProtection="1">
      <alignment vertical="top"/>
    </xf>
    <xf numFmtId="0" fontId="134" fillId="0" borderId="69" xfId="0" applyFont="1" applyFill="1" applyBorder="1" applyAlignment="1">
      <alignment vertical="top"/>
    </xf>
    <xf numFmtId="0" fontId="134" fillId="0" borderId="18" xfId="101" applyFont="1" applyFill="1" applyBorder="1" applyAlignment="1" applyProtection="1">
      <alignment vertical="top"/>
    </xf>
    <xf numFmtId="0" fontId="134" fillId="0" borderId="23" xfId="98" applyFont="1" applyFill="1" applyBorder="1" applyAlignment="1" applyProtection="1">
      <alignment horizontal="left" vertical="top" wrapText="1"/>
    </xf>
    <xf numFmtId="0" fontId="134" fillId="0" borderId="83" xfId="98" applyFont="1" applyFill="1" applyBorder="1" applyAlignment="1" applyProtection="1">
      <alignment horizontal="left" vertical="top" wrapText="1"/>
    </xf>
    <xf numFmtId="3" fontId="98" fillId="0" borderId="37" xfId="96" applyNumberFormat="1" applyFont="1" applyFill="1" applyBorder="1"/>
    <xf numFmtId="3" fontId="98" fillId="0" borderId="36" xfId="96" applyNumberFormat="1" applyFont="1" applyFill="1" applyBorder="1"/>
    <xf numFmtId="3" fontId="154" fillId="0" borderId="40" xfId="96" applyNumberFormat="1" applyFont="1" applyFill="1" applyBorder="1" applyAlignment="1">
      <alignment horizontal="center"/>
    </xf>
    <xf numFmtId="3" fontId="154" fillId="0" borderId="36" xfId="96" applyNumberFormat="1" applyFont="1" applyFill="1" applyBorder="1"/>
    <xf numFmtId="3" fontId="154" fillId="0" borderId="37" xfId="96" applyNumberFormat="1" applyFont="1" applyFill="1" applyBorder="1"/>
    <xf numFmtId="3" fontId="154" fillId="0" borderId="68" xfId="96" applyNumberFormat="1" applyFont="1" applyFill="1" applyBorder="1"/>
    <xf numFmtId="3" fontId="154" fillId="0" borderId="0" xfId="96" applyNumberFormat="1" applyFont="1" applyFill="1"/>
    <xf numFmtId="0" fontId="175" fillId="0" borderId="0" xfId="107" applyFont="1" applyAlignment="1"/>
    <xf numFmtId="0" fontId="132" fillId="0" borderId="0" xfId="107" applyFont="1"/>
    <xf numFmtId="0" fontId="176" fillId="0" borderId="0" xfId="108" applyFont="1"/>
    <xf numFmtId="0" fontId="175" fillId="0" borderId="0" xfId="107" applyFont="1" applyBorder="1" applyAlignment="1"/>
    <xf numFmtId="0" fontId="132" fillId="0" borderId="0" xfId="107" applyFont="1" applyBorder="1"/>
    <xf numFmtId="0" fontId="78" fillId="0" borderId="0" xfId="107" applyFont="1" applyBorder="1" applyAlignment="1">
      <alignment horizontal="center"/>
    </xf>
    <xf numFmtId="0" fontId="78" fillId="0" borderId="0" xfId="107" applyFont="1" applyFill="1" applyBorder="1" applyAlignment="1">
      <alignment horizontal="center"/>
    </xf>
    <xf numFmtId="0" fontId="15" fillId="0" borderId="0" xfId="107" applyFont="1"/>
    <xf numFmtId="0" fontId="110" fillId="0" borderId="0" xfId="108"/>
    <xf numFmtId="0" fontId="132" fillId="0" borderId="83" xfId="107" applyFont="1" applyBorder="1"/>
    <xf numFmtId="0" fontId="177" fillId="0" borderId="0" xfId="108" applyFont="1"/>
    <xf numFmtId="3" fontId="175" fillId="0" borderId="69" xfId="109" applyNumberFormat="1" applyFont="1" applyBorder="1" applyAlignment="1">
      <alignment horizontal="center"/>
    </xf>
    <xf numFmtId="3" fontId="132" fillId="0" borderId="69" xfId="109" applyNumberFormat="1" applyFont="1" applyBorder="1" applyAlignment="1">
      <alignment horizontal="center"/>
    </xf>
    <xf numFmtId="4" fontId="132" fillId="0" borderId="86" xfId="107" applyNumberFormat="1" applyFont="1" applyBorder="1" applyAlignment="1">
      <alignment horizontal="center"/>
    </xf>
    <xf numFmtId="3" fontId="132" fillId="0" borderId="70" xfId="109" applyNumberFormat="1" applyFont="1" applyBorder="1" applyAlignment="1">
      <alignment horizontal="left"/>
    </xf>
    <xf numFmtId="4" fontId="132" fillId="0" borderId="77" xfId="107" applyNumberFormat="1" applyFont="1" applyBorder="1" applyAlignment="1">
      <alignment horizontal="center"/>
    </xf>
    <xf numFmtId="3" fontId="132" fillId="0" borderId="77" xfId="107" applyNumberFormat="1" applyFont="1" applyFill="1" applyBorder="1" applyAlignment="1">
      <alignment horizontal="center"/>
    </xf>
    <xf numFmtId="3" fontId="156" fillId="0" borderId="83" xfId="0" applyNumberFormat="1" applyFont="1" applyFill="1" applyBorder="1" applyAlignment="1">
      <alignment horizontal="center" vertical="center"/>
    </xf>
    <xf numFmtId="4" fontId="58" fillId="0" borderId="83" xfId="107" applyNumberFormat="1" applyFont="1" applyBorder="1" applyAlignment="1">
      <alignment horizontal="justify"/>
    </xf>
    <xf numFmtId="4" fontId="58" fillId="0" borderId="53" xfId="107" applyNumberFormat="1" applyFont="1" applyFill="1" applyBorder="1" applyAlignment="1">
      <alignment horizontal="justify"/>
    </xf>
    <xf numFmtId="4" fontId="58" fillId="0" borderId="53" xfId="107" applyNumberFormat="1" applyFont="1" applyBorder="1" applyAlignment="1">
      <alignment horizontal="justify"/>
    </xf>
    <xf numFmtId="0" fontId="58" fillId="0" borderId="0" xfId="107" applyFont="1" applyAlignment="1">
      <alignment horizontal="justify"/>
    </xf>
    <xf numFmtId="0" fontId="110" fillId="0" borderId="0" xfId="108" applyAlignment="1">
      <alignment horizontal="justify"/>
    </xf>
    <xf numFmtId="3" fontId="156" fillId="0" borderId="116" xfId="0" applyNumberFormat="1" applyFont="1" applyFill="1" applyBorder="1" applyAlignment="1">
      <alignment horizontal="left"/>
    </xf>
    <xf numFmtId="4" fontId="178" fillId="0" borderId="69" xfId="107" applyNumberFormat="1" applyFont="1" applyBorder="1"/>
    <xf numFmtId="3" fontId="178" fillId="0" borderId="86" xfId="107" applyNumberFormat="1" applyFont="1" applyFill="1" applyBorder="1"/>
    <xf numFmtId="4" fontId="178" fillId="0" borderId="86" xfId="107" applyNumberFormat="1" applyFont="1" applyBorder="1"/>
    <xf numFmtId="3" fontId="178" fillId="0" borderId="86" xfId="107" applyNumberFormat="1" applyFont="1" applyBorder="1"/>
    <xf numFmtId="0" fontId="58" fillId="0" borderId="0" xfId="107" applyFont="1"/>
    <xf numFmtId="3" fontId="156" fillId="0" borderId="78" xfId="0" applyNumberFormat="1" applyFont="1" applyFill="1" applyBorder="1" applyAlignment="1">
      <alignment horizontal="left"/>
    </xf>
    <xf numFmtId="4" fontId="178" fillId="0" borderId="78" xfId="107" applyNumberFormat="1" applyFont="1" applyBorder="1"/>
    <xf numFmtId="3" fontId="178" fillId="0" borderId="136" xfId="107" applyNumberFormat="1" applyFont="1" applyFill="1" applyBorder="1"/>
    <xf numFmtId="4" fontId="178" fillId="0" borderId="136" xfId="107" applyNumberFormat="1" applyFont="1" applyBorder="1"/>
    <xf numFmtId="3" fontId="178" fillId="0" borderId="136" xfId="107" applyNumberFormat="1" applyFont="1" applyBorder="1"/>
    <xf numFmtId="3" fontId="178" fillId="0" borderId="89" xfId="107" applyNumberFormat="1" applyFont="1" applyFill="1" applyBorder="1"/>
    <xf numFmtId="4" fontId="178" fillId="0" borderId="89" xfId="107" applyNumberFormat="1" applyFont="1" applyBorder="1"/>
    <xf numFmtId="3" fontId="178" fillId="0" borderId="89" xfId="107" applyNumberFormat="1" applyFont="1" applyBorder="1"/>
    <xf numFmtId="3" fontId="178" fillId="0" borderId="101" xfId="107" applyNumberFormat="1" applyFont="1" applyFill="1" applyBorder="1"/>
    <xf numFmtId="4" fontId="178" fillId="0" borderId="101" xfId="107" applyNumberFormat="1" applyFont="1" applyBorder="1"/>
    <xf numFmtId="3" fontId="178" fillId="0" borderId="101" xfId="107" applyNumberFormat="1" applyFont="1" applyBorder="1"/>
    <xf numFmtId="3" fontId="156" fillId="0" borderId="76" xfId="0" applyNumberFormat="1" applyFont="1" applyFill="1" applyBorder="1" applyAlignment="1">
      <alignment horizontal="left"/>
    </xf>
    <xf numFmtId="3" fontId="156" fillId="0" borderId="19" xfId="0" applyNumberFormat="1" applyFont="1" applyFill="1" applyBorder="1" applyAlignment="1" applyProtection="1">
      <alignment horizontal="left"/>
    </xf>
    <xf numFmtId="4" fontId="178" fillId="0" borderId="77" xfId="107" applyNumberFormat="1" applyFont="1" applyBorder="1"/>
    <xf numFmtId="3" fontId="178" fillId="0" borderId="77" xfId="107" applyNumberFormat="1" applyFont="1" applyFill="1" applyBorder="1"/>
    <xf numFmtId="3" fontId="178" fillId="0" borderId="77" xfId="107" applyNumberFormat="1" applyFont="1" applyBorder="1"/>
    <xf numFmtId="3" fontId="156" fillId="0" borderId="17" xfId="0" applyNumberFormat="1" applyFont="1" applyFill="1" applyBorder="1" applyAlignment="1" applyProtection="1">
      <alignment horizontal="left"/>
    </xf>
    <xf numFmtId="4" fontId="178" fillId="0" borderId="136" xfId="107" applyNumberFormat="1" applyFont="1" applyFill="1" applyBorder="1"/>
    <xf numFmtId="0" fontId="58" fillId="0" borderId="0" xfId="107" applyFont="1" applyFill="1"/>
    <xf numFmtId="0" fontId="110" fillId="0" borderId="0" xfId="108" applyFill="1"/>
    <xf numFmtId="3" fontId="178" fillId="0" borderId="81" xfId="107" applyNumberFormat="1" applyFont="1" applyFill="1" applyBorder="1"/>
    <xf numFmtId="4" fontId="178" fillId="0" borderId="81" xfId="107" applyNumberFormat="1" applyFont="1" applyBorder="1"/>
    <xf numFmtId="3" fontId="178" fillId="0" borderId="81" xfId="107" applyNumberFormat="1" applyFont="1" applyBorder="1"/>
    <xf numFmtId="3" fontId="156" fillId="0" borderId="69" xfId="0" applyNumberFormat="1" applyFont="1" applyFill="1" applyBorder="1" applyAlignment="1" applyProtection="1">
      <alignment horizontal="center" vertical="center"/>
    </xf>
    <xf numFmtId="4" fontId="178" fillId="0" borderId="86" xfId="107" applyNumberFormat="1" applyFont="1" applyFill="1" applyBorder="1"/>
    <xf numFmtId="3" fontId="165" fillId="0" borderId="69" xfId="0" applyNumberFormat="1" applyFont="1" applyFill="1" applyBorder="1" applyAlignment="1" applyProtection="1">
      <alignment horizontal="center"/>
    </xf>
    <xf numFmtId="3" fontId="156" fillId="0" borderId="77" xfId="0" applyNumberFormat="1" applyFont="1" applyFill="1" applyBorder="1" applyAlignment="1" applyProtection="1">
      <alignment horizontal="left"/>
    </xf>
    <xf numFmtId="3" fontId="165" fillId="0" borderId="83" xfId="0" applyNumberFormat="1" applyFont="1" applyFill="1" applyBorder="1" applyAlignment="1" applyProtection="1">
      <alignment horizontal="center"/>
    </xf>
    <xf numFmtId="4" fontId="178" fillId="0" borderId="53" xfId="107" applyNumberFormat="1" applyFont="1" applyBorder="1"/>
    <xf numFmtId="4" fontId="178" fillId="0" borderId="53" xfId="107" applyNumberFormat="1" applyFont="1" applyFill="1" applyBorder="1"/>
    <xf numFmtId="3" fontId="156" fillId="0" borderId="75" xfId="0" applyNumberFormat="1" applyFont="1" applyFill="1" applyBorder="1" applyAlignment="1">
      <alignment horizontal="left"/>
    </xf>
    <xf numFmtId="3" fontId="156" fillId="0" borderId="76" xfId="0" applyNumberFormat="1" applyFont="1" applyFill="1" applyBorder="1" applyAlignment="1" applyProtection="1">
      <alignment horizontal="left"/>
    </xf>
    <xf numFmtId="3" fontId="156" fillId="0" borderId="116" xfId="0" applyNumberFormat="1" applyFont="1" applyFill="1" applyBorder="1" applyAlignment="1" applyProtection="1">
      <alignment horizontal="justify"/>
    </xf>
    <xf numFmtId="4" fontId="178" fillId="0" borderId="116" xfId="107" applyNumberFormat="1" applyFont="1" applyBorder="1"/>
    <xf numFmtId="3" fontId="156" fillId="0" borderId="69" xfId="0" applyNumberFormat="1" applyFont="1" applyFill="1" applyBorder="1" applyAlignment="1" applyProtection="1">
      <alignment horizontal="justify"/>
    </xf>
    <xf numFmtId="3" fontId="178" fillId="0" borderId="80" xfId="107" applyNumberFormat="1" applyFont="1" applyFill="1" applyBorder="1"/>
    <xf numFmtId="4" fontId="178" fillId="0" borderId="80" xfId="107" applyNumberFormat="1" applyFont="1" applyBorder="1"/>
    <xf numFmtId="3" fontId="178" fillId="0" borderId="80" xfId="107" applyNumberFormat="1" applyFont="1" applyBorder="1"/>
    <xf numFmtId="3" fontId="156" fillId="0" borderId="77" xfId="0" applyNumberFormat="1" applyFont="1" applyFill="1" applyBorder="1" applyAlignment="1">
      <alignment horizontal="left"/>
    </xf>
    <xf numFmtId="3" fontId="156" fillId="0" borderId="70" xfId="0" applyNumberFormat="1" applyFont="1" applyFill="1" applyBorder="1" applyAlignment="1" applyProtection="1">
      <alignment horizontal="left"/>
    </xf>
    <xf numFmtId="4" fontId="178" fillId="0" borderId="84" xfId="107" applyNumberFormat="1" applyFont="1" applyBorder="1"/>
    <xf numFmtId="3" fontId="178" fillId="0" borderId="84" xfId="107" applyNumberFormat="1" applyFont="1" applyBorder="1"/>
    <xf numFmtId="3" fontId="178" fillId="0" borderId="84" xfId="107" applyNumberFormat="1" applyFont="1" applyFill="1" applyBorder="1"/>
    <xf numFmtId="3" fontId="156" fillId="0" borderId="76" xfId="0" applyNumberFormat="1" applyFont="1" applyFill="1" applyBorder="1" applyAlignment="1" applyProtection="1"/>
    <xf numFmtId="3" fontId="156" fillId="0" borderId="77" xfId="0" applyNumberFormat="1" applyFont="1" applyFill="1" applyBorder="1" applyAlignment="1" applyProtection="1">
      <alignment horizontal="center" vertical="center"/>
    </xf>
    <xf numFmtId="3" fontId="156" fillId="0" borderId="78" xfId="0" applyNumberFormat="1" applyFont="1" applyFill="1" applyBorder="1" applyAlignment="1" applyProtection="1">
      <alignment horizontal="justify"/>
    </xf>
    <xf numFmtId="3" fontId="156" fillId="0" borderId="70" xfId="0" applyNumberFormat="1" applyFont="1" applyFill="1" applyBorder="1" applyAlignment="1">
      <alignment horizontal="left"/>
    </xf>
    <xf numFmtId="3" fontId="178" fillId="0" borderId="70" xfId="107" applyNumberFormat="1" applyFont="1" applyBorder="1"/>
    <xf numFmtId="3" fontId="178" fillId="0" borderId="70" xfId="107" applyNumberFormat="1" applyFont="1" applyFill="1" applyBorder="1"/>
    <xf numFmtId="4" fontId="179" fillId="27" borderId="77" xfId="110" applyNumberFormat="1" applyFont="1" applyFill="1" applyBorder="1" applyAlignment="1">
      <alignment horizontal="right"/>
    </xf>
    <xf numFmtId="3" fontId="178" fillId="27" borderId="70" xfId="110" applyNumberFormat="1" applyFont="1" applyFill="1" applyBorder="1" applyAlignment="1">
      <alignment horizontal="right"/>
    </xf>
    <xf numFmtId="3" fontId="178" fillId="0" borderId="70" xfId="110" applyNumberFormat="1" applyFont="1" applyFill="1" applyBorder="1" applyAlignment="1">
      <alignment horizontal="right"/>
    </xf>
    <xf numFmtId="3" fontId="178" fillId="27" borderId="77" xfId="110" applyNumberFormat="1" applyFont="1" applyFill="1" applyBorder="1" applyAlignment="1">
      <alignment horizontal="right"/>
    </xf>
    <xf numFmtId="0" fontId="58" fillId="27" borderId="0" xfId="107" applyFont="1" applyFill="1"/>
    <xf numFmtId="49" fontId="181" fillId="0" borderId="0" xfId="107" applyNumberFormat="1" applyFont="1"/>
    <xf numFmtId="0" fontId="181" fillId="0" borderId="0" xfId="107" applyFont="1"/>
    <xf numFmtId="0" fontId="180" fillId="0" borderId="0" xfId="107" applyFont="1" applyAlignment="1">
      <alignment horizontal="left"/>
    </xf>
    <xf numFmtId="49" fontId="58" fillId="0" borderId="0" xfId="107" applyNumberFormat="1" applyFont="1" applyFill="1"/>
    <xf numFmtId="0" fontId="74" fillId="0" borderId="0" xfId="108" applyFont="1"/>
    <xf numFmtId="0" fontId="180" fillId="0" borderId="0" xfId="107" applyFont="1"/>
    <xf numFmtId="0" fontId="15" fillId="0" borderId="0" xfId="107" applyFont="1" applyFill="1"/>
    <xf numFmtId="3" fontId="78" fillId="0" borderId="86" xfId="100" applyNumberFormat="1" applyFont="1" applyBorder="1" applyAlignment="1">
      <alignment horizontal="center"/>
    </xf>
    <xf numFmtId="9" fontId="76" fillId="0" borderId="70" xfId="99" applyNumberFormat="1" applyFont="1" applyBorder="1" applyAlignment="1">
      <alignment horizontal="center"/>
    </xf>
    <xf numFmtId="3" fontId="76" fillId="0" borderId="84" xfId="99" applyNumberFormat="1" applyFont="1" applyBorder="1" applyAlignment="1">
      <alignment horizontal="center"/>
    </xf>
    <xf numFmtId="9" fontId="76" fillId="0" borderId="83" xfId="99" applyNumberFormat="1" applyFont="1" applyBorder="1" applyAlignment="1">
      <alignment horizontal="center"/>
    </xf>
    <xf numFmtId="3" fontId="76" fillId="0" borderId="83" xfId="99" applyNumberFormat="1" applyFont="1" applyBorder="1" applyAlignment="1">
      <alignment horizontal="center"/>
    </xf>
    <xf numFmtId="3" fontId="145" fillId="0" borderId="70" xfId="99" applyNumberFormat="1" applyFont="1" applyBorder="1" applyAlignment="1">
      <alignment horizontal="left"/>
    </xf>
    <xf numFmtId="3" fontId="144" fillId="0" borderId="70" xfId="99" applyNumberFormat="1" applyFont="1" applyBorder="1" applyAlignment="1">
      <alignment horizontal="right"/>
    </xf>
    <xf numFmtId="3" fontId="182" fillId="0" borderId="77" xfId="99" applyNumberFormat="1" applyFont="1" applyFill="1" applyBorder="1" applyAlignment="1">
      <alignment horizontal="left"/>
    </xf>
    <xf numFmtId="3" fontId="128" fillId="0" borderId="77" xfId="99" applyNumberFormat="1" applyFont="1" applyFill="1" applyBorder="1" applyAlignment="1">
      <alignment horizontal="left"/>
    </xf>
    <xf numFmtId="3" fontId="128" fillId="0" borderId="83" xfId="99" applyNumberFormat="1" applyFont="1" applyFill="1" applyBorder="1" applyAlignment="1">
      <alignment horizontal="left"/>
    </xf>
    <xf numFmtId="3" fontId="128" fillId="0" borderId="70" xfId="99" applyNumberFormat="1" applyFont="1" applyFill="1" applyBorder="1" applyAlignment="1">
      <alignment horizontal="left"/>
    </xf>
    <xf numFmtId="0" fontId="134" fillId="0" borderId="69" xfId="98" applyFont="1" applyFill="1" applyBorder="1" applyAlignment="1" applyProtection="1">
      <alignment horizontal="left" vertical="top" wrapText="1"/>
    </xf>
    <xf numFmtId="3" fontId="143" fillId="0" borderId="77" xfId="99" applyNumberFormat="1" applyFont="1" applyFill="1" applyBorder="1" applyAlignment="1"/>
    <xf numFmtId="3" fontId="136" fillId="0" borderId="60" xfId="99" applyNumberFormat="1" applyFont="1" applyFill="1" applyBorder="1" applyAlignment="1"/>
    <xf numFmtId="3" fontId="128" fillId="0" borderId="83" xfId="99" applyNumberFormat="1" applyFont="1" applyBorder="1" applyAlignment="1">
      <alignment horizontal="left"/>
    </xf>
    <xf numFmtId="0" fontId="134" fillId="0" borderId="0" xfId="100" applyFont="1"/>
    <xf numFmtId="0" fontId="139" fillId="0" borderId="19" xfId="101" applyFont="1" applyFill="1" applyBorder="1" applyAlignment="1">
      <alignment horizontal="center" vertical="center"/>
    </xf>
    <xf numFmtId="0" fontId="134" fillId="0" borderId="23" xfId="101" applyFont="1" applyFill="1" applyBorder="1" applyAlignment="1" applyProtection="1">
      <alignment horizontal="left" vertical="top"/>
    </xf>
    <xf numFmtId="0" fontId="134" fillId="0" borderId="20" xfId="101" applyFont="1" applyFill="1" applyBorder="1" applyAlignment="1" applyProtection="1">
      <alignment horizontal="left" vertical="top"/>
    </xf>
    <xf numFmtId="3" fontId="142" fillId="0" borderId="77" xfId="99" applyNumberFormat="1" applyFont="1" applyFill="1" applyBorder="1" applyAlignment="1">
      <alignment horizontal="left"/>
    </xf>
    <xf numFmtId="3" fontId="142" fillId="0" borderId="77" xfId="98" applyNumberFormat="1" applyFont="1" applyFill="1" applyBorder="1" applyAlignment="1">
      <alignment horizontal="left"/>
    </xf>
    <xf numFmtId="0" fontId="134" fillId="0" borderId="23" xfId="0" applyFont="1" applyFill="1" applyBorder="1" applyAlignment="1">
      <alignment horizontal="left" vertical="top"/>
    </xf>
    <xf numFmtId="0" fontId="142" fillId="0" borderId="20" xfId="98" applyFont="1" applyFill="1" applyBorder="1" applyAlignment="1" applyProtection="1">
      <alignment horizontal="left"/>
    </xf>
    <xf numFmtId="0" fontId="134" fillId="0" borderId="83" xfId="0" applyFont="1" applyFill="1" applyBorder="1" applyAlignment="1">
      <alignment horizontal="left" vertical="top"/>
    </xf>
    <xf numFmtId="0" fontId="134" fillId="0" borderId="70" xfId="100" applyFont="1" applyBorder="1"/>
    <xf numFmtId="0" fontId="142" fillId="0" borderId="20" xfId="0" applyFont="1" applyFill="1" applyBorder="1" applyAlignment="1">
      <alignment horizontal="left"/>
    </xf>
    <xf numFmtId="3" fontId="134" fillId="0" borderId="69" xfId="99" applyNumberFormat="1" applyFont="1" applyFill="1" applyBorder="1" applyAlignment="1">
      <alignment horizontal="left" vertical="top"/>
    </xf>
    <xf numFmtId="3" fontId="134" fillId="0" borderId="70" xfId="99" applyNumberFormat="1" applyFont="1" applyFill="1" applyBorder="1" applyAlignment="1">
      <alignment horizontal="left" vertical="top"/>
    </xf>
    <xf numFmtId="3" fontId="142" fillId="0" borderId="20" xfId="99" applyNumberFormat="1" applyFont="1" applyFill="1" applyBorder="1" applyAlignment="1">
      <alignment horizontal="left"/>
    </xf>
    <xf numFmtId="0" fontId="134" fillId="0" borderId="70" xfId="0" applyFont="1" applyFill="1" applyBorder="1" applyAlignment="1">
      <alignment horizontal="right"/>
    </xf>
    <xf numFmtId="0" fontId="134" fillId="0" borderId="18" xfId="98" applyFont="1" applyFill="1" applyBorder="1" applyAlignment="1" applyProtection="1">
      <alignment horizontal="left" vertical="top"/>
    </xf>
    <xf numFmtId="0" fontId="142" fillId="0" borderId="23" xfId="98" applyFont="1" applyFill="1" applyBorder="1" applyAlignment="1" applyProtection="1">
      <alignment horizontal="left"/>
    </xf>
    <xf numFmtId="0" fontId="134" fillId="0" borderId="18" xfId="98" applyFont="1" applyFill="1" applyBorder="1" applyAlignment="1" applyProtection="1">
      <alignment horizontal="right" vertical="top" wrapText="1"/>
    </xf>
    <xf numFmtId="0" fontId="134" fillId="0" borderId="18" xfId="100" applyFont="1" applyFill="1" applyBorder="1" applyAlignment="1">
      <alignment horizontal="right"/>
    </xf>
    <xf numFmtId="0" fontId="184" fillId="0" borderId="83" xfId="100" applyFont="1" applyBorder="1" applyAlignment="1">
      <alignment horizontal="center"/>
    </xf>
    <xf numFmtId="3" fontId="184" fillId="0" borderId="53" xfId="100" applyNumberFormat="1" applyFont="1" applyBorder="1" applyAlignment="1">
      <alignment horizontal="center"/>
    </xf>
    <xf numFmtId="0" fontId="185" fillId="0" borderId="0" xfId="100" applyFont="1" applyBorder="1"/>
    <xf numFmtId="0" fontId="184" fillId="0" borderId="69" xfId="100" applyFont="1" applyBorder="1" applyAlignment="1">
      <alignment horizontal="center"/>
    </xf>
    <xf numFmtId="3" fontId="184" fillId="0" borderId="86" xfId="100" applyNumberFormat="1" applyFont="1" applyBorder="1" applyAlignment="1">
      <alignment horizontal="center"/>
    </xf>
    <xf numFmtId="0" fontId="186" fillId="0" borderId="116" xfId="101" applyFont="1" applyFill="1" applyBorder="1" applyAlignment="1" applyProtection="1">
      <alignment horizontal="left"/>
    </xf>
    <xf numFmtId="0" fontId="186" fillId="0" borderId="78" xfId="101" applyFont="1" applyFill="1" applyBorder="1" applyAlignment="1" applyProtection="1">
      <alignment horizontal="left"/>
    </xf>
    <xf numFmtId="3" fontId="135" fillId="0" borderId="101" xfId="99" applyNumberFormat="1" applyFont="1" applyFill="1" applyBorder="1" applyAlignment="1">
      <alignment horizontal="right"/>
    </xf>
    <xf numFmtId="0" fontId="186" fillId="0" borderId="76" xfId="101" applyFont="1" applyFill="1" applyBorder="1" applyAlignment="1" applyProtection="1">
      <alignment horizontal="left"/>
    </xf>
    <xf numFmtId="3" fontId="135" fillId="0" borderId="86" xfId="99" applyNumberFormat="1" applyFont="1" applyFill="1" applyBorder="1" applyAlignment="1">
      <alignment horizontal="right"/>
    </xf>
    <xf numFmtId="3" fontId="135" fillId="0" borderId="77" xfId="99" applyNumberFormat="1" applyFont="1" applyFill="1" applyBorder="1" applyAlignment="1">
      <alignment horizontal="right"/>
    </xf>
    <xf numFmtId="0" fontId="186" fillId="0" borderId="77" xfId="101" applyFont="1" applyFill="1" applyBorder="1" applyAlignment="1" applyProtection="1">
      <alignment horizontal="left"/>
    </xf>
    <xf numFmtId="3" fontId="135" fillId="0" borderId="76" xfId="99" applyNumberFormat="1" applyFont="1" applyFill="1" applyBorder="1" applyAlignment="1">
      <alignment horizontal="left"/>
    </xf>
    <xf numFmtId="0" fontId="135" fillId="0" borderId="134" xfId="111" applyFont="1" applyFill="1" applyBorder="1" applyAlignment="1">
      <alignment horizontal="left" vertical="center" wrapText="1"/>
    </xf>
    <xf numFmtId="0" fontId="135" fillId="0" borderId="78" xfId="111" applyFont="1" applyFill="1" applyBorder="1" applyAlignment="1">
      <alignment horizontal="left" vertical="center" wrapText="1"/>
    </xf>
    <xf numFmtId="0" fontId="135" fillId="0" borderId="78" xfId="111" applyNumberFormat="1" applyFont="1" applyFill="1" applyBorder="1" applyAlignment="1">
      <alignment horizontal="left" vertical="center" wrapText="1"/>
    </xf>
    <xf numFmtId="3" fontId="135" fillId="0" borderId="78" xfId="99" applyNumberFormat="1" applyFont="1" applyFill="1" applyBorder="1" applyAlignment="1">
      <alignment horizontal="left" wrapText="1"/>
    </xf>
    <xf numFmtId="3" fontId="135" fillId="0" borderId="116" xfId="99" applyNumberFormat="1" applyFont="1" applyFill="1" applyBorder="1" applyAlignment="1">
      <alignment horizontal="left"/>
    </xf>
    <xf numFmtId="3" fontId="145" fillId="0" borderId="77" xfId="99" applyNumberFormat="1" applyFont="1" applyFill="1" applyBorder="1" applyAlignment="1">
      <alignment horizontal="left"/>
    </xf>
    <xf numFmtId="3" fontId="145" fillId="0" borderId="83" xfId="99" applyNumberFormat="1" applyFont="1" applyFill="1" applyBorder="1" applyAlignment="1">
      <alignment horizontal="left"/>
    </xf>
    <xf numFmtId="0" fontId="187" fillId="0" borderId="77" xfId="0" applyFont="1" applyBorder="1" applyAlignment="1">
      <alignment vertical="center"/>
    </xf>
    <xf numFmtId="0" fontId="135" fillId="0" borderId="77" xfId="100" applyFont="1" applyFill="1" applyBorder="1"/>
    <xf numFmtId="3" fontId="135" fillId="0" borderId="77" xfId="99" applyNumberFormat="1" applyFont="1" applyFill="1" applyBorder="1" applyAlignment="1">
      <alignment horizontal="left"/>
    </xf>
    <xf numFmtId="0" fontId="135" fillId="0" borderId="77" xfId="0" applyFont="1" applyFill="1" applyBorder="1"/>
    <xf numFmtId="3" fontId="135" fillId="0" borderId="69" xfId="99" applyNumberFormat="1" applyFont="1" applyFill="1" applyBorder="1" applyAlignment="1">
      <alignment horizontal="left"/>
    </xf>
    <xf numFmtId="3" fontId="130" fillId="0" borderId="77" xfId="99" applyNumberFormat="1" applyFont="1" applyFill="1" applyBorder="1" applyAlignment="1">
      <alignment horizontal="left"/>
    </xf>
    <xf numFmtId="3" fontId="130" fillId="0" borderId="47" xfId="99" applyNumberFormat="1" applyFont="1" applyFill="1" applyBorder="1" applyAlignment="1">
      <alignment horizontal="left"/>
    </xf>
    <xf numFmtId="3" fontId="130" fillId="0" borderId="83" xfId="99" applyNumberFormat="1" applyFont="1" applyFill="1" applyBorder="1" applyAlignment="1">
      <alignment horizontal="left"/>
    </xf>
    <xf numFmtId="3" fontId="185" fillId="0" borderId="77" xfId="100" applyNumberFormat="1" applyFont="1" applyBorder="1"/>
    <xf numFmtId="0" fontId="188" fillId="0" borderId="0" xfId="100" applyFont="1" applyBorder="1"/>
    <xf numFmtId="3" fontId="188" fillId="0" borderId="0" xfId="100" applyNumberFormat="1" applyFont="1" applyBorder="1"/>
    <xf numFmtId="3" fontId="134" fillId="0" borderId="83" xfId="99" applyNumberFormat="1" applyFont="1" applyFill="1" applyBorder="1" applyAlignment="1">
      <alignment horizontal="right"/>
    </xf>
    <xf numFmtId="3" fontId="134" fillId="0" borderId="70" xfId="99" applyNumberFormat="1" applyFont="1" applyFill="1" applyBorder="1" applyAlignment="1">
      <alignment horizontal="right"/>
    </xf>
    <xf numFmtId="0" fontId="184" fillId="0" borderId="23" xfId="100" applyFont="1" applyBorder="1" applyAlignment="1">
      <alignment horizontal="center"/>
    </xf>
    <xf numFmtId="0" fontId="183" fillId="0" borderId="69" xfId="98" applyFont="1" applyBorder="1" applyAlignment="1">
      <alignment horizontal="center" vertical="center"/>
    </xf>
    <xf numFmtId="0" fontId="184" fillId="0" borderId="18" xfId="100" applyFont="1" applyBorder="1" applyAlignment="1">
      <alignment horizontal="center"/>
    </xf>
    <xf numFmtId="0" fontId="183" fillId="0" borderId="70" xfId="98" applyFont="1" applyBorder="1" applyAlignment="1">
      <alignment horizontal="center" vertical="center"/>
    </xf>
    <xf numFmtId="0" fontId="184" fillId="0" borderId="19" xfId="100" applyFont="1" applyBorder="1" applyAlignment="1">
      <alignment horizontal="center"/>
    </xf>
    <xf numFmtId="0" fontId="184" fillId="0" borderId="70" xfId="100" applyFont="1" applyBorder="1" applyAlignment="1">
      <alignment horizontal="center"/>
    </xf>
    <xf numFmtId="0" fontId="189" fillId="0" borderId="18" xfId="101" applyFont="1" applyFill="1" applyBorder="1" applyAlignment="1">
      <alignment horizontal="center" vertical="center"/>
    </xf>
    <xf numFmtId="0" fontId="190" fillId="0" borderId="19" xfId="101" applyFont="1" applyFill="1" applyBorder="1" applyAlignment="1" applyProtection="1">
      <alignment horizontal="left" vertical="top"/>
    </xf>
    <xf numFmtId="0" fontId="134" fillId="0" borderId="77" xfId="0" applyFont="1" applyFill="1" applyBorder="1" applyAlignment="1">
      <alignment vertical="top"/>
    </xf>
    <xf numFmtId="0" fontId="134" fillId="0" borderId="69" xfId="0" applyFont="1" applyFill="1" applyBorder="1" applyAlignment="1">
      <alignment horizontal="left" vertical="top"/>
    </xf>
    <xf numFmtId="0" fontId="190" fillId="0" borderId="83" xfId="101" applyFont="1" applyFill="1" applyBorder="1" applyAlignment="1" applyProtection="1">
      <alignment vertical="top"/>
    </xf>
    <xf numFmtId="0" fontId="190" fillId="0" borderId="70" xfId="101" applyFont="1" applyFill="1" applyBorder="1" applyAlignment="1" applyProtection="1">
      <alignment vertical="top"/>
    </xf>
    <xf numFmtId="0" fontId="191" fillId="0" borderId="70" xfId="0" applyFont="1" applyFill="1" applyBorder="1" applyAlignment="1">
      <alignment vertical="top"/>
    </xf>
    <xf numFmtId="0" fontId="190" fillId="0" borderId="69" xfId="101" applyFont="1" applyFill="1" applyBorder="1" applyAlignment="1" applyProtection="1">
      <alignment vertical="top"/>
    </xf>
    <xf numFmtId="0" fontId="134" fillId="0" borderId="77" xfId="101" applyFont="1" applyFill="1" applyBorder="1" applyAlignment="1" applyProtection="1">
      <alignment vertical="top"/>
    </xf>
    <xf numFmtId="3" fontId="134" fillId="0" borderId="83" xfId="99" applyNumberFormat="1" applyFont="1" applyFill="1" applyBorder="1" applyAlignment="1">
      <alignment horizontal="left" vertical="top"/>
    </xf>
    <xf numFmtId="0" fontId="191" fillId="0" borderId="69" xfId="0" applyFont="1" applyFill="1" applyBorder="1" applyAlignment="1">
      <alignment horizontal="left" vertical="top"/>
    </xf>
    <xf numFmtId="0" fontId="191" fillId="0" borderId="116" xfId="0" applyFont="1" applyFill="1" applyBorder="1" applyAlignment="1">
      <alignment horizontal="left" vertical="top"/>
    </xf>
    <xf numFmtId="3" fontId="142" fillId="0" borderId="19" xfId="98" applyNumberFormat="1" applyFont="1" applyFill="1" applyBorder="1" applyAlignment="1">
      <alignment horizontal="left"/>
    </xf>
    <xf numFmtId="0" fontId="139" fillId="0" borderId="23" xfId="98" applyFont="1" applyFill="1" applyBorder="1" applyAlignment="1" applyProtection="1">
      <alignment horizontal="center" vertical="center"/>
    </xf>
    <xf numFmtId="0" fontId="142" fillId="0" borderId="18" xfId="98" applyFont="1" applyFill="1" applyBorder="1" applyProtection="1"/>
    <xf numFmtId="0" fontId="134" fillId="0" borderId="124" xfId="0" applyFont="1" applyFill="1" applyBorder="1"/>
    <xf numFmtId="0" fontId="142" fillId="0" borderId="19" xfId="98" applyFont="1" applyFill="1" applyBorder="1" applyAlignment="1" applyProtection="1">
      <alignment horizontal="left"/>
    </xf>
    <xf numFmtId="0" fontId="142" fillId="0" borderId="17" xfId="98" applyFont="1" applyFill="1" applyBorder="1" applyAlignment="1" applyProtection="1">
      <alignment horizontal="left"/>
    </xf>
    <xf numFmtId="0" fontId="134" fillId="0" borderId="99" xfId="98" applyFont="1" applyFill="1" applyBorder="1" applyAlignment="1" applyProtection="1">
      <alignment horizontal="left" vertical="top"/>
    </xf>
    <xf numFmtId="0" fontId="134" fillId="0" borderId="116" xfId="98" applyFont="1" applyFill="1" applyBorder="1" applyAlignment="1" applyProtection="1">
      <alignment horizontal="left" vertical="top" wrapText="1"/>
    </xf>
    <xf numFmtId="0" fontId="142" fillId="0" borderId="70" xfId="98" applyFont="1" applyFill="1" applyBorder="1" applyAlignment="1" applyProtection="1">
      <alignment horizontal="left" wrapText="1"/>
    </xf>
    <xf numFmtId="0" fontId="142" fillId="0" borderId="76" xfId="98" applyFont="1" applyFill="1" applyBorder="1" applyAlignment="1" applyProtection="1">
      <alignment horizontal="left"/>
    </xf>
    <xf numFmtId="0" fontId="186" fillId="0" borderId="19" xfId="101" applyFont="1" applyFill="1" applyBorder="1" applyAlignment="1" applyProtection="1">
      <alignment horizontal="left"/>
    </xf>
    <xf numFmtId="0" fontId="186" fillId="0" borderId="134" xfId="101" applyFont="1" applyFill="1" applyBorder="1" applyAlignment="1" applyProtection="1">
      <alignment horizontal="left"/>
    </xf>
    <xf numFmtId="0" fontId="186" fillId="0" borderId="18" xfId="101" applyFont="1" applyFill="1" applyBorder="1" applyAlignment="1" applyProtection="1">
      <alignment horizontal="left"/>
    </xf>
    <xf numFmtId="0" fontId="186" fillId="0" borderId="17" xfId="101" applyFont="1" applyFill="1" applyBorder="1" applyAlignment="1" applyProtection="1">
      <alignment horizontal="left"/>
    </xf>
    <xf numFmtId="3" fontId="135" fillId="0" borderId="125" xfId="99" applyNumberFormat="1" applyFont="1" applyFill="1" applyBorder="1" applyAlignment="1">
      <alignment horizontal="right"/>
    </xf>
    <xf numFmtId="3" fontId="135" fillId="0" borderId="80" xfId="99" applyNumberFormat="1" applyFont="1" applyFill="1" applyBorder="1" applyAlignment="1">
      <alignment horizontal="right"/>
    </xf>
    <xf numFmtId="3" fontId="138" fillId="0" borderId="70" xfId="99" applyNumberFormat="1" applyFont="1" applyFill="1" applyBorder="1" applyAlignment="1">
      <alignment horizontal="left"/>
    </xf>
    <xf numFmtId="0" fontId="186" fillId="0" borderId="125" xfId="101" applyFont="1" applyFill="1" applyBorder="1" applyAlignment="1" applyProtection="1">
      <alignment horizontal="left"/>
    </xf>
    <xf numFmtId="0" fontId="186" fillId="0" borderId="89" xfId="101" applyFont="1" applyFill="1" applyBorder="1" applyAlignment="1" applyProtection="1">
      <alignment horizontal="left"/>
    </xf>
    <xf numFmtId="0" fontId="135" fillId="0" borderId="83" xfId="101" applyFont="1" applyFill="1" applyBorder="1" applyAlignment="1">
      <alignment horizontal="left"/>
    </xf>
    <xf numFmtId="0" fontId="135" fillId="0" borderId="69" xfId="0" applyFont="1" applyFill="1" applyBorder="1" applyAlignment="1">
      <alignment horizontal="left"/>
    </xf>
    <xf numFmtId="0" fontId="135" fillId="0" borderId="70" xfId="101" applyFont="1" applyFill="1" applyBorder="1" applyAlignment="1">
      <alignment horizontal="left"/>
    </xf>
    <xf numFmtId="3" fontId="135" fillId="0" borderId="83" xfId="99" applyNumberFormat="1" applyFont="1" applyFill="1" applyBorder="1" applyAlignment="1">
      <alignment horizontal="left"/>
    </xf>
    <xf numFmtId="3" fontId="135" fillId="0" borderId="53" xfId="99" applyNumberFormat="1" applyFont="1" applyFill="1" applyBorder="1" applyAlignment="1">
      <alignment horizontal="right"/>
    </xf>
    <xf numFmtId="0" fontId="135" fillId="0" borderId="116" xfId="0" applyFont="1" applyFill="1" applyBorder="1" applyAlignment="1">
      <alignment horizontal="left" wrapText="1"/>
    </xf>
    <xf numFmtId="0" fontId="135" fillId="0" borderId="70" xfId="0" applyFont="1" applyFill="1" applyBorder="1" applyAlignment="1">
      <alignment horizontal="left"/>
    </xf>
    <xf numFmtId="0" fontId="135" fillId="0" borderId="125" xfId="0" applyFont="1" applyFill="1" applyBorder="1" applyAlignment="1">
      <alignment horizontal="left" wrapText="1"/>
    </xf>
    <xf numFmtId="0" fontId="135" fillId="0" borderId="80" xfId="0" applyFont="1" applyFill="1" applyBorder="1" applyAlignment="1">
      <alignment horizontal="left" wrapText="1"/>
    </xf>
    <xf numFmtId="3" fontId="138" fillId="0" borderId="77" xfId="99" applyNumberFormat="1" applyFont="1" applyFill="1" applyBorder="1" applyAlignment="1">
      <alignment horizontal="left"/>
    </xf>
    <xf numFmtId="0" fontId="135" fillId="0" borderId="134" xfId="0" applyFont="1" applyFill="1" applyBorder="1" applyAlignment="1">
      <alignment horizontal="left" wrapText="1"/>
    </xf>
    <xf numFmtId="0" fontId="135" fillId="0" borderId="76" xfId="10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0" fontId="73" fillId="0" borderId="50" xfId="0" applyFont="1" applyFill="1" applyBorder="1"/>
    <xf numFmtId="3" fontId="73" fillId="0" borderId="85" xfId="0" applyNumberFormat="1" applyFont="1" applyFill="1" applyBorder="1"/>
    <xf numFmtId="0" fontId="79" fillId="0" borderId="0" xfId="0" applyFont="1" applyFill="1" applyBorder="1" applyProtection="1"/>
    <xf numFmtId="3" fontId="73" fillId="0" borderId="18" xfId="0" applyNumberFormat="1" applyFont="1" applyFill="1" applyBorder="1"/>
    <xf numFmtId="3" fontId="80" fillId="0" borderId="69" xfId="0" applyNumberFormat="1" applyFont="1" applyFill="1" applyBorder="1"/>
    <xf numFmtId="4" fontId="62" fillId="0" borderId="69" xfId="0" applyNumberFormat="1" applyFont="1" applyFill="1" applyBorder="1" applyProtection="1"/>
    <xf numFmtId="0" fontId="73" fillId="0" borderId="24" xfId="0" applyFont="1" applyFill="1" applyBorder="1" applyProtection="1"/>
    <xf numFmtId="0" fontId="80" fillId="0" borderId="24" xfId="0" applyFont="1" applyFill="1" applyBorder="1" applyAlignment="1" applyProtection="1"/>
    <xf numFmtId="0" fontId="79" fillId="0" borderId="24" xfId="0" applyFont="1" applyFill="1" applyBorder="1" applyProtection="1"/>
    <xf numFmtId="0" fontId="80" fillId="0" borderId="24" xfId="0" applyFont="1" applyFill="1" applyBorder="1" applyAlignment="1" applyProtection="1">
      <alignment wrapText="1"/>
    </xf>
    <xf numFmtId="3" fontId="73" fillId="0" borderId="26" xfId="0" applyNumberFormat="1" applyFont="1" applyFill="1" applyBorder="1"/>
    <xf numFmtId="4" fontId="62" fillId="0" borderId="78" xfId="0" applyNumberFormat="1" applyFont="1" applyFill="1" applyBorder="1" applyProtection="1"/>
    <xf numFmtId="0" fontId="62" fillId="0" borderId="86" xfId="0" applyFont="1" applyFill="1" applyBorder="1" applyProtection="1"/>
    <xf numFmtId="3" fontId="79" fillId="0" borderId="69" xfId="0" applyNumberFormat="1" applyFont="1" applyFill="1" applyBorder="1"/>
    <xf numFmtId="3" fontId="73" fillId="0" borderId="89" xfId="0" applyNumberFormat="1" applyFont="1" applyFill="1" applyBorder="1" applyProtection="1">
      <protection locked="0"/>
    </xf>
    <xf numFmtId="3" fontId="73" fillId="0" borderId="78" xfId="0" applyNumberFormat="1" applyFont="1" applyFill="1" applyBorder="1"/>
    <xf numFmtId="3" fontId="75" fillId="0" borderId="78" xfId="0" applyNumberFormat="1" applyFont="1" applyFill="1" applyBorder="1"/>
    <xf numFmtId="4" fontId="58" fillId="0" borderId="78" xfId="0" applyNumberFormat="1" applyFont="1" applyFill="1" applyBorder="1" applyProtection="1"/>
    <xf numFmtId="3" fontId="193" fillId="0" borderId="16" xfId="0" applyNumberFormat="1" applyFont="1" applyBorder="1" applyAlignment="1">
      <alignment horizontal="left"/>
    </xf>
    <xf numFmtId="0" fontId="82" fillId="0" borderId="17" xfId="0" applyFont="1" applyBorder="1" applyAlignment="1">
      <alignment horizontal="left"/>
    </xf>
    <xf numFmtId="0" fontId="194" fillId="0" borderId="18" xfId="0" applyFont="1" applyBorder="1" applyAlignment="1">
      <alignment horizontal="center"/>
    </xf>
    <xf numFmtId="0" fontId="87" fillId="0" borderId="18" xfId="0" applyFont="1" applyFill="1" applyBorder="1" applyAlignment="1">
      <alignment horizontal="justify" wrapText="1"/>
    </xf>
    <xf numFmtId="3" fontId="83" fillId="0" borderId="64" xfId="0" applyNumberFormat="1" applyFont="1" applyFill="1" applyBorder="1"/>
    <xf numFmtId="49" fontId="83" fillId="0" borderId="112" xfId="0" applyNumberFormat="1" applyFont="1" applyFill="1" applyBorder="1" applyAlignment="1">
      <alignment horizontal="justify" wrapText="1"/>
    </xf>
    <xf numFmtId="3" fontId="83" fillId="0" borderId="114" xfId="0" applyNumberFormat="1" applyFont="1" applyFill="1" applyBorder="1"/>
    <xf numFmtId="3" fontId="83" fillId="0" borderId="144" xfId="0" applyNumberFormat="1" applyFont="1" applyFill="1" applyBorder="1"/>
    <xf numFmtId="2" fontId="83" fillId="0" borderId="115" xfId="0" applyNumberFormat="1" applyFont="1" applyBorder="1"/>
    <xf numFmtId="3" fontId="142" fillId="0" borderId="20" xfId="98" applyNumberFormat="1" applyFont="1" applyFill="1" applyBorder="1" applyAlignment="1">
      <alignment horizontal="left"/>
    </xf>
    <xf numFmtId="0" fontId="135" fillId="0" borderId="77" xfId="101" applyFont="1" applyFill="1" applyBorder="1" applyAlignment="1">
      <alignment horizontal="left"/>
    </xf>
    <xf numFmtId="0" fontId="4" fillId="0" borderId="124" xfId="102" applyFont="1" applyBorder="1"/>
    <xf numFmtId="0" fontId="5" fillId="0" borderId="140" xfId="102" applyFont="1" applyBorder="1"/>
    <xf numFmtId="0" fontId="5" fillId="0" borderId="127" xfId="102" applyFont="1" applyBorder="1"/>
    <xf numFmtId="3" fontId="4" fillId="0" borderId="23" xfId="102" applyNumberFormat="1" applyFont="1" applyBorder="1"/>
    <xf numFmtId="0" fontId="4" fillId="0" borderId="83" xfId="102" applyFont="1" applyBorder="1"/>
    <xf numFmtId="0" fontId="5" fillId="0" borderId="17" xfId="102" applyFont="1" applyBorder="1"/>
    <xf numFmtId="0" fontId="5" fillId="0" borderId="22" xfId="102" applyFont="1" applyBorder="1"/>
    <xf numFmtId="0" fontId="5" fillId="0" borderId="87" xfId="102" applyFont="1" applyBorder="1"/>
    <xf numFmtId="0" fontId="4" fillId="0" borderId="44" xfId="102" applyFont="1" applyBorder="1" applyAlignment="1">
      <alignment horizontal="center" vertical="center" wrapText="1"/>
    </xf>
    <xf numFmtId="3" fontId="4" fillId="0" borderId="43" xfId="102" applyNumberFormat="1" applyFont="1" applyBorder="1" applyAlignment="1">
      <alignment horizontal="center" vertical="center" wrapText="1"/>
    </xf>
    <xf numFmtId="0" fontId="4" fillId="0" borderId="22" xfId="102" applyFont="1" applyBorder="1" applyAlignment="1">
      <alignment horizontal="center" vertical="center" wrapText="1"/>
    </xf>
    <xf numFmtId="3" fontId="4" fillId="0" borderId="19" xfId="102" applyNumberFormat="1" applyFont="1" applyBorder="1"/>
    <xf numFmtId="0" fontId="4" fillId="0" borderId="70" xfId="102" applyFont="1" applyBorder="1"/>
    <xf numFmtId="0" fontId="5" fillId="0" borderId="26" xfId="102" applyFont="1" applyFill="1" applyBorder="1"/>
    <xf numFmtId="0" fontId="5" fillId="0" borderId="24" xfId="102" applyFont="1" applyFill="1" applyBorder="1"/>
    <xf numFmtId="0" fontId="5" fillId="0" borderId="139" xfId="102" applyFont="1" applyFill="1" applyBorder="1"/>
    <xf numFmtId="2" fontId="5" fillId="0" borderId="49" xfId="102" applyNumberFormat="1" applyFont="1" applyFill="1" applyBorder="1"/>
    <xf numFmtId="3" fontId="5" fillId="0" borderId="32" xfId="102" applyNumberFormat="1" applyFont="1" applyFill="1" applyBorder="1"/>
    <xf numFmtId="3" fontId="5" fillId="0" borderId="89" xfId="102" applyNumberFormat="1" applyFont="1" applyFill="1" applyBorder="1"/>
    <xf numFmtId="3" fontId="5" fillId="0" borderId="26" xfId="102" applyNumberFormat="1" applyFont="1" applyBorder="1"/>
    <xf numFmtId="3" fontId="5" fillId="0" borderId="134" xfId="102" applyNumberFormat="1" applyFont="1" applyBorder="1"/>
    <xf numFmtId="0" fontId="5" fillId="0" borderId="26" xfId="102" applyFont="1" applyBorder="1"/>
    <xf numFmtId="0" fontId="5" fillId="0" borderId="24" xfId="102" applyFont="1" applyBorder="1"/>
    <xf numFmtId="0" fontId="5" fillId="0" borderId="139" xfId="102" applyFont="1" applyBorder="1"/>
    <xf numFmtId="2" fontId="5" fillId="0" borderId="49" xfId="102" applyNumberFormat="1" applyFont="1" applyBorder="1"/>
    <xf numFmtId="3" fontId="5" fillId="0" borderId="78" xfId="102" applyNumberFormat="1" applyFont="1" applyBorder="1"/>
    <xf numFmtId="3" fontId="5" fillId="0" borderId="26" xfId="102" applyNumberFormat="1" applyFont="1" applyFill="1" applyBorder="1"/>
    <xf numFmtId="3" fontId="5" fillId="0" borderId="78" xfId="102" applyNumberFormat="1" applyFont="1" applyFill="1" applyBorder="1"/>
    <xf numFmtId="0" fontId="5" fillId="0" borderId="40" xfId="102" applyFont="1" applyBorder="1"/>
    <xf numFmtId="0" fontId="5" fillId="0" borderId="57" xfId="102" applyFont="1" applyFill="1" applyBorder="1"/>
    <xf numFmtId="0" fontId="5" fillId="0" borderId="105" xfId="102" applyFont="1" applyFill="1" applyBorder="1"/>
    <xf numFmtId="0" fontId="5" fillId="0" borderId="141" xfId="102" applyFont="1" applyFill="1" applyBorder="1"/>
    <xf numFmtId="2" fontId="5" fillId="0" borderId="82" xfId="102" applyNumberFormat="1" applyFont="1" applyFill="1" applyBorder="1"/>
    <xf numFmtId="3" fontId="5" fillId="0" borderId="55" xfId="102" applyNumberFormat="1" applyFont="1" applyFill="1" applyBorder="1"/>
    <xf numFmtId="3" fontId="5" fillId="0" borderId="105" xfId="102" applyNumberFormat="1" applyFont="1" applyFill="1" applyBorder="1"/>
    <xf numFmtId="3" fontId="5" fillId="0" borderId="57" xfId="102" applyNumberFormat="1" applyFont="1" applyFill="1" applyBorder="1"/>
    <xf numFmtId="3" fontId="5" fillId="0" borderId="136" xfId="102" applyNumberFormat="1" applyFont="1" applyFill="1" applyBorder="1"/>
    <xf numFmtId="3" fontId="5" fillId="0" borderId="90" xfId="102" applyNumberFormat="1" applyFont="1" applyFill="1" applyBorder="1"/>
    <xf numFmtId="3" fontId="5" fillId="0" borderId="24" xfId="102" applyNumberFormat="1" applyFont="1" applyFill="1" applyBorder="1"/>
    <xf numFmtId="0" fontId="4" fillId="0" borderId="26" xfId="102" applyFont="1" applyFill="1" applyBorder="1" applyAlignment="1">
      <alignment horizontal="left"/>
    </xf>
    <xf numFmtId="3" fontId="4" fillId="0" borderId="89" xfId="102" applyNumberFormat="1" applyFont="1" applyFill="1" applyBorder="1"/>
    <xf numFmtId="0" fontId="5" fillId="0" borderId="40" xfId="102" applyFont="1" applyFill="1" applyBorder="1"/>
    <xf numFmtId="0" fontId="4" fillId="0" borderId="26" xfId="102" applyFont="1" applyFill="1" applyBorder="1"/>
    <xf numFmtId="0" fontId="5" fillId="0" borderId="49" xfId="102" applyFont="1" applyFill="1" applyBorder="1"/>
    <xf numFmtId="3" fontId="5" fillId="0" borderId="82" xfId="102" applyNumberFormat="1" applyFont="1" applyFill="1" applyBorder="1"/>
    <xf numFmtId="165" fontId="5" fillId="0" borderId="82" xfId="102" applyNumberFormat="1" applyFont="1" applyFill="1" applyBorder="1"/>
    <xf numFmtId="3" fontId="5" fillId="0" borderId="56" xfId="102" applyNumberFormat="1" applyFont="1" applyFill="1" applyBorder="1"/>
    <xf numFmtId="0" fontId="4" fillId="0" borderId="17" xfId="102" applyFont="1" applyBorder="1"/>
    <xf numFmtId="0" fontId="4" fillId="0" borderId="22" xfId="102" applyFont="1" applyBorder="1"/>
    <xf numFmtId="166" fontId="4" fillId="0" borderId="44" xfId="102" applyNumberFormat="1" applyFont="1" applyBorder="1"/>
    <xf numFmtId="3" fontId="4" fillId="0" borderId="43" xfId="102" applyNumberFormat="1" applyFont="1" applyFill="1" applyBorder="1"/>
    <xf numFmtId="3" fontId="4" fillId="0" borderId="54" xfId="102" applyNumberFormat="1" applyFont="1" applyBorder="1"/>
    <xf numFmtId="0" fontId="4" fillId="0" borderId="20" xfId="102" applyFont="1" applyBorder="1"/>
    <xf numFmtId="0" fontId="5" fillId="0" borderId="94" xfId="102" applyFont="1" applyBorder="1"/>
    <xf numFmtId="2" fontId="5" fillId="0" borderId="94" xfId="102" applyNumberFormat="1" applyFont="1" applyBorder="1"/>
    <xf numFmtId="3" fontId="5" fillId="0" borderId="94" xfId="102" applyNumberFormat="1" applyFont="1" applyBorder="1"/>
    <xf numFmtId="3" fontId="4" fillId="0" borderId="81" xfId="102" applyNumberFormat="1" applyFont="1" applyBorder="1"/>
    <xf numFmtId="3" fontId="4" fillId="0" borderId="77" xfId="102" applyNumberFormat="1" applyFont="1" applyBorder="1"/>
    <xf numFmtId="3" fontId="60" fillId="0" borderId="37" xfId="0" applyNumberFormat="1" applyFont="1" applyBorder="1" applyAlignment="1">
      <alignment wrapText="1"/>
    </xf>
    <xf numFmtId="0" fontId="60" fillId="0" borderId="37" xfId="78" applyFont="1" applyFill="1" applyBorder="1" applyAlignment="1">
      <alignment horizontal="left" wrapText="1"/>
    </xf>
    <xf numFmtId="0" fontId="5" fillId="0" borderId="0" xfId="112" applyFont="1" applyBorder="1"/>
    <xf numFmtId="0" fontId="5" fillId="0" borderId="0" xfId="112" applyFont="1" applyAlignment="1">
      <alignment horizontal="center"/>
    </xf>
    <xf numFmtId="0" fontId="5" fillId="0" borderId="0" xfId="112" applyFont="1" applyFill="1" applyBorder="1"/>
    <xf numFmtId="0" fontId="5" fillId="0" borderId="0" xfId="112" applyFont="1"/>
    <xf numFmtId="0" fontId="5" fillId="0" borderId="0" xfId="112" applyFont="1" applyFill="1" applyBorder="1" applyAlignment="1">
      <alignment horizontal="right"/>
    </xf>
    <xf numFmtId="3" fontId="62" fillId="0" borderId="83" xfId="113" applyNumberFormat="1" applyFont="1" applyFill="1" applyBorder="1" applyAlignment="1">
      <alignment horizontal="right"/>
    </xf>
    <xf numFmtId="3" fontId="62" fillId="0" borderId="83" xfId="113" applyNumberFormat="1" applyFont="1" applyBorder="1" applyAlignment="1">
      <alignment horizontal="right"/>
    </xf>
    <xf numFmtId="3" fontId="58" fillId="0" borderId="77" xfId="112" applyNumberFormat="1" applyFont="1" applyFill="1" applyBorder="1" applyAlignment="1">
      <alignment horizontal="right"/>
    </xf>
    <xf numFmtId="0" fontId="4" fillId="0" borderId="0" xfId="112" applyFont="1" applyBorder="1"/>
    <xf numFmtId="3" fontId="62" fillId="0" borderId="83" xfId="112" applyNumberFormat="1" applyFont="1" applyFill="1" applyBorder="1" applyAlignment="1">
      <alignment horizontal="right"/>
    </xf>
    <xf numFmtId="3" fontId="62" fillId="0" borderId="78" xfId="112" applyNumberFormat="1" applyFont="1" applyFill="1" applyBorder="1" applyAlignment="1">
      <alignment horizontal="right"/>
    </xf>
    <xf numFmtId="3" fontId="75" fillId="31" borderId="69" xfId="112" applyNumberFormat="1" applyFont="1" applyFill="1" applyBorder="1" applyAlignment="1">
      <alignment horizontal="right"/>
    </xf>
    <xf numFmtId="3" fontId="75" fillId="31" borderId="76" xfId="112" applyNumberFormat="1" applyFont="1" applyFill="1" applyBorder="1" applyAlignment="1">
      <alignment horizontal="right"/>
    </xf>
    <xf numFmtId="3" fontId="75" fillId="31" borderId="70" xfId="112" applyNumberFormat="1" applyFont="1" applyFill="1" applyBorder="1" applyAlignment="1">
      <alignment horizontal="right"/>
    </xf>
    <xf numFmtId="3" fontId="81" fillId="32" borderId="77" xfId="112" applyNumberFormat="1" applyFont="1" applyFill="1" applyBorder="1" applyAlignment="1">
      <alignment horizontal="right"/>
    </xf>
    <xf numFmtId="0" fontId="5" fillId="0" borderId="0" xfId="112" applyFont="1" applyAlignment="1">
      <alignment wrapText="1"/>
    </xf>
    <xf numFmtId="3" fontId="35" fillId="31" borderId="116" xfId="112" applyNumberFormat="1" applyFont="1" applyFill="1" applyBorder="1" applyAlignment="1">
      <alignment horizontal="right"/>
    </xf>
    <xf numFmtId="0" fontId="35" fillId="0" borderId="0" xfId="112" applyFont="1" applyBorder="1"/>
    <xf numFmtId="3" fontId="35" fillId="31" borderId="69" xfId="112" applyNumberFormat="1" applyFont="1" applyFill="1" applyBorder="1" applyAlignment="1">
      <alignment horizontal="right"/>
    </xf>
    <xf numFmtId="0" fontId="58" fillId="0" borderId="23" xfId="112" applyFont="1" applyBorder="1" applyAlignment="1">
      <alignment horizontal="center"/>
    </xf>
    <xf numFmtId="0" fontId="62" fillId="0" borderId="0" xfId="112" applyFont="1" applyBorder="1"/>
    <xf numFmtId="0" fontId="62" fillId="0" borderId="18" xfId="112" applyFont="1" applyBorder="1"/>
    <xf numFmtId="3" fontId="58" fillId="0" borderId="69" xfId="113" applyNumberFormat="1" applyFont="1" applyBorder="1" applyAlignment="1">
      <alignment horizontal="center"/>
    </xf>
    <xf numFmtId="0" fontId="62" fillId="0" borderId="19" xfId="112" applyFont="1" applyBorder="1"/>
    <xf numFmtId="14" fontId="58" fillId="0" borderId="70" xfId="113" applyNumberFormat="1" applyFont="1" applyBorder="1" applyAlignment="1">
      <alignment horizontal="center"/>
    </xf>
    <xf numFmtId="0" fontId="58" fillId="0" borderId="0" xfId="112" applyFont="1" applyBorder="1"/>
    <xf numFmtId="0" fontId="60" fillId="0" borderId="0" xfId="112" applyFont="1" applyBorder="1"/>
    <xf numFmtId="3" fontId="60" fillId="0" borderId="116" xfId="112" applyNumberFormat="1" applyFont="1" applyFill="1" applyBorder="1" applyAlignment="1">
      <alignment horizontal="right"/>
    </xf>
    <xf numFmtId="0" fontId="60" fillId="0" borderId="78" xfId="112" applyNumberFormat="1" applyFont="1" applyFill="1" applyBorder="1" applyAlignment="1">
      <alignment vertical="top" wrapText="1"/>
    </xf>
    <xf numFmtId="3" fontId="75" fillId="31" borderId="77" xfId="112" applyNumberFormat="1" applyFont="1" applyFill="1" applyBorder="1" applyAlignment="1">
      <alignment horizontal="right"/>
    </xf>
    <xf numFmtId="0" fontId="75" fillId="0" borderId="0" xfId="112" applyFont="1" applyBorder="1"/>
    <xf numFmtId="3" fontId="75" fillId="0" borderId="83" xfId="112" applyNumberFormat="1" applyFont="1" applyFill="1" applyBorder="1" applyAlignment="1">
      <alignment horizontal="right"/>
    </xf>
    <xf numFmtId="3" fontId="75" fillId="0" borderId="69" xfId="112" applyNumberFormat="1" applyFont="1" applyFill="1" applyBorder="1" applyAlignment="1">
      <alignment horizontal="right"/>
    </xf>
    <xf numFmtId="3" fontId="35" fillId="0" borderId="116" xfId="112" applyNumberFormat="1" applyFont="1" applyFill="1" applyBorder="1" applyAlignment="1">
      <alignment horizontal="right"/>
    </xf>
    <xf numFmtId="0" fontId="35" fillId="0" borderId="0" xfId="112" applyFont="1" applyFill="1" applyBorder="1"/>
    <xf numFmtId="3" fontId="58" fillId="31" borderId="116" xfId="112" applyNumberFormat="1" applyFont="1" applyFill="1" applyBorder="1" applyAlignment="1">
      <alignment horizontal="right"/>
    </xf>
    <xf numFmtId="0" fontId="62" fillId="0" borderId="0" xfId="112" applyFont="1" applyFill="1" applyBorder="1"/>
    <xf numFmtId="3" fontId="35" fillId="0" borderId="78" xfId="112" applyNumberFormat="1" applyFont="1" applyFill="1" applyBorder="1" applyAlignment="1">
      <alignment horizontal="right"/>
    </xf>
    <xf numFmtId="0" fontId="80" fillId="0" borderId="0" xfId="112" applyFont="1" applyFill="1" applyBorder="1"/>
    <xf numFmtId="3" fontId="80" fillId="0" borderId="116" xfId="112" applyNumberFormat="1" applyFont="1" applyFill="1" applyBorder="1" applyAlignment="1">
      <alignment horizontal="right"/>
    </xf>
    <xf numFmtId="0" fontId="75" fillId="31" borderId="17" xfId="112" applyFont="1" applyFill="1" applyBorder="1" applyAlignment="1">
      <alignment horizontal="left" wrapText="1"/>
    </xf>
    <xf numFmtId="0" fontId="75" fillId="31" borderId="19" xfId="112" applyFont="1" applyFill="1" applyBorder="1" applyAlignment="1">
      <alignment horizontal="left" wrapText="1"/>
    </xf>
    <xf numFmtId="3" fontId="73" fillId="33" borderId="77" xfId="112" applyNumberFormat="1" applyFont="1" applyFill="1" applyBorder="1" applyAlignment="1">
      <alignment horizontal="right"/>
    </xf>
    <xf numFmtId="0" fontId="80" fillId="0" borderId="0" xfId="112" applyFont="1" applyBorder="1"/>
    <xf numFmtId="3" fontId="80" fillId="0" borderId="78" xfId="112" applyNumberFormat="1" applyFont="1" applyFill="1" applyBorder="1" applyAlignment="1">
      <alignment horizontal="right"/>
    </xf>
    <xf numFmtId="3" fontId="60" fillId="0" borderId="78" xfId="112" applyNumberFormat="1" applyFont="1" applyFill="1" applyBorder="1" applyAlignment="1">
      <alignment horizontal="right"/>
    </xf>
    <xf numFmtId="3" fontId="35" fillId="31" borderId="78" xfId="112" applyNumberFormat="1" applyFont="1" applyFill="1" applyBorder="1" applyAlignment="1">
      <alignment horizontal="right"/>
    </xf>
    <xf numFmtId="0" fontId="81" fillId="0" borderId="18" xfId="112" applyFont="1" applyBorder="1" applyAlignment="1">
      <alignment wrapText="1"/>
    </xf>
    <xf numFmtId="0" fontId="35" fillId="31" borderId="26" xfId="112" applyFont="1" applyFill="1" applyBorder="1" applyAlignment="1">
      <alignment horizontal="justify" wrapText="1"/>
    </xf>
    <xf numFmtId="0" fontId="35" fillId="31" borderId="18" xfId="112" applyFont="1" applyFill="1" applyBorder="1" applyAlignment="1">
      <alignment horizontal="justify" wrapText="1"/>
    </xf>
    <xf numFmtId="0" fontId="58" fillId="0" borderId="20" xfId="112" applyFont="1" applyFill="1" applyBorder="1" applyAlignment="1">
      <alignment horizontal="justify" wrapText="1"/>
    </xf>
    <xf numFmtId="0" fontId="81" fillId="0" borderId="23" xfId="112" applyFont="1" applyBorder="1" applyAlignment="1">
      <alignment horizontal="justify" wrapText="1"/>
    </xf>
    <xf numFmtId="0" fontId="196" fillId="0" borderId="26" xfId="112" applyFont="1" applyBorder="1" applyAlignment="1">
      <alignment horizontal="justify" wrapText="1"/>
    </xf>
    <xf numFmtId="0" fontId="60" fillId="0" borderId="99" xfId="112" applyFont="1" applyFill="1" applyBorder="1" applyAlignment="1">
      <alignment horizontal="left" wrapText="1"/>
    </xf>
    <xf numFmtId="0" fontId="60" fillId="0" borderId="99" xfId="112" applyFont="1" applyFill="1" applyBorder="1" applyAlignment="1">
      <alignment horizontal="justify" wrapText="1"/>
    </xf>
    <xf numFmtId="0" fontId="196" fillId="0" borderId="99" xfId="112" applyFont="1" applyFill="1" applyBorder="1" applyAlignment="1">
      <alignment horizontal="justify" wrapText="1"/>
    </xf>
    <xf numFmtId="0" fontId="196" fillId="0" borderId="99" xfId="112" applyFont="1" applyFill="1" applyBorder="1" applyAlignment="1">
      <alignment wrapText="1"/>
    </xf>
    <xf numFmtId="0" fontId="75" fillId="31" borderId="20" xfId="112" applyFont="1" applyFill="1" applyBorder="1" applyAlignment="1">
      <alignment horizontal="justify" wrapText="1"/>
    </xf>
    <xf numFmtId="0" fontId="73" fillId="0" borderId="83" xfId="112" applyFont="1" applyBorder="1" applyAlignment="1">
      <alignment horizontal="justify" wrapText="1"/>
    </xf>
    <xf numFmtId="0" fontId="73" fillId="31" borderId="69" xfId="112" applyFont="1" applyFill="1" applyBorder="1" applyAlignment="1">
      <alignment horizontal="justify" wrapText="1"/>
    </xf>
    <xf numFmtId="0" fontId="73" fillId="0" borderId="69" xfId="112" applyFont="1" applyFill="1" applyBorder="1" applyAlignment="1">
      <alignment horizontal="justify" wrapText="1"/>
    </xf>
    <xf numFmtId="0" fontId="35" fillId="0" borderId="116" xfId="112" applyFont="1" applyFill="1" applyBorder="1" applyAlignment="1">
      <alignment horizontal="justify" wrapText="1"/>
    </xf>
    <xf numFmtId="0" fontId="35" fillId="0" borderId="99" xfId="112" applyFont="1" applyFill="1" applyBorder="1" applyAlignment="1">
      <alignment horizontal="justify" wrapText="1"/>
    </xf>
    <xf numFmtId="0" fontId="35" fillId="0" borderId="26" xfId="112" applyFont="1" applyFill="1" applyBorder="1" applyAlignment="1">
      <alignment horizontal="justify" wrapText="1"/>
    </xf>
    <xf numFmtId="0" fontId="58" fillId="31" borderId="18" xfId="112" applyFont="1" applyFill="1" applyBorder="1" applyAlignment="1">
      <alignment horizontal="justify" wrapText="1"/>
    </xf>
    <xf numFmtId="0" fontId="81" fillId="0" borderId="26" xfId="112" applyFont="1" applyFill="1" applyBorder="1" applyAlignment="1">
      <alignment horizontal="justify" wrapText="1"/>
    </xf>
    <xf numFmtId="0" fontId="75" fillId="0" borderId="26" xfId="112" applyFont="1" applyFill="1" applyBorder="1" applyAlignment="1">
      <alignment horizontal="justify" wrapText="1"/>
    </xf>
    <xf numFmtId="0" fontId="75" fillId="0" borderId="99" xfId="112" applyFont="1" applyFill="1" applyBorder="1" applyAlignment="1">
      <alignment horizontal="justify" wrapText="1"/>
    </xf>
    <xf numFmtId="0" fontId="73" fillId="32" borderId="20" xfId="112" applyFont="1" applyFill="1" applyBorder="1" applyAlignment="1">
      <alignment horizontal="justify" wrapText="1"/>
    </xf>
    <xf numFmtId="0" fontId="58" fillId="32" borderId="19" xfId="112" applyFont="1" applyFill="1" applyBorder="1" applyAlignment="1">
      <alignment horizontal="justify" wrapText="1"/>
    </xf>
    <xf numFmtId="3" fontId="58" fillId="0" borderId="83" xfId="113" applyNumberFormat="1" applyFont="1" applyBorder="1" applyAlignment="1">
      <alignment horizontal="center"/>
    </xf>
    <xf numFmtId="3" fontId="198" fillId="0" borderId="0" xfId="105" applyNumberFormat="1" applyFont="1" applyFill="1"/>
    <xf numFmtId="49" fontId="83" fillId="0" borderId="41" xfId="0" applyNumberFormat="1" applyFont="1" applyFill="1" applyBorder="1" applyAlignment="1">
      <alignment horizontal="justify" wrapText="1"/>
    </xf>
    <xf numFmtId="0" fontId="85" fillId="0" borderId="112" xfId="0" applyFont="1" applyFill="1" applyBorder="1" applyAlignment="1">
      <alignment horizontal="justify" wrapText="1"/>
    </xf>
    <xf numFmtId="0" fontId="63" fillId="0" borderId="0" xfId="0" applyFont="1" applyAlignment="1">
      <alignment horizontal="center"/>
    </xf>
    <xf numFmtId="0" fontId="95" fillId="0" borderId="0" xfId="105" applyFont="1" applyAlignment="1">
      <alignment horizontal="left" vertical="top" wrapText="1"/>
    </xf>
    <xf numFmtId="0" fontId="197" fillId="0" borderId="0" xfId="105" applyFont="1" applyAlignment="1">
      <alignment horizontal="left" vertical="top" wrapText="1"/>
    </xf>
    <xf numFmtId="3" fontId="80" fillId="0" borderId="40" xfId="0" applyNumberFormat="1" applyFont="1" applyFill="1" applyBorder="1" applyAlignment="1">
      <alignment horizontal="left" wrapText="1"/>
    </xf>
    <xf numFmtId="3" fontId="80" fillId="0" borderId="37" xfId="0" applyNumberFormat="1" applyFont="1" applyFill="1" applyBorder="1" applyAlignment="1">
      <alignment horizontal="left" wrapText="1"/>
    </xf>
    <xf numFmtId="3" fontId="80" fillId="0" borderId="39" xfId="0" applyNumberFormat="1" applyFont="1" applyFill="1" applyBorder="1" applyAlignment="1">
      <alignment horizontal="left" wrapText="1"/>
    </xf>
    <xf numFmtId="3" fontId="58" fillId="0" borderId="0" xfId="0" applyNumberFormat="1" applyFont="1" applyFill="1" applyAlignment="1">
      <alignment horizontal="center"/>
    </xf>
    <xf numFmtId="0" fontId="58" fillId="27" borderId="45" xfId="0" applyFont="1" applyFill="1" applyBorder="1" applyAlignment="1">
      <alignment horizontal="center"/>
    </xf>
    <xf numFmtId="0" fontId="73" fillId="0" borderId="0" xfId="0" applyFont="1" applyFill="1" applyBorder="1" applyAlignment="1" applyProtection="1">
      <alignment horizontal="left" wrapText="1"/>
    </xf>
    <xf numFmtId="0" fontId="73" fillId="0" borderId="86" xfId="0" applyFont="1" applyFill="1" applyBorder="1" applyAlignment="1" applyProtection="1">
      <alignment horizontal="left" wrapText="1"/>
    </xf>
    <xf numFmtId="0" fontId="62" fillId="0" borderId="37" xfId="78" applyFont="1" applyFill="1" applyBorder="1" applyAlignment="1">
      <alignment horizontal="left" wrapText="1"/>
    </xf>
    <xf numFmtId="0" fontId="74" fillId="0" borderId="37" xfId="0" applyFont="1" applyBorder="1" applyAlignment="1">
      <alignment wrapText="1"/>
    </xf>
    <xf numFmtId="0" fontId="74" fillId="0" borderId="79" xfId="0" applyFont="1" applyBorder="1" applyAlignment="1">
      <alignment wrapText="1"/>
    </xf>
    <xf numFmtId="0" fontId="15" fillId="0" borderId="0" xfId="0" applyFont="1" applyFill="1" applyAlignment="1">
      <alignment horizontal="center"/>
    </xf>
    <xf numFmtId="0" fontId="73" fillId="0" borderId="0" xfId="0" applyFont="1" applyFill="1" applyBorder="1" applyAlignment="1" applyProtection="1">
      <alignment wrapText="1"/>
    </xf>
    <xf numFmtId="0" fontId="86" fillId="0" borderId="0" xfId="0" applyFont="1" applyBorder="1" applyAlignment="1"/>
    <xf numFmtId="0" fontId="86" fillId="0" borderId="86" xfId="0" applyFont="1" applyBorder="1" applyAlignment="1"/>
    <xf numFmtId="0" fontId="78" fillId="0" borderId="0" xfId="0" applyFont="1" applyFill="1" applyAlignment="1">
      <alignment horizontal="center"/>
    </xf>
    <xf numFmtId="0" fontId="58" fillId="27" borderId="124" xfId="0" applyFont="1" applyFill="1" applyBorder="1" applyAlignment="1">
      <alignment horizontal="center"/>
    </xf>
    <xf numFmtId="0" fontId="58" fillId="27" borderId="125" xfId="0" applyFont="1" applyFill="1" applyBorder="1" applyAlignment="1">
      <alignment horizontal="center"/>
    </xf>
    <xf numFmtId="0" fontId="62" fillId="0" borderId="37" xfId="0" applyFont="1" applyFill="1" applyBorder="1" applyAlignment="1" applyProtection="1">
      <alignment horizontal="left" wrapText="1"/>
    </xf>
    <xf numFmtId="0" fontId="62" fillId="0" borderId="79" xfId="0" applyFont="1" applyFill="1" applyBorder="1" applyAlignment="1" applyProtection="1">
      <alignment horizontal="left" wrapText="1"/>
    </xf>
    <xf numFmtId="0" fontId="62" fillId="0" borderId="37" xfId="78" applyFont="1" applyFill="1" applyBorder="1" applyAlignment="1">
      <alignment horizontal="left"/>
    </xf>
    <xf numFmtId="0" fontId="74" fillId="0" borderId="37" xfId="0" applyFont="1" applyBorder="1" applyAlignment="1"/>
    <xf numFmtId="0" fontId="74" fillId="0" borderId="79" xfId="0" applyFont="1" applyBorder="1" applyAlignment="1"/>
    <xf numFmtId="0" fontId="80" fillId="0" borderId="96" xfId="0" applyFont="1" applyFill="1" applyBorder="1" applyAlignment="1" applyProtection="1">
      <alignment horizontal="center" wrapText="1"/>
    </xf>
    <xf numFmtId="0" fontId="80" fillId="0" borderId="137" xfId="0" applyFont="1" applyFill="1" applyBorder="1" applyAlignment="1" applyProtection="1">
      <alignment horizontal="center" wrapText="1"/>
    </xf>
    <xf numFmtId="0" fontId="62" fillId="0" borderId="37" xfId="0" applyFont="1" applyFill="1" applyBorder="1" applyAlignment="1" applyProtection="1"/>
    <xf numFmtId="0" fontId="62" fillId="0" borderId="50" xfId="0" applyFont="1" applyFill="1" applyBorder="1" applyAlignment="1" applyProtection="1"/>
    <xf numFmtId="0" fontId="74" fillId="0" borderId="50" xfId="0" applyFont="1" applyBorder="1" applyAlignment="1"/>
    <xf numFmtId="0" fontId="74" fillId="0" borderId="85" xfId="0" applyFont="1" applyBorder="1" applyAlignment="1"/>
    <xf numFmtId="0" fontId="62" fillId="0" borderId="37" xfId="0" applyFont="1" applyFill="1" applyBorder="1" applyAlignment="1">
      <alignment horizontal="left"/>
    </xf>
    <xf numFmtId="0" fontId="62" fillId="0" borderId="37" xfId="0" applyFont="1" applyFill="1" applyBorder="1" applyAlignment="1">
      <alignment horizontal="left" wrapText="1"/>
    </xf>
    <xf numFmtId="0" fontId="58" fillId="0" borderId="0" xfId="78" applyFont="1" applyFill="1" applyBorder="1" applyAlignment="1">
      <alignment horizontal="center" wrapText="1"/>
    </xf>
    <xf numFmtId="0" fontId="58" fillId="0" borderId="86" xfId="78" applyFont="1" applyFill="1" applyBorder="1" applyAlignment="1">
      <alignment horizontal="center" wrapText="1"/>
    </xf>
    <xf numFmtId="3" fontId="168" fillId="0" borderId="23" xfId="76" applyNumberFormat="1" applyFont="1" applyFill="1" applyBorder="1" applyAlignment="1">
      <alignment horizontal="center" vertical="center"/>
    </xf>
    <xf numFmtId="3" fontId="168" fillId="0" borderId="46" xfId="76" applyNumberFormat="1" applyFont="1" applyFill="1" applyBorder="1" applyAlignment="1">
      <alignment horizontal="center" vertical="center"/>
    </xf>
    <xf numFmtId="3" fontId="168" fillId="0" borderId="53" xfId="76" applyNumberFormat="1" applyFont="1" applyFill="1" applyBorder="1" applyAlignment="1">
      <alignment horizontal="center" vertical="center"/>
    </xf>
    <xf numFmtId="3" fontId="168" fillId="0" borderId="19" xfId="76" applyNumberFormat="1" applyFont="1" applyFill="1" applyBorder="1" applyAlignment="1">
      <alignment horizontal="center" vertical="center"/>
    </xf>
    <xf numFmtId="3" fontId="168" fillId="0" borderId="16" xfId="76" applyNumberFormat="1" applyFont="1" applyFill="1" applyBorder="1" applyAlignment="1">
      <alignment horizontal="center" vertical="center"/>
    </xf>
    <xf numFmtId="3" fontId="168" fillId="0" borderId="84" xfId="76" applyNumberFormat="1" applyFont="1" applyFill="1" applyBorder="1" applyAlignment="1">
      <alignment horizontal="center" vertical="center"/>
    </xf>
    <xf numFmtId="0" fontId="157" fillId="0" borderId="0" xfId="76" applyFont="1" applyAlignment="1">
      <alignment horizontal="center"/>
    </xf>
    <xf numFmtId="3" fontId="157" fillId="0" borderId="0" xfId="76" applyNumberFormat="1" applyFont="1" applyFill="1" applyAlignment="1">
      <alignment horizontal="center"/>
    </xf>
    <xf numFmtId="3" fontId="157" fillId="0" borderId="0" xfId="76" applyNumberFormat="1" applyFont="1" applyFill="1" applyBorder="1" applyAlignment="1">
      <alignment horizontal="center"/>
    </xf>
    <xf numFmtId="3" fontId="168" fillId="0" borderId="23" xfId="76" applyNumberFormat="1" applyFont="1" applyFill="1" applyBorder="1" applyAlignment="1">
      <alignment horizontal="center" vertical="center" wrapText="1"/>
    </xf>
    <xf numFmtId="3" fontId="168" fillId="0" borderId="46" xfId="76" applyNumberFormat="1" applyFont="1" applyFill="1" applyBorder="1" applyAlignment="1">
      <alignment horizontal="center" vertical="center" wrapText="1"/>
    </xf>
    <xf numFmtId="3" fontId="168" fillId="0" borderId="53" xfId="76" applyNumberFormat="1" applyFont="1" applyFill="1" applyBorder="1" applyAlignment="1">
      <alignment horizontal="center" vertical="center" wrapText="1"/>
    </xf>
    <xf numFmtId="3" fontId="168" fillId="0" borderId="19" xfId="76" applyNumberFormat="1" applyFont="1" applyFill="1" applyBorder="1" applyAlignment="1">
      <alignment horizontal="center" vertical="center" wrapText="1"/>
    </xf>
    <xf numFmtId="3" fontId="168" fillId="0" borderId="16" xfId="76" applyNumberFormat="1" applyFont="1" applyFill="1" applyBorder="1" applyAlignment="1">
      <alignment horizontal="center" vertical="center" wrapText="1"/>
    </xf>
    <xf numFmtId="3" fontId="168" fillId="0" borderId="84" xfId="76" applyNumberFormat="1" applyFont="1" applyFill="1" applyBorder="1" applyAlignment="1">
      <alignment horizontal="center" vertical="center" wrapText="1"/>
    </xf>
    <xf numFmtId="3" fontId="168" fillId="0" borderId="20" xfId="76" applyNumberFormat="1" applyFont="1" applyFill="1" applyBorder="1" applyAlignment="1">
      <alignment horizontal="center" vertical="center"/>
    </xf>
    <xf numFmtId="3" fontId="168" fillId="0" borderId="94" xfId="76" applyNumberFormat="1" applyFont="1" applyFill="1" applyBorder="1" applyAlignment="1">
      <alignment horizontal="center" vertical="center"/>
    </xf>
    <xf numFmtId="3" fontId="168" fillId="0" borderId="81" xfId="76" applyNumberFormat="1" applyFont="1" applyFill="1" applyBorder="1" applyAlignment="1">
      <alignment horizontal="center" vertical="center"/>
    </xf>
    <xf numFmtId="3" fontId="166" fillId="0" borderId="23" xfId="76" applyNumberFormat="1" applyFont="1" applyFill="1" applyBorder="1" applyAlignment="1">
      <alignment horizontal="center" wrapText="1"/>
    </xf>
    <xf numFmtId="3" fontId="166" fillId="0" borderId="46" xfId="76" applyNumberFormat="1" applyFont="1" applyFill="1" applyBorder="1" applyAlignment="1">
      <alignment horizontal="center" wrapText="1"/>
    </xf>
    <xf numFmtId="3" fontId="166" fillId="0" borderId="53" xfId="76" applyNumberFormat="1" applyFont="1" applyFill="1" applyBorder="1" applyAlignment="1">
      <alignment horizontal="center" wrapText="1"/>
    </xf>
    <xf numFmtId="3" fontId="166" fillId="0" borderId="19" xfId="76" applyNumberFormat="1" applyFont="1" applyFill="1" applyBorder="1" applyAlignment="1">
      <alignment horizontal="center" wrapText="1"/>
    </xf>
    <xf numFmtId="3" fontId="166" fillId="0" borderId="16" xfId="76" applyNumberFormat="1" applyFont="1" applyFill="1" applyBorder="1" applyAlignment="1">
      <alignment horizontal="center" wrapText="1"/>
    </xf>
    <xf numFmtId="3" fontId="166" fillId="0" borderId="84" xfId="76" applyNumberFormat="1" applyFont="1" applyFill="1" applyBorder="1" applyAlignment="1">
      <alignment horizontal="center" wrapText="1"/>
    </xf>
    <xf numFmtId="0" fontId="58" fillId="0" borderId="0" xfId="112" applyFont="1" applyAlignment="1">
      <alignment horizontal="center"/>
    </xf>
    <xf numFmtId="3" fontId="158" fillId="0" borderId="23" xfId="76" applyNumberFormat="1" applyFont="1" applyFill="1" applyBorder="1" applyAlignment="1">
      <alignment horizontal="center" vertical="center"/>
    </xf>
    <xf numFmtId="3" fontId="158" fillId="0" borderId="46" xfId="76" applyNumberFormat="1" applyFont="1" applyFill="1" applyBorder="1" applyAlignment="1">
      <alignment horizontal="center" vertical="center"/>
    </xf>
    <xf numFmtId="3" fontId="158" fillId="0" borderId="53" xfId="76" applyNumberFormat="1" applyFont="1" applyFill="1" applyBorder="1" applyAlignment="1">
      <alignment horizontal="center" vertical="center"/>
    </xf>
    <xf numFmtId="3" fontId="158" fillId="0" borderId="18" xfId="76" applyNumberFormat="1" applyFont="1" applyFill="1" applyBorder="1" applyAlignment="1">
      <alignment horizontal="center" vertical="center"/>
    </xf>
    <xf numFmtId="3" fontId="158" fillId="0" borderId="0" xfId="76" applyNumberFormat="1" applyFont="1" applyFill="1" applyBorder="1" applyAlignment="1">
      <alignment horizontal="center" vertical="center"/>
    </xf>
    <xf numFmtId="3" fontId="158" fillId="0" borderId="86" xfId="76" applyNumberFormat="1" applyFont="1" applyFill="1" applyBorder="1" applyAlignment="1">
      <alignment horizontal="center" vertical="center"/>
    </xf>
    <xf numFmtId="3" fontId="158" fillId="0" borderId="19" xfId="76" applyNumberFormat="1" applyFont="1" applyFill="1" applyBorder="1" applyAlignment="1">
      <alignment horizontal="center" vertical="center"/>
    </xf>
    <xf numFmtId="3" fontId="158" fillId="0" borderId="16" xfId="76" applyNumberFormat="1" applyFont="1" applyFill="1" applyBorder="1" applyAlignment="1">
      <alignment horizontal="center" vertical="center"/>
    </xf>
    <xf numFmtId="3" fontId="158" fillId="0" borderId="84" xfId="76" applyNumberFormat="1" applyFont="1" applyFill="1" applyBorder="1" applyAlignment="1">
      <alignment horizontal="center" vertical="center"/>
    </xf>
    <xf numFmtId="3" fontId="170" fillId="0" borderId="0" xfId="76" applyNumberFormat="1" applyFont="1" applyFill="1" applyBorder="1" applyAlignment="1">
      <alignment horizontal="center"/>
    </xf>
    <xf numFmtId="3" fontId="162" fillId="0" borderId="0" xfId="76" applyNumberFormat="1" applyFont="1" applyFill="1" applyBorder="1" applyAlignment="1">
      <alignment horizontal="center"/>
    </xf>
    <xf numFmtId="3" fontId="158" fillId="0" borderId="23" xfId="76" applyNumberFormat="1" applyFont="1" applyFill="1" applyBorder="1" applyAlignment="1">
      <alignment horizontal="center" vertical="center" wrapText="1"/>
    </xf>
    <xf numFmtId="3" fontId="158" fillId="0" borderId="46" xfId="76" applyNumberFormat="1" applyFont="1" applyFill="1" applyBorder="1" applyAlignment="1">
      <alignment horizontal="center" vertical="center" wrapText="1"/>
    </xf>
    <xf numFmtId="3" fontId="158" fillId="0" borderId="53" xfId="76" applyNumberFormat="1" applyFont="1" applyFill="1" applyBorder="1" applyAlignment="1">
      <alignment horizontal="center" vertical="center" wrapText="1"/>
    </xf>
    <xf numFmtId="3" fontId="158" fillId="0" borderId="18" xfId="76" applyNumberFormat="1" applyFont="1" applyFill="1" applyBorder="1" applyAlignment="1">
      <alignment horizontal="center" vertical="center" wrapText="1"/>
    </xf>
    <xf numFmtId="3" fontId="158" fillId="0" borderId="0" xfId="76" applyNumberFormat="1" applyFont="1" applyFill="1" applyBorder="1" applyAlignment="1">
      <alignment horizontal="center" vertical="center" wrapText="1"/>
    </xf>
    <xf numFmtId="3" fontId="158" fillId="0" borderId="86" xfId="76" applyNumberFormat="1" applyFont="1" applyFill="1" applyBorder="1" applyAlignment="1">
      <alignment horizontal="center" vertical="center" wrapText="1"/>
    </xf>
    <xf numFmtId="3" fontId="158" fillId="0" borderId="19" xfId="76" applyNumberFormat="1" applyFont="1" applyFill="1" applyBorder="1" applyAlignment="1">
      <alignment horizontal="center" vertical="center" wrapText="1"/>
    </xf>
    <xf numFmtId="3" fontId="158" fillId="0" borderId="16" xfId="76" applyNumberFormat="1" applyFont="1" applyFill="1" applyBorder="1" applyAlignment="1">
      <alignment horizontal="center" vertical="center" wrapText="1"/>
    </xf>
    <xf numFmtId="3" fontId="158" fillId="0" borderId="84" xfId="76" applyNumberFormat="1" applyFont="1" applyFill="1" applyBorder="1" applyAlignment="1">
      <alignment horizontal="center" vertical="center" wrapText="1"/>
    </xf>
    <xf numFmtId="4" fontId="132" fillId="0" borderId="23" xfId="107" applyNumberFormat="1" applyFont="1" applyBorder="1" applyAlignment="1">
      <alignment horizontal="center"/>
    </xf>
    <xf numFmtId="4" fontId="132" fillId="0" borderId="53" xfId="107" applyNumberFormat="1" applyFont="1" applyBorder="1" applyAlignment="1">
      <alignment horizontal="center"/>
    </xf>
    <xf numFmtId="0" fontId="175" fillId="0" borderId="0" xfId="107" applyFont="1" applyAlignment="1">
      <alignment horizontal="center"/>
    </xf>
    <xf numFmtId="0" fontId="175" fillId="0" borderId="0" xfId="107" applyFont="1" applyBorder="1" applyAlignment="1">
      <alignment horizontal="center"/>
    </xf>
    <xf numFmtId="0" fontId="78" fillId="0" borderId="16" xfId="107" applyFont="1" applyBorder="1" applyAlignment="1">
      <alignment horizontal="center"/>
    </xf>
    <xf numFmtId="0" fontId="175" fillId="27" borderId="20" xfId="107" applyFont="1" applyFill="1" applyBorder="1" applyAlignment="1">
      <alignment horizontal="center" vertical="center" wrapText="1"/>
    </xf>
    <xf numFmtId="0" fontId="175" fillId="27" borderId="94" xfId="107" applyFont="1" applyFill="1" applyBorder="1" applyAlignment="1">
      <alignment horizontal="center" vertical="center" wrapText="1"/>
    </xf>
    <xf numFmtId="0" fontId="175" fillId="27" borderId="81" xfId="107" applyFont="1" applyFill="1" applyBorder="1" applyAlignment="1">
      <alignment horizontal="center" vertical="center" wrapText="1"/>
    </xf>
    <xf numFmtId="0" fontId="132" fillId="0" borderId="23" xfId="107" applyFont="1" applyBorder="1" applyAlignment="1">
      <alignment horizontal="center" vertical="center" wrapText="1"/>
    </xf>
    <xf numFmtId="0" fontId="132" fillId="0" borderId="53" xfId="107" applyFont="1" applyBorder="1" applyAlignment="1">
      <alignment horizontal="center" vertical="center" wrapText="1"/>
    </xf>
    <xf numFmtId="0" fontId="132" fillId="0" borderId="19" xfId="107" applyFont="1" applyBorder="1" applyAlignment="1">
      <alignment horizontal="center" vertical="center" wrapText="1"/>
    </xf>
    <xf numFmtId="0" fontId="132" fillId="0" borderId="84" xfId="107" applyFont="1" applyBorder="1" applyAlignment="1">
      <alignment horizontal="center" vertical="center" wrapText="1"/>
    </xf>
    <xf numFmtId="4" fontId="132" fillId="0" borderId="16" xfId="107" applyNumberFormat="1" applyFont="1" applyBorder="1" applyAlignment="1">
      <alignment horizontal="center"/>
    </xf>
    <xf numFmtId="4" fontId="132" fillId="0" borderId="84" xfId="107" applyNumberFormat="1" applyFont="1" applyBorder="1" applyAlignment="1">
      <alignment horizontal="center"/>
    </xf>
    <xf numFmtId="4" fontId="132" fillId="0" borderId="94" xfId="107" applyNumberFormat="1" applyFont="1" applyBorder="1" applyAlignment="1">
      <alignment horizontal="center"/>
    </xf>
    <xf numFmtId="4" fontId="132" fillId="0" borderId="81" xfId="107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96" fillId="27" borderId="126" xfId="0" applyFont="1" applyFill="1" applyBorder="1" applyAlignment="1">
      <alignment horizontal="center"/>
    </xf>
    <xf numFmtId="0" fontId="96" fillId="27" borderId="127" xfId="0" applyFont="1" applyFill="1" applyBorder="1" applyAlignment="1">
      <alignment horizontal="center"/>
    </xf>
    <xf numFmtId="0" fontId="76" fillId="0" borderId="0" xfId="0" applyFont="1" applyFill="1" applyAlignment="1">
      <alignment horizontal="center"/>
    </xf>
    <xf numFmtId="0" fontId="15" fillId="27" borderId="46" xfId="0" applyFont="1" applyFill="1" applyBorder="1" applyAlignment="1">
      <alignment horizontal="center"/>
    </xf>
    <xf numFmtId="0" fontId="4" fillId="27" borderId="46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58" fillId="0" borderId="0" xfId="0" applyNumberFormat="1" applyFont="1" applyAlignment="1">
      <alignment horizontal="center"/>
    </xf>
    <xf numFmtId="3" fontId="74" fillId="0" borderId="0" xfId="0" applyNumberFormat="1" applyFont="1" applyAlignment="1"/>
    <xf numFmtId="0" fontId="4" fillId="27" borderId="47" xfId="0" applyFont="1" applyFill="1" applyBorder="1" applyAlignment="1">
      <alignment horizontal="center"/>
    </xf>
    <xf numFmtId="0" fontId="4" fillId="27" borderId="63" xfId="0" applyFont="1" applyFill="1" applyBorder="1" applyAlignment="1">
      <alignment horizontal="center"/>
    </xf>
    <xf numFmtId="0" fontId="58" fillId="0" borderId="0" xfId="0" applyFont="1" applyAlignment="1">
      <alignment horizontal="center"/>
    </xf>
    <xf numFmtId="0" fontId="82" fillId="27" borderId="23" xfId="0" applyFont="1" applyFill="1" applyBorder="1" applyAlignment="1">
      <alignment horizontal="center"/>
    </xf>
    <xf numFmtId="0" fontId="82" fillId="27" borderId="53" xfId="0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27" borderId="124" xfId="0" applyFont="1" applyFill="1" applyBorder="1" applyAlignment="1">
      <alignment horizontal="center"/>
    </xf>
    <xf numFmtId="0" fontId="82" fillId="27" borderId="125" xfId="0" applyFont="1" applyFill="1" applyBorder="1" applyAlignment="1">
      <alignment horizontal="center"/>
    </xf>
    <xf numFmtId="0" fontId="4" fillId="0" borderId="17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left"/>
    </xf>
    <xf numFmtId="0" fontId="4" fillId="0" borderId="87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00" xfId="0" applyFont="1" applyFill="1" applyBorder="1" applyAlignment="1" applyProtection="1">
      <alignment horizontal="left"/>
    </xf>
    <xf numFmtId="0" fontId="4" fillId="0" borderId="2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27" borderId="126" xfId="0" applyFont="1" applyFill="1" applyBorder="1" applyAlignment="1">
      <alignment horizontal="center"/>
    </xf>
    <xf numFmtId="0" fontId="4" fillId="27" borderId="127" xfId="0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5" fillId="0" borderId="40" xfId="0" applyFont="1" applyFill="1" applyBorder="1" applyAlignment="1"/>
    <xf numFmtId="0" fontId="0" fillId="0" borderId="37" xfId="0" applyBorder="1" applyAlignment="1"/>
    <xf numFmtId="0" fontId="0" fillId="0" borderId="39" xfId="0" applyBorder="1" applyAlignment="1"/>
    <xf numFmtId="0" fontId="4" fillId="0" borderId="17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58" fillId="0" borderId="0" xfId="0" applyFont="1" applyAlignment="1" applyProtection="1">
      <alignment horizontal="center"/>
    </xf>
    <xf numFmtId="0" fontId="58" fillId="0" borderId="0" xfId="78" applyFont="1" applyFill="1" applyAlignment="1">
      <alignment horizontal="center"/>
    </xf>
    <xf numFmtId="0" fontId="74" fillId="0" borderId="0" xfId="0" applyFont="1" applyAlignment="1"/>
    <xf numFmtId="0" fontId="4" fillId="0" borderId="26" xfId="78" applyFont="1" applyFill="1" applyBorder="1" applyAlignment="1">
      <alignment horizontal="left"/>
    </xf>
    <xf numFmtId="0" fontId="4" fillId="0" borderId="89" xfId="78" applyFont="1" applyFill="1" applyBorder="1" applyAlignment="1">
      <alignment horizontal="left"/>
    </xf>
    <xf numFmtId="0" fontId="4" fillId="27" borderId="124" xfId="0" applyFont="1" applyFill="1" applyBorder="1" applyAlignment="1">
      <alignment horizontal="center"/>
    </xf>
    <xf numFmtId="0" fontId="4" fillId="27" borderId="125" xfId="0" applyFont="1" applyFill="1" applyBorder="1" applyAlignment="1">
      <alignment horizontal="center"/>
    </xf>
    <xf numFmtId="0" fontId="4" fillId="0" borderId="0" xfId="78" applyFont="1" applyFill="1" applyBorder="1" applyAlignment="1">
      <alignment horizontal="center"/>
    </xf>
    <xf numFmtId="0" fontId="4" fillId="27" borderId="0" xfId="0" applyFont="1" applyFill="1" applyBorder="1" applyAlignment="1">
      <alignment horizontal="center"/>
    </xf>
    <xf numFmtId="0" fontId="4" fillId="0" borderId="17" xfId="78" applyFont="1" applyFill="1" applyBorder="1" applyAlignment="1">
      <alignment horizontal="left"/>
    </xf>
    <xf numFmtId="0" fontId="4" fillId="0" borderId="80" xfId="78" applyFont="1" applyFill="1" applyBorder="1" applyAlignment="1">
      <alignment horizontal="left"/>
    </xf>
    <xf numFmtId="0" fontId="15" fillId="0" borderId="0" xfId="78" applyFont="1" applyAlignment="1">
      <alignment horizontal="center"/>
    </xf>
    <xf numFmtId="0" fontId="58" fillId="0" borderId="0" xfId="78" applyFont="1" applyAlignment="1">
      <alignment horizontal="center"/>
    </xf>
    <xf numFmtId="0" fontId="36" fillId="0" borderId="23" xfId="78" applyFont="1" applyBorder="1" applyAlignment="1">
      <alignment horizontal="center"/>
    </xf>
    <xf numFmtId="0" fontId="36" fillId="0" borderId="46" xfId="78" applyFont="1" applyBorder="1" applyAlignment="1">
      <alignment horizontal="center"/>
    </xf>
    <xf numFmtId="0" fontId="36" fillId="27" borderId="47" xfId="0" applyFont="1" applyFill="1" applyBorder="1" applyAlignment="1">
      <alignment horizontal="center"/>
    </xf>
    <xf numFmtId="0" fontId="36" fillId="27" borderId="63" xfId="0" applyFont="1" applyFill="1" applyBorder="1" applyAlignment="1">
      <alignment horizontal="center"/>
    </xf>
    <xf numFmtId="0" fontId="98" fillId="0" borderId="0" xfId="0" applyFont="1" applyAlignment="1">
      <alignment horizontal="center"/>
    </xf>
    <xf numFmtId="0" fontId="10" fillId="0" borderId="0" xfId="79" applyFont="1" applyAlignment="1">
      <alignment horizontal="center"/>
    </xf>
    <xf numFmtId="0" fontId="36" fillId="0" borderId="0" xfId="78" applyFont="1" applyFill="1" applyAlignment="1">
      <alignment horizontal="center"/>
    </xf>
    <xf numFmtId="0" fontId="99" fillId="0" borderId="0" xfId="78" applyFont="1" applyFill="1" applyAlignment="1">
      <alignment horizontal="center"/>
    </xf>
    <xf numFmtId="0" fontId="106" fillId="0" borderId="0" xfId="91" applyFont="1" applyAlignment="1">
      <alignment horizontal="center"/>
    </xf>
    <xf numFmtId="0" fontId="98" fillId="0" borderId="0" xfId="91" applyFont="1" applyAlignment="1">
      <alignment horizontal="center"/>
    </xf>
    <xf numFmtId="0" fontId="107" fillId="0" borderId="0" xfId="91" applyFont="1" applyBorder="1" applyAlignment="1">
      <alignment horizontal="center"/>
    </xf>
    <xf numFmtId="0" fontId="4" fillId="0" borderId="23" xfId="78" applyFont="1" applyFill="1" applyBorder="1" applyAlignment="1">
      <alignment horizontal="center"/>
    </xf>
    <xf numFmtId="0" fontId="4" fillId="0" borderId="46" xfId="78" applyFont="1" applyFill="1" applyBorder="1" applyAlignment="1">
      <alignment horizontal="center"/>
    </xf>
    <xf numFmtId="0" fontId="112" fillId="0" borderId="20" xfId="92" applyFont="1" applyBorder="1" applyAlignment="1">
      <alignment wrapText="1"/>
    </xf>
    <xf numFmtId="0" fontId="110" fillId="0" borderId="81" xfId="0" applyFont="1" applyBorder="1" applyAlignment="1">
      <alignment wrapText="1"/>
    </xf>
    <xf numFmtId="0" fontId="107" fillId="0" borderId="0" xfId="0" applyFont="1" applyAlignment="1">
      <alignment horizontal="center"/>
    </xf>
    <xf numFmtId="0" fontId="106" fillId="0" borderId="0" xfId="92" applyFont="1" applyBorder="1" applyAlignment="1">
      <alignment horizontal="center"/>
    </xf>
    <xf numFmtId="0" fontId="110" fillId="0" borderId="0" xfId="0" applyFont="1" applyAlignment="1"/>
    <xf numFmtId="0" fontId="106" fillId="0" borderId="23" xfId="92" applyFont="1" applyBorder="1" applyAlignment="1">
      <alignment horizontal="center"/>
    </xf>
    <xf numFmtId="0" fontId="110" fillId="0" borderId="53" xfId="0" applyFont="1" applyBorder="1" applyAlignment="1">
      <alignment horizontal="center"/>
    </xf>
    <xf numFmtId="0" fontId="106" fillId="0" borderId="17" xfId="92" applyFont="1" applyBorder="1" applyAlignment="1">
      <alignment wrapText="1"/>
    </xf>
    <xf numFmtId="0" fontId="110" fillId="0" borderId="80" xfId="0" applyFont="1" applyBorder="1" applyAlignment="1"/>
    <xf numFmtId="0" fontId="8" fillId="0" borderId="18" xfId="92" applyFont="1" applyBorder="1" applyAlignment="1">
      <alignment wrapText="1"/>
    </xf>
    <xf numFmtId="0" fontId="110" fillId="0" borderId="86" xfId="0" applyFont="1" applyBorder="1" applyAlignment="1">
      <alignment wrapText="1"/>
    </xf>
    <xf numFmtId="0" fontId="112" fillId="0" borderId="18" xfId="92" applyFont="1" applyBorder="1" applyAlignment="1">
      <alignment wrapText="1"/>
    </xf>
    <xf numFmtId="0" fontId="14" fillId="0" borderId="26" xfId="92" applyFont="1" applyBorder="1" applyAlignment="1">
      <alignment wrapText="1"/>
    </xf>
    <xf numFmtId="0" fontId="0" fillId="0" borderId="89" xfId="0" applyBorder="1" applyAlignment="1"/>
    <xf numFmtId="0" fontId="0" fillId="0" borderId="86" xfId="0" applyBorder="1" applyAlignment="1">
      <alignment wrapText="1"/>
    </xf>
    <xf numFmtId="0" fontId="110" fillId="0" borderId="89" xfId="0" applyFont="1" applyBorder="1" applyAlignment="1"/>
    <xf numFmtId="0" fontId="0" fillId="0" borderId="89" xfId="0" applyBorder="1" applyAlignment="1">
      <alignment wrapText="1"/>
    </xf>
    <xf numFmtId="0" fontId="117" fillId="0" borderId="26" xfId="92" applyFont="1" applyBorder="1" applyAlignment="1">
      <alignment wrapText="1"/>
    </xf>
    <xf numFmtId="0" fontId="116" fillId="0" borderId="89" xfId="0" applyFont="1" applyBorder="1" applyAlignment="1"/>
    <xf numFmtId="0" fontId="118" fillId="0" borderId="20" xfId="92" applyFont="1" applyBorder="1" applyAlignment="1">
      <alignment wrapText="1"/>
    </xf>
    <xf numFmtId="0" fontId="116" fillId="0" borderId="81" xfId="0" applyFont="1" applyBorder="1" applyAlignment="1">
      <alignment wrapText="1"/>
    </xf>
    <xf numFmtId="0" fontId="114" fillId="0" borderId="0" xfId="0" applyFont="1" applyAlignment="1">
      <alignment horizontal="center"/>
    </xf>
    <xf numFmtId="0" fontId="115" fillId="0" borderId="0" xfId="92" applyFont="1" applyBorder="1" applyAlignment="1">
      <alignment horizontal="center"/>
    </xf>
    <xf numFmtId="0" fontId="115" fillId="0" borderId="23" xfId="92" applyFont="1" applyBorder="1" applyAlignment="1">
      <alignment horizontal="center"/>
    </xf>
    <xf numFmtId="0" fontId="116" fillId="0" borderId="53" xfId="0" applyFont="1" applyBorder="1" applyAlignment="1">
      <alignment horizontal="center"/>
    </xf>
    <xf numFmtId="0" fontId="119" fillId="0" borderId="16" xfId="93" applyFont="1" applyBorder="1" applyAlignment="1">
      <alignment horizontal="center"/>
    </xf>
    <xf numFmtId="0" fontId="15" fillId="0" borderId="0" xfId="93" applyFont="1" applyAlignment="1">
      <alignment horizontal="center"/>
    </xf>
    <xf numFmtId="0" fontId="5" fillId="0" borderId="0" xfId="93" applyFont="1" applyAlignment="1">
      <alignment horizontal="center"/>
    </xf>
    <xf numFmtId="0" fontId="119" fillId="0" borderId="0" xfId="93" applyFont="1" applyAlignment="1">
      <alignment horizontal="center"/>
    </xf>
    <xf numFmtId="0" fontId="77" fillId="0" borderId="24" xfId="94" applyFont="1" applyFill="1" applyBorder="1" applyAlignment="1">
      <alignment wrapText="1"/>
    </xf>
    <xf numFmtId="0" fontId="38" fillId="0" borderId="24" xfId="0" applyFont="1" applyFill="1" applyBorder="1" applyAlignment="1"/>
    <xf numFmtId="0" fontId="38" fillId="0" borderId="139" xfId="0" applyFont="1" applyFill="1" applyBorder="1" applyAlignment="1"/>
    <xf numFmtId="0" fontId="122" fillId="0" borderId="0" xfId="94" applyFont="1" applyAlignment="1">
      <alignment horizontal="center"/>
    </xf>
    <xf numFmtId="0" fontId="107" fillId="0" borderId="18" xfId="94" applyFont="1" applyBorder="1" applyAlignment="1">
      <alignment horizontal="center"/>
    </xf>
    <xf numFmtId="0" fontId="107" fillId="0" borderId="0" xfId="94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86" xfId="0" applyFont="1" applyBorder="1" applyAlignment="1">
      <alignment horizontal="center"/>
    </xf>
    <xf numFmtId="0" fontId="4" fillId="0" borderId="0" xfId="95" applyFont="1" applyBorder="1" applyAlignment="1">
      <alignment horizontal="center"/>
    </xf>
    <xf numFmtId="0" fontId="10" fillId="0" borderId="0" xfId="95" applyFont="1" applyBorder="1" applyAlignment="1">
      <alignment horizontal="left"/>
    </xf>
    <xf numFmtId="0" fontId="3" fillId="0" borderId="23" xfId="95" applyBorder="1" applyAlignment="1">
      <alignment horizontal="center" vertical="center"/>
    </xf>
    <xf numFmtId="0" fontId="3" fillId="0" borderId="63" xfId="95" applyBorder="1" applyAlignment="1">
      <alignment horizontal="center" vertical="center"/>
    </xf>
    <xf numFmtId="0" fontId="3" fillId="0" borderId="18" xfId="95" applyBorder="1" applyAlignment="1">
      <alignment horizontal="center" vertical="center"/>
    </xf>
    <xf numFmtId="0" fontId="3" fillId="0" borderId="31" xfId="95" applyBorder="1" applyAlignment="1">
      <alignment horizontal="center" vertical="center"/>
    </xf>
    <xf numFmtId="0" fontId="3" fillId="0" borderId="19" xfId="95" applyBorder="1" applyAlignment="1">
      <alignment horizontal="center" vertical="center"/>
    </xf>
    <xf numFmtId="0" fontId="3" fillId="0" borderId="100" xfId="95" applyBorder="1" applyAlignment="1">
      <alignment horizontal="center" vertical="center"/>
    </xf>
    <xf numFmtId="0" fontId="3" fillId="0" borderId="47" xfId="95" applyBorder="1" applyAlignment="1">
      <alignment horizontal="center" vertical="center"/>
    </xf>
    <xf numFmtId="0" fontId="3" fillId="0" borderId="29" xfId="95" applyBorder="1" applyAlignment="1">
      <alignment horizontal="center" vertical="center"/>
    </xf>
    <xf numFmtId="0" fontId="3" fillId="0" borderId="33" xfId="95" applyBorder="1" applyAlignment="1">
      <alignment horizontal="center" vertical="center"/>
    </xf>
    <xf numFmtId="0" fontId="3" fillId="0" borderId="126" xfId="95" applyBorder="1" applyAlignment="1">
      <alignment horizontal="center"/>
    </xf>
    <xf numFmtId="0" fontId="3" fillId="0" borderId="140" xfId="95" applyBorder="1" applyAlignment="1">
      <alignment horizontal="center"/>
    </xf>
    <xf numFmtId="0" fontId="3" fillId="0" borderId="125" xfId="95" applyBorder="1" applyAlignment="1">
      <alignment horizontal="center"/>
    </xf>
    <xf numFmtId="0" fontId="3" fillId="0" borderId="49" xfId="95" applyBorder="1" applyAlignment="1">
      <alignment horizontal="center"/>
    </xf>
    <xf numFmtId="0" fontId="3" fillId="0" borderId="24" xfId="95" applyBorder="1" applyAlignment="1">
      <alignment horizontal="center"/>
    </xf>
    <xf numFmtId="0" fontId="3" fillId="0" borderId="139" xfId="95" applyBorder="1" applyAlignment="1">
      <alignment horizontal="center"/>
    </xf>
    <xf numFmtId="0" fontId="3" fillId="0" borderId="89" xfId="95" applyBorder="1" applyAlignment="1">
      <alignment horizontal="center"/>
    </xf>
    <xf numFmtId="0" fontId="3" fillId="0" borderId="55" xfId="95" applyBorder="1" applyAlignment="1">
      <alignment horizontal="center" vertical="center"/>
    </xf>
    <xf numFmtId="0" fontId="3" fillId="0" borderId="102" xfId="95" applyBorder="1" applyAlignment="1">
      <alignment horizontal="center" vertical="center"/>
    </xf>
    <xf numFmtId="0" fontId="3" fillId="0" borderId="82" xfId="95" applyBorder="1" applyAlignment="1">
      <alignment horizontal="center" vertical="center"/>
    </xf>
    <xf numFmtId="0" fontId="3" fillId="0" borderId="141" xfId="95" applyBorder="1" applyAlignment="1">
      <alignment horizontal="center" vertical="center"/>
    </xf>
    <xf numFmtId="0" fontId="3" fillId="0" borderId="142" xfId="95" applyBorder="1" applyAlignment="1">
      <alignment horizontal="center" vertical="center"/>
    </xf>
    <xf numFmtId="0" fontId="3" fillId="0" borderId="143" xfId="95" applyBorder="1" applyAlignment="1">
      <alignment horizontal="center" vertical="center"/>
    </xf>
    <xf numFmtId="0" fontId="3" fillId="0" borderId="82" xfId="95" applyBorder="1" applyAlignment="1">
      <alignment horizontal="center"/>
    </xf>
    <xf numFmtId="0" fontId="3" fillId="0" borderId="141" xfId="95" applyBorder="1" applyAlignment="1">
      <alignment horizontal="center"/>
    </xf>
    <xf numFmtId="0" fontId="3" fillId="0" borderId="136" xfId="95" applyBorder="1" applyAlignment="1">
      <alignment horizontal="center" vertical="center"/>
    </xf>
    <xf numFmtId="0" fontId="3" fillId="0" borderId="101" xfId="95" applyBorder="1" applyAlignment="1">
      <alignment horizontal="center" vertical="center"/>
    </xf>
    <xf numFmtId="0" fontId="3" fillId="0" borderId="142" xfId="95" applyBorder="1" applyAlignment="1">
      <alignment horizontal="center"/>
    </xf>
    <xf numFmtId="0" fontId="3" fillId="0" borderId="143" xfId="95" applyBorder="1" applyAlignment="1">
      <alignment horizontal="center"/>
    </xf>
    <xf numFmtId="49" fontId="3" fillId="0" borderId="99" xfId="95" applyNumberFormat="1" applyBorder="1" applyAlignment="1">
      <alignment horizontal="center"/>
    </xf>
    <xf numFmtId="49" fontId="3" fillId="0" borderId="143" xfId="95" applyNumberFormat="1" applyBorder="1" applyAlignment="1">
      <alignment horizontal="center"/>
    </xf>
    <xf numFmtId="0" fontId="3" fillId="0" borderId="92" xfId="95" applyBorder="1" applyAlignment="1">
      <alignment horizontal="left"/>
    </xf>
    <xf numFmtId="0" fontId="3" fillId="0" borderId="143" xfId="95" applyBorder="1" applyAlignment="1">
      <alignment horizontal="left"/>
    </xf>
    <xf numFmtId="49" fontId="3" fillId="0" borderId="26" xfId="95" applyNumberFormat="1" applyBorder="1" applyAlignment="1">
      <alignment horizontal="center"/>
    </xf>
    <xf numFmtId="49" fontId="3" fillId="0" borderId="139" xfId="95" applyNumberFormat="1" applyBorder="1" applyAlignment="1">
      <alignment horizontal="center"/>
    </xf>
    <xf numFmtId="0" fontId="3" fillId="0" borderId="24" xfId="95" applyBorder="1" applyAlignment="1">
      <alignment horizontal="left"/>
    </xf>
    <xf numFmtId="0" fontId="3" fillId="0" borderId="139" xfId="95" applyBorder="1" applyAlignment="1">
      <alignment horizontal="left"/>
    </xf>
    <xf numFmtId="49" fontId="3" fillId="0" borderId="17" xfId="95" applyNumberFormat="1" applyBorder="1" applyAlignment="1">
      <alignment horizontal="center"/>
    </xf>
    <xf numFmtId="49" fontId="3" fillId="0" borderId="87" xfId="95" applyNumberFormat="1" applyBorder="1" applyAlignment="1">
      <alignment horizontal="center"/>
    </xf>
    <xf numFmtId="0" fontId="3" fillId="0" borderId="22" xfId="95" applyFont="1" applyBorder="1" applyAlignment="1">
      <alignment horizontal="left"/>
    </xf>
    <xf numFmtId="0" fontId="3" fillId="0" borderId="87" xfId="95" applyBorder="1" applyAlignment="1">
      <alignment horizontal="left"/>
    </xf>
    <xf numFmtId="49" fontId="3" fillId="0" borderId="26" xfId="95" applyNumberFormat="1" applyFont="1" applyBorder="1" applyAlignment="1">
      <alignment horizontal="center"/>
    </xf>
    <xf numFmtId="49" fontId="3" fillId="0" borderId="124" xfId="95" applyNumberFormat="1" applyFont="1" applyBorder="1" applyAlignment="1">
      <alignment horizontal="center"/>
    </xf>
    <xf numFmtId="49" fontId="3" fillId="0" borderId="127" xfId="95" applyNumberFormat="1" applyBorder="1" applyAlignment="1">
      <alignment horizontal="center"/>
    </xf>
    <xf numFmtId="49" fontId="3" fillId="0" borderId="99" xfId="95" applyNumberFormat="1" applyFont="1" applyBorder="1" applyAlignment="1">
      <alignment horizontal="center"/>
    </xf>
    <xf numFmtId="49" fontId="3" fillId="0" borderId="57" xfId="95" applyNumberFormat="1" applyFont="1" applyBorder="1" applyAlignment="1">
      <alignment horizontal="center"/>
    </xf>
    <xf numFmtId="49" fontId="3" fillId="0" borderId="141" xfId="95" applyNumberFormat="1" applyBorder="1" applyAlignment="1">
      <alignment horizontal="center"/>
    </xf>
    <xf numFmtId="49" fontId="3" fillId="0" borderId="105" xfId="95" applyNumberFormat="1" applyBorder="1" applyAlignment="1">
      <alignment horizontal="center"/>
    </xf>
    <xf numFmtId="49" fontId="3" fillId="0" borderId="92" xfId="95" applyNumberFormat="1" applyBorder="1" applyAlignment="1">
      <alignment horizontal="center"/>
    </xf>
    <xf numFmtId="0" fontId="3" fillId="0" borderId="19" xfId="95" applyBorder="1" applyAlignment="1">
      <alignment horizontal="center"/>
    </xf>
    <xf numFmtId="0" fontId="3" fillId="0" borderId="16" xfId="95" applyBorder="1" applyAlignment="1">
      <alignment horizontal="center"/>
    </xf>
    <xf numFmtId="0" fontId="34" fillId="0" borderId="37" xfId="0" applyFont="1" applyBorder="1" applyAlignment="1">
      <alignment wrapText="1"/>
    </xf>
    <xf numFmtId="3" fontId="34" fillId="0" borderId="37" xfId="96" applyNumberFormat="1" applyFont="1" applyBorder="1" applyAlignment="1">
      <alignment wrapText="1"/>
    </xf>
    <xf numFmtId="0" fontId="2" fillId="0" borderId="37" xfId="0" applyFont="1" applyBorder="1" applyAlignment="1"/>
    <xf numFmtId="3" fontId="34" fillId="0" borderId="16" xfId="96" applyNumberFormat="1" applyFont="1" applyBorder="1" applyAlignment="1">
      <alignment wrapText="1"/>
    </xf>
    <xf numFmtId="0" fontId="2" fillId="0" borderId="100" xfId="0" applyFont="1" applyBorder="1" applyAlignment="1"/>
    <xf numFmtId="3" fontId="122" fillId="0" borderId="0" xfId="96" applyNumberFormat="1" applyFont="1" applyAlignment="1">
      <alignment horizontal="center"/>
    </xf>
    <xf numFmtId="3" fontId="107" fillId="0" borderId="20" xfId="96" applyNumberFormat="1" applyFont="1" applyBorder="1" applyAlignment="1">
      <alignment horizontal="center"/>
    </xf>
    <xf numFmtId="3" fontId="107" fillId="0" borderId="94" xfId="96" applyNumberFormat="1" applyFont="1" applyBorder="1" applyAlignment="1">
      <alignment horizontal="center"/>
    </xf>
    <xf numFmtId="3" fontId="107" fillId="0" borderId="81" xfId="96" applyNumberFormat="1" applyFont="1" applyBorder="1" applyAlignment="1">
      <alignment horizontal="center"/>
    </xf>
    <xf numFmtId="3" fontId="34" fillId="0" borderId="0" xfId="96" applyNumberFormat="1" applyFont="1" applyFill="1" applyBorder="1" applyAlignment="1">
      <alignment wrapText="1"/>
    </xf>
    <xf numFmtId="0" fontId="0" fillId="0" borderId="31" xfId="0" applyBorder="1" applyAlignment="1"/>
    <xf numFmtId="0" fontId="154" fillId="0" borderId="37" xfId="0" applyFont="1" applyFill="1" applyBorder="1" applyAlignment="1">
      <alignment wrapText="1"/>
    </xf>
    <xf numFmtId="0" fontId="174" fillId="0" borderId="39" xfId="0" applyFont="1" applyFill="1" applyBorder="1" applyAlignment="1"/>
    <xf numFmtId="0" fontId="132" fillId="0" borderId="0" xfId="98" applyFont="1" applyFill="1" applyAlignment="1">
      <alignment horizontal="center"/>
    </xf>
    <xf numFmtId="0" fontId="134" fillId="0" borderId="18" xfId="98" applyFont="1" applyFill="1" applyBorder="1" applyAlignment="1" applyProtection="1">
      <alignment horizontal="left" vertical="top" wrapText="1"/>
    </xf>
    <xf numFmtId="0" fontId="134" fillId="0" borderId="18" xfId="0" applyFont="1" applyFill="1" applyBorder="1" applyAlignment="1">
      <alignment horizontal="left" vertical="top" wrapText="1"/>
    </xf>
    <xf numFmtId="0" fontId="134" fillId="0" borderId="83" xfId="0" applyFont="1" applyFill="1" applyBorder="1" applyAlignment="1">
      <alignment vertical="top"/>
    </xf>
    <xf numFmtId="0" fontId="191" fillId="0" borderId="116" xfId="0" applyFont="1" applyFill="1" applyBorder="1" applyAlignment="1">
      <alignment vertical="top"/>
    </xf>
    <xf numFmtId="0" fontId="15" fillId="0" borderId="0" xfId="103" applyFont="1" applyAlignment="1">
      <alignment horizontal="center"/>
    </xf>
    <xf numFmtId="0" fontId="15" fillId="0" borderId="0" xfId="104" applyFont="1" applyAlignment="1">
      <alignment horizontal="center"/>
    </xf>
    <xf numFmtId="0" fontId="38" fillId="0" borderId="0" xfId="0" applyFont="1" applyAlignment="1"/>
    <xf numFmtId="0" fontId="4" fillId="0" borderId="126" xfId="102" applyFont="1" applyBorder="1" applyAlignment="1">
      <alignment horizontal="center"/>
    </xf>
    <xf numFmtId="0" fontId="5" fillId="0" borderId="140" xfId="102" applyFont="1" applyBorder="1" applyAlignment="1">
      <alignment horizontal="center"/>
    </xf>
    <xf numFmtId="0" fontId="5" fillId="0" borderId="125" xfId="102" applyFont="1" applyBorder="1" applyAlignment="1">
      <alignment horizontal="center"/>
    </xf>
    <xf numFmtId="0" fontId="5" fillId="0" borderId="26" xfId="102" applyFont="1" applyFill="1" applyBorder="1" applyAlignment="1">
      <alignment wrapText="1"/>
    </xf>
    <xf numFmtId="0" fontId="110" fillId="0" borderId="24" xfId="0" applyFont="1" applyBorder="1" applyAlignment="1">
      <alignment wrapText="1"/>
    </xf>
    <xf numFmtId="0" fontId="110" fillId="0" borderId="139" xfId="0" applyFont="1" applyBorder="1" applyAlignment="1">
      <alignment wrapText="1"/>
    </xf>
    <xf numFmtId="3" fontId="156" fillId="29" borderId="77" xfId="0" applyNumberFormat="1" applyFont="1" applyFill="1" applyBorder="1" applyAlignment="1" applyProtection="1">
      <alignment horizontal="center" vertical="center"/>
    </xf>
    <xf numFmtId="4" fontId="178" fillId="29" borderId="84" xfId="107" applyNumberFormat="1" applyFont="1" applyFill="1" applyBorder="1"/>
    <xf numFmtId="3" fontId="178" fillId="29" borderId="84" xfId="107" applyNumberFormat="1" applyFont="1" applyFill="1" applyBorder="1"/>
    <xf numFmtId="0" fontId="58" fillId="29" borderId="0" xfId="107" applyFont="1" applyFill="1"/>
    <xf numFmtId="0" fontId="110" fillId="29" borderId="0" xfId="108" applyFill="1"/>
    <xf numFmtId="0" fontId="5" fillId="29" borderId="0" xfId="0" applyFont="1" applyFill="1"/>
    <xf numFmtId="3" fontId="4" fillId="0" borderId="77" xfId="78" applyNumberFormat="1" applyFont="1" applyFill="1" applyBorder="1"/>
  </cellXfs>
  <cellStyles count="11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Ezres" xfId="89" builtinId="3"/>
    <cellStyle name="Figyelmeztetés" xfId="54" builtinId="11" customBuiltin="1"/>
    <cellStyle name="Good" xfId="55" xr:uid="{00000000-0005-0000-0000-000037000000}"/>
    <cellStyle name="Heading 1" xfId="56" xr:uid="{00000000-0005-0000-0000-000038000000}"/>
    <cellStyle name="Heading 2" xfId="57" xr:uid="{00000000-0005-0000-0000-000039000000}"/>
    <cellStyle name="Heading 3" xfId="58" xr:uid="{00000000-0005-0000-0000-00003A000000}"/>
    <cellStyle name="Heading 4" xfId="59" xr:uid="{00000000-0005-0000-0000-00003B000000}"/>
    <cellStyle name="Hivatkozott cella" xfId="60" builtinId="24" customBuiltin="1"/>
    <cellStyle name="Input" xfId="61" xr:uid="{00000000-0005-0000-0000-00003D000000}"/>
    <cellStyle name="Jegyzet" xfId="62" builtinId="10" customBuiltin="1"/>
    <cellStyle name="Jelölőszín (1)" xfId="63" xr:uid="{00000000-0005-0000-0000-00003F000000}"/>
    <cellStyle name="Jelölőszín (2)" xfId="64" xr:uid="{00000000-0005-0000-0000-000040000000}"/>
    <cellStyle name="Jelölőszín (3)" xfId="65" xr:uid="{00000000-0005-0000-0000-000041000000}"/>
    <cellStyle name="Jelölőszín (4)" xfId="66" xr:uid="{00000000-0005-0000-0000-000042000000}"/>
    <cellStyle name="Jelölőszín (5)" xfId="67" xr:uid="{00000000-0005-0000-0000-000043000000}"/>
    <cellStyle name="Jelölőszín (6)" xfId="68" xr:uid="{00000000-0005-0000-0000-000044000000}"/>
    <cellStyle name="Jó" xfId="69" builtinId="26" customBuiltin="1"/>
    <cellStyle name="Kimenet" xfId="70" builtinId="21" customBuiltin="1"/>
    <cellStyle name="Linked Cell" xfId="71" xr:uid="{00000000-0005-0000-0000-000047000000}"/>
    <cellStyle name="Magyarázó szöveg" xfId="72" builtinId="53" customBuiltin="1"/>
    <cellStyle name="Neutral" xfId="73" xr:uid="{00000000-0005-0000-0000-000049000000}"/>
    <cellStyle name="Normál" xfId="0" builtinId="0"/>
    <cellStyle name="Normal 2" xfId="74" xr:uid="{00000000-0005-0000-0000-00004B000000}"/>
    <cellStyle name="Normál 2" xfId="75" xr:uid="{00000000-0005-0000-0000-00004C000000}"/>
    <cellStyle name="Normál 3" xfId="76" xr:uid="{00000000-0005-0000-0000-00004D000000}"/>
    <cellStyle name="Normál 4" xfId="111" xr:uid="{00000000-0005-0000-0000-00004E000000}"/>
    <cellStyle name="Normál_2003-05K" xfId="77" xr:uid="{00000000-0005-0000-0000-00004F000000}"/>
    <cellStyle name="Normál_99LETSZ_LETSZ02" xfId="107" xr:uid="{00000000-0005-0000-0000-000050000000}"/>
    <cellStyle name="Normál_BESZAM10" xfId="101" xr:uid="{00000000-0005-0000-0000-000051000000}"/>
    <cellStyle name="Normál_ESZKFOR" xfId="92" xr:uid="{00000000-0005-0000-0000-000052000000}"/>
    <cellStyle name="Normál_GAZDTÁRS11" xfId="104" xr:uid="{00000000-0005-0000-0000-000053000000}"/>
    <cellStyle name="Normál_GAZDTÁRS13" xfId="103" xr:uid="{00000000-0005-0000-0000-000054000000}"/>
    <cellStyle name="Normál_GAZDTÁRS15" xfId="102" xr:uid="{00000000-0005-0000-0000-000055000000}"/>
    <cellStyle name="Normál_GUCIFEJL" xfId="78" xr:uid="{00000000-0005-0000-0000-000056000000}"/>
    <cellStyle name="Normál_IKÖZI" xfId="112" xr:uid="{00000000-0005-0000-0000-000057000000}"/>
    <cellStyle name="Normál_intmind2_00LETSZ" xfId="110" xr:uid="{00000000-0005-0000-0000-000058000000}"/>
    <cellStyle name="Normál_kiadások kerekített_2000INT" xfId="100" xr:uid="{00000000-0005-0000-0000-000059000000}"/>
    <cellStyle name="Normál_kiadások kerekített_20INTKTG" xfId="98" xr:uid="{00000000-0005-0000-0000-00005A000000}"/>
    <cellStyle name="Normál_kiemelt eik 2013" xfId="106" xr:uid="{00000000-0005-0000-0000-00005B000000}"/>
    <cellStyle name="Normál_kozvetetttam" xfId="90" xr:uid="{00000000-0005-0000-0000-00005C000000}"/>
    <cellStyle name="Normál_LAKAS" xfId="93" xr:uid="{00000000-0005-0000-0000-00005D000000}"/>
    <cellStyle name="Normál_LETSZ06" xfId="109" xr:uid="{00000000-0005-0000-0000-00005E000000}"/>
    <cellStyle name="Normál_letsz2011" xfId="108" xr:uid="{00000000-0005-0000-0000-00005F000000}"/>
    <cellStyle name="Normál_módIV12önk" xfId="105" xr:uid="{00000000-0005-0000-0000-000060000000}"/>
    <cellStyle name="Normál_Munkafüzet1" xfId="95" xr:uid="{00000000-0005-0000-0000-000061000000}"/>
    <cellStyle name="Normál_Munkafüzet2" xfId="79" xr:uid="{00000000-0005-0000-0000-000062000000}"/>
    <cellStyle name="Normál_össz 97 norma kerekítés_1_98 évi norma tény (2)" xfId="113" xr:uid="{00000000-0005-0000-0000-000063000000}"/>
    <cellStyle name="Normál_SEGÉLY98" xfId="94" xr:uid="{00000000-0005-0000-0000-000064000000}"/>
    <cellStyle name="Normál_szem jutt kerekített_2000INT" xfId="99" xr:uid="{00000000-0005-0000-0000-000065000000}"/>
    <cellStyle name="Normál_TÖBBEV" xfId="91" xr:uid="{00000000-0005-0000-0000-000066000000}"/>
    <cellStyle name="Normál_VAGYONRE" xfId="96" xr:uid="{00000000-0005-0000-0000-000067000000}"/>
    <cellStyle name="Normál_VAGYONZ" xfId="97" xr:uid="{00000000-0005-0000-0000-000068000000}"/>
    <cellStyle name="Note" xfId="80" xr:uid="{00000000-0005-0000-0000-000069000000}"/>
    <cellStyle name="Output" xfId="81" xr:uid="{00000000-0005-0000-0000-00006A000000}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 xr:uid="{00000000-0005-0000-0000-00006F000000}"/>
    <cellStyle name="Total" xfId="87" xr:uid="{00000000-0005-0000-0000-000070000000}"/>
    <cellStyle name="Warning Text" xfId="88" xr:uid="{00000000-0005-0000-0000-00007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7/K&#246;lts&#233;gvet&#233;s/Int&#233;zm&#233;nyi%20k&#246;lts&#233;gvet&#233;s/Int&#233;zm&#233;nyi%20kgy%20t&#225;bl&#225;k/INTkvet&#233;s%20kgy%20t&#225;bla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7/Rendeletm&#243;dos&#237;t&#225;s/INTrend.m&#243;d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7/Rendeletm&#243;dos&#237;t&#225;s/Int.l&#233;tsz&#225;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7"/>
      <sheetName val="int.kiadások2017"/>
    </sheetNames>
    <sheetDataSet>
      <sheetData sheetId="0">
        <row r="28">
          <cell r="L28">
            <v>1000409</v>
          </cell>
        </row>
        <row r="32">
          <cell r="L32">
            <v>99994</v>
          </cell>
        </row>
        <row r="33">
          <cell r="L33">
            <v>80412</v>
          </cell>
        </row>
        <row r="34">
          <cell r="L34">
            <v>272153</v>
          </cell>
        </row>
        <row r="35">
          <cell r="L35">
            <v>178734</v>
          </cell>
        </row>
        <row r="36">
          <cell r="L36">
            <v>342068</v>
          </cell>
        </row>
        <row r="53">
          <cell r="B53">
            <v>1214594</v>
          </cell>
          <cell r="C53">
            <v>220077</v>
          </cell>
        </row>
      </sheetData>
      <sheetData sheetId="1">
        <row r="34">
          <cell r="I34">
            <v>10000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  <sheetName val="int.bevételek RM V"/>
      <sheetName val="int.kiadások RM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9">
          <cell r="G29">
            <v>5009</v>
          </cell>
          <cell r="J29">
            <v>0</v>
          </cell>
          <cell r="M29">
            <v>0</v>
          </cell>
          <cell r="T29">
            <v>34</v>
          </cell>
          <cell r="W29">
            <v>0</v>
          </cell>
          <cell r="Z29">
            <v>0</v>
          </cell>
          <cell r="AJ29">
            <v>2655</v>
          </cell>
          <cell r="AP29">
            <v>133454</v>
          </cell>
        </row>
        <row r="52">
          <cell r="J52">
            <v>0</v>
          </cell>
        </row>
        <row r="54">
          <cell r="D54">
            <v>1403466</v>
          </cell>
          <cell r="G54">
            <v>345988</v>
          </cell>
        </row>
      </sheetData>
      <sheetData sheetId="11">
        <row r="33">
          <cell r="X33">
            <v>14553</v>
          </cell>
        </row>
        <row r="34">
          <cell r="X34">
            <v>1302</v>
          </cell>
        </row>
        <row r="35">
          <cell r="X35">
            <v>34788</v>
          </cell>
        </row>
        <row r="36">
          <cell r="X36">
            <v>17803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2016évi üres"/>
      <sheetName val="létszám ei mód 2016-2017eltérés"/>
      <sheetName val="2017 évi nyitó létszám"/>
      <sheetName val="létszám ei mód RM I."/>
      <sheetName val="létszám ei mód RM II."/>
      <sheetName val="létszám ei mód RM III."/>
      <sheetName val="létszám ei mód RM IV."/>
      <sheetName val="létszám ei mód RM V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F9">
            <v>32</v>
          </cell>
          <cell r="G9">
            <v>32</v>
          </cell>
          <cell r="L9">
            <v>1</v>
          </cell>
          <cell r="M9">
            <v>1</v>
          </cell>
        </row>
        <row r="10">
          <cell r="F10">
            <v>22</v>
          </cell>
          <cell r="G10">
            <v>22</v>
          </cell>
          <cell r="L10">
            <v>1</v>
          </cell>
          <cell r="M10">
            <v>1</v>
          </cell>
        </row>
        <row r="11">
          <cell r="F11">
            <v>22</v>
          </cell>
          <cell r="G11">
            <v>22</v>
          </cell>
          <cell r="L11">
            <v>1</v>
          </cell>
          <cell r="M11">
            <v>1</v>
          </cell>
        </row>
        <row r="12">
          <cell r="F12">
            <v>26</v>
          </cell>
          <cell r="G12">
            <v>26</v>
          </cell>
          <cell r="L12">
            <v>1</v>
          </cell>
          <cell r="M12">
            <v>1</v>
          </cell>
        </row>
        <row r="13">
          <cell r="F13">
            <v>25</v>
          </cell>
          <cell r="G13">
            <v>25</v>
          </cell>
          <cell r="L13">
            <v>1</v>
          </cell>
          <cell r="M13">
            <v>1</v>
          </cell>
        </row>
        <row r="14">
          <cell r="F14">
            <v>22.5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18</v>
          </cell>
          <cell r="G15">
            <v>18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25</v>
          </cell>
          <cell r="G17">
            <v>25</v>
          </cell>
          <cell r="L17">
            <v>1</v>
          </cell>
          <cell r="M17">
            <v>1</v>
          </cell>
        </row>
        <row r="18">
          <cell r="F18">
            <v>28</v>
          </cell>
          <cell r="G18">
            <v>28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11.5</v>
          </cell>
          <cell r="G20">
            <v>11</v>
          </cell>
          <cell r="L20">
            <v>1</v>
          </cell>
          <cell r="M20">
            <v>1</v>
          </cell>
        </row>
        <row r="21">
          <cell r="F21">
            <v>15</v>
          </cell>
          <cell r="G21">
            <v>15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28</v>
          </cell>
          <cell r="G23">
            <v>28</v>
          </cell>
          <cell r="L23">
            <v>1</v>
          </cell>
          <cell r="M23">
            <v>1</v>
          </cell>
        </row>
        <row r="24">
          <cell r="F24">
            <v>22</v>
          </cell>
          <cell r="G24">
            <v>22</v>
          </cell>
          <cell r="L24">
            <v>1</v>
          </cell>
          <cell r="M24">
            <v>1</v>
          </cell>
        </row>
        <row r="25">
          <cell r="F25">
            <v>16</v>
          </cell>
          <cell r="G25">
            <v>16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21</v>
          </cell>
          <cell r="G32">
            <v>21</v>
          </cell>
          <cell r="L32">
            <v>15.5</v>
          </cell>
          <cell r="M32">
            <v>16</v>
          </cell>
        </row>
        <row r="33">
          <cell r="F33">
            <v>18</v>
          </cell>
          <cell r="G33">
            <v>18</v>
          </cell>
          <cell r="L33">
            <v>1</v>
          </cell>
          <cell r="M33">
            <v>1</v>
          </cell>
        </row>
        <row r="34">
          <cell r="F34">
            <v>77</v>
          </cell>
          <cell r="G34">
            <v>77</v>
          </cell>
          <cell r="L34">
            <v>7.5</v>
          </cell>
          <cell r="M34">
            <v>7</v>
          </cell>
        </row>
        <row r="35">
          <cell r="F35">
            <v>35</v>
          </cell>
          <cell r="G35">
            <v>35</v>
          </cell>
          <cell r="L35">
            <v>11</v>
          </cell>
          <cell r="M35">
            <v>11</v>
          </cell>
        </row>
        <row r="36">
          <cell r="F36">
            <v>64.5</v>
          </cell>
          <cell r="G36">
            <v>65</v>
          </cell>
          <cell r="L36">
            <v>30.25</v>
          </cell>
          <cell r="M36">
            <v>30</v>
          </cell>
        </row>
        <row r="39">
          <cell r="F39">
            <v>1</v>
          </cell>
          <cell r="G39">
            <v>1</v>
          </cell>
          <cell r="L39">
            <v>15</v>
          </cell>
          <cell r="M39">
            <v>15</v>
          </cell>
        </row>
        <row r="42">
          <cell r="F42">
            <v>61</v>
          </cell>
          <cell r="G42">
            <v>61</v>
          </cell>
          <cell r="L42">
            <v>34</v>
          </cell>
          <cell r="M42">
            <v>34</v>
          </cell>
        </row>
        <row r="45">
          <cell r="F45">
            <v>105</v>
          </cell>
          <cell r="G45">
            <v>105</v>
          </cell>
          <cell r="L45">
            <v>68.754999999999995</v>
          </cell>
          <cell r="M45">
            <v>69</v>
          </cell>
        </row>
        <row r="46">
          <cell r="F46">
            <v>146.5</v>
          </cell>
          <cell r="G46">
            <v>146</v>
          </cell>
          <cell r="L46">
            <v>19</v>
          </cell>
          <cell r="M46">
            <v>19</v>
          </cell>
        </row>
        <row r="51">
          <cell r="F51">
            <v>30</v>
          </cell>
          <cell r="G51">
            <v>30</v>
          </cell>
          <cell r="L51">
            <v>0</v>
          </cell>
          <cell r="M51">
            <v>0</v>
          </cell>
        </row>
        <row r="52">
          <cell r="F52">
            <v>233</v>
          </cell>
          <cell r="G52">
            <v>233</v>
          </cell>
          <cell r="L52">
            <v>0</v>
          </cell>
          <cell r="M52">
            <v>0</v>
          </cell>
        </row>
        <row r="53">
          <cell r="F53">
            <v>0</v>
          </cell>
          <cell r="G53">
            <v>0</v>
          </cell>
          <cell r="L53">
            <v>0</v>
          </cell>
          <cell r="M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"/>
  <sheetViews>
    <sheetView tabSelected="1" zoomScale="75" zoomScaleNormal="75" workbookViewId="0">
      <selection activeCell="B41" sqref="B41"/>
    </sheetView>
  </sheetViews>
  <sheetFormatPr defaultRowHeight="15.75" x14ac:dyDescent="0.25"/>
  <cols>
    <col min="1" max="1" width="14.33203125" style="1718" customWidth="1"/>
    <col min="2" max="2" width="121" style="1718" customWidth="1"/>
    <col min="3" max="3" width="37.6640625" style="1718" customWidth="1"/>
    <col min="4" max="4" width="35.83203125" style="1718" customWidth="1"/>
    <col min="5" max="5" width="35.83203125" style="1719" customWidth="1"/>
    <col min="6" max="6" width="14.33203125" style="1719" customWidth="1"/>
    <col min="7" max="7" width="121" style="1718" customWidth="1"/>
    <col min="8" max="8" width="37.1640625" style="1718" customWidth="1"/>
    <col min="9" max="9" width="35.83203125" style="1718" customWidth="1"/>
    <col min="10" max="10" width="35.83203125" style="1719" customWidth="1"/>
    <col min="11" max="11" width="5.83203125" style="1721" customWidth="1"/>
    <col min="12" max="12" width="18.1640625" style="1721" customWidth="1"/>
    <col min="13" max="13" width="15" style="1721" bestFit="1" customWidth="1"/>
    <col min="14" max="14" width="17.5" style="1721" customWidth="1"/>
    <col min="15" max="36" width="9.33203125" style="1721"/>
    <col min="37" max="256" width="9.33203125" style="1718"/>
    <col min="257" max="257" width="14.33203125" style="1718" customWidth="1"/>
    <col min="258" max="258" width="121" style="1718" customWidth="1"/>
    <col min="259" max="259" width="37.6640625" style="1718" customWidth="1"/>
    <col min="260" max="261" width="35.83203125" style="1718" customWidth="1"/>
    <col min="262" max="262" width="14.33203125" style="1718" customWidth="1"/>
    <col min="263" max="263" width="121" style="1718" customWidth="1"/>
    <col min="264" max="264" width="37.1640625" style="1718" customWidth="1"/>
    <col min="265" max="266" width="35.83203125" style="1718" customWidth="1"/>
    <col min="267" max="268" width="18.1640625" style="1718" customWidth="1"/>
    <col min="269" max="269" width="15" style="1718" bestFit="1" customWidth="1"/>
    <col min="270" max="270" width="17.5" style="1718" customWidth="1"/>
    <col min="271" max="512" width="9.33203125" style="1718"/>
    <col min="513" max="513" width="14.33203125" style="1718" customWidth="1"/>
    <col min="514" max="514" width="121" style="1718" customWidth="1"/>
    <col min="515" max="515" width="37.6640625" style="1718" customWidth="1"/>
    <col min="516" max="517" width="35.83203125" style="1718" customWidth="1"/>
    <col min="518" max="518" width="14.33203125" style="1718" customWidth="1"/>
    <col min="519" max="519" width="121" style="1718" customWidth="1"/>
    <col min="520" max="520" width="37.1640625" style="1718" customWidth="1"/>
    <col min="521" max="522" width="35.83203125" style="1718" customWidth="1"/>
    <col min="523" max="524" width="18.1640625" style="1718" customWidth="1"/>
    <col min="525" max="525" width="15" style="1718" bestFit="1" customWidth="1"/>
    <col min="526" max="526" width="17.5" style="1718" customWidth="1"/>
    <col min="527" max="768" width="9.33203125" style="1718"/>
    <col min="769" max="769" width="14.33203125" style="1718" customWidth="1"/>
    <col min="770" max="770" width="121" style="1718" customWidth="1"/>
    <col min="771" max="771" width="37.6640625" style="1718" customWidth="1"/>
    <col min="772" max="773" width="35.83203125" style="1718" customWidth="1"/>
    <col min="774" max="774" width="14.33203125" style="1718" customWidth="1"/>
    <col min="775" max="775" width="121" style="1718" customWidth="1"/>
    <col min="776" max="776" width="37.1640625" style="1718" customWidth="1"/>
    <col min="777" max="778" width="35.83203125" style="1718" customWidth="1"/>
    <col min="779" max="780" width="18.1640625" style="1718" customWidth="1"/>
    <col min="781" max="781" width="15" style="1718" bestFit="1" customWidth="1"/>
    <col min="782" max="782" width="17.5" style="1718" customWidth="1"/>
    <col min="783" max="1024" width="9.33203125" style="1718"/>
    <col min="1025" max="1025" width="14.33203125" style="1718" customWidth="1"/>
    <col min="1026" max="1026" width="121" style="1718" customWidth="1"/>
    <col min="1027" max="1027" width="37.6640625" style="1718" customWidth="1"/>
    <col min="1028" max="1029" width="35.83203125" style="1718" customWidth="1"/>
    <col min="1030" max="1030" width="14.33203125" style="1718" customWidth="1"/>
    <col min="1031" max="1031" width="121" style="1718" customWidth="1"/>
    <col min="1032" max="1032" width="37.1640625" style="1718" customWidth="1"/>
    <col min="1033" max="1034" width="35.83203125" style="1718" customWidth="1"/>
    <col min="1035" max="1036" width="18.1640625" style="1718" customWidth="1"/>
    <col min="1037" max="1037" width="15" style="1718" bestFit="1" customWidth="1"/>
    <col min="1038" max="1038" width="17.5" style="1718" customWidth="1"/>
    <col min="1039" max="1280" width="9.33203125" style="1718"/>
    <col min="1281" max="1281" width="14.33203125" style="1718" customWidth="1"/>
    <col min="1282" max="1282" width="121" style="1718" customWidth="1"/>
    <col min="1283" max="1283" width="37.6640625" style="1718" customWidth="1"/>
    <col min="1284" max="1285" width="35.83203125" style="1718" customWidth="1"/>
    <col min="1286" max="1286" width="14.33203125" style="1718" customWidth="1"/>
    <col min="1287" max="1287" width="121" style="1718" customWidth="1"/>
    <col min="1288" max="1288" width="37.1640625" style="1718" customWidth="1"/>
    <col min="1289" max="1290" width="35.83203125" style="1718" customWidth="1"/>
    <col min="1291" max="1292" width="18.1640625" style="1718" customWidth="1"/>
    <col min="1293" max="1293" width="15" style="1718" bestFit="1" customWidth="1"/>
    <col min="1294" max="1294" width="17.5" style="1718" customWidth="1"/>
    <col min="1295" max="1536" width="9.33203125" style="1718"/>
    <col min="1537" max="1537" width="14.33203125" style="1718" customWidth="1"/>
    <col min="1538" max="1538" width="121" style="1718" customWidth="1"/>
    <col min="1539" max="1539" width="37.6640625" style="1718" customWidth="1"/>
    <col min="1540" max="1541" width="35.83203125" style="1718" customWidth="1"/>
    <col min="1542" max="1542" width="14.33203125" style="1718" customWidth="1"/>
    <col min="1543" max="1543" width="121" style="1718" customWidth="1"/>
    <col min="1544" max="1544" width="37.1640625" style="1718" customWidth="1"/>
    <col min="1545" max="1546" width="35.83203125" style="1718" customWidth="1"/>
    <col min="1547" max="1548" width="18.1640625" style="1718" customWidth="1"/>
    <col min="1549" max="1549" width="15" style="1718" bestFit="1" customWidth="1"/>
    <col min="1550" max="1550" width="17.5" style="1718" customWidth="1"/>
    <col min="1551" max="1792" width="9.33203125" style="1718"/>
    <col min="1793" max="1793" width="14.33203125" style="1718" customWidth="1"/>
    <col min="1794" max="1794" width="121" style="1718" customWidth="1"/>
    <col min="1795" max="1795" width="37.6640625" style="1718" customWidth="1"/>
    <col min="1796" max="1797" width="35.83203125" style="1718" customWidth="1"/>
    <col min="1798" max="1798" width="14.33203125" style="1718" customWidth="1"/>
    <col min="1799" max="1799" width="121" style="1718" customWidth="1"/>
    <col min="1800" max="1800" width="37.1640625" style="1718" customWidth="1"/>
    <col min="1801" max="1802" width="35.83203125" style="1718" customWidth="1"/>
    <col min="1803" max="1804" width="18.1640625" style="1718" customWidth="1"/>
    <col min="1805" max="1805" width="15" style="1718" bestFit="1" customWidth="1"/>
    <col min="1806" max="1806" width="17.5" style="1718" customWidth="1"/>
    <col min="1807" max="2048" width="9.33203125" style="1718"/>
    <col min="2049" max="2049" width="14.33203125" style="1718" customWidth="1"/>
    <col min="2050" max="2050" width="121" style="1718" customWidth="1"/>
    <col min="2051" max="2051" width="37.6640625" style="1718" customWidth="1"/>
    <col min="2052" max="2053" width="35.83203125" style="1718" customWidth="1"/>
    <col min="2054" max="2054" width="14.33203125" style="1718" customWidth="1"/>
    <col min="2055" max="2055" width="121" style="1718" customWidth="1"/>
    <col min="2056" max="2056" width="37.1640625" style="1718" customWidth="1"/>
    <col min="2057" max="2058" width="35.83203125" style="1718" customWidth="1"/>
    <col min="2059" max="2060" width="18.1640625" style="1718" customWidth="1"/>
    <col min="2061" max="2061" width="15" style="1718" bestFit="1" customWidth="1"/>
    <col min="2062" max="2062" width="17.5" style="1718" customWidth="1"/>
    <col min="2063" max="2304" width="9.33203125" style="1718"/>
    <col min="2305" max="2305" width="14.33203125" style="1718" customWidth="1"/>
    <col min="2306" max="2306" width="121" style="1718" customWidth="1"/>
    <col min="2307" max="2307" width="37.6640625" style="1718" customWidth="1"/>
    <col min="2308" max="2309" width="35.83203125" style="1718" customWidth="1"/>
    <col min="2310" max="2310" width="14.33203125" style="1718" customWidth="1"/>
    <col min="2311" max="2311" width="121" style="1718" customWidth="1"/>
    <col min="2312" max="2312" width="37.1640625" style="1718" customWidth="1"/>
    <col min="2313" max="2314" width="35.83203125" style="1718" customWidth="1"/>
    <col min="2315" max="2316" width="18.1640625" style="1718" customWidth="1"/>
    <col min="2317" max="2317" width="15" style="1718" bestFit="1" customWidth="1"/>
    <col min="2318" max="2318" width="17.5" style="1718" customWidth="1"/>
    <col min="2319" max="2560" width="9.33203125" style="1718"/>
    <col min="2561" max="2561" width="14.33203125" style="1718" customWidth="1"/>
    <col min="2562" max="2562" width="121" style="1718" customWidth="1"/>
    <col min="2563" max="2563" width="37.6640625" style="1718" customWidth="1"/>
    <col min="2564" max="2565" width="35.83203125" style="1718" customWidth="1"/>
    <col min="2566" max="2566" width="14.33203125" style="1718" customWidth="1"/>
    <col min="2567" max="2567" width="121" style="1718" customWidth="1"/>
    <col min="2568" max="2568" width="37.1640625" style="1718" customWidth="1"/>
    <col min="2569" max="2570" width="35.83203125" style="1718" customWidth="1"/>
    <col min="2571" max="2572" width="18.1640625" style="1718" customWidth="1"/>
    <col min="2573" max="2573" width="15" style="1718" bestFit="1" customWidth="1"/>
    <col min="2574" max="2574" width="17.5" style="1718" customWidth="1"/>
    <col min="2575" max="2816" width="9.33203125" style="1718"/>
    <col min="2817" max="2817" width="14.33203125" style="1718" customWidth="1"/>
    <col min="2818" max="2818" width="121" style="1718" customWidth="1"/>
    <col min="2819" max="2819" width="37.6640625" style="1718" customWidth="1"/>
    <col min="2820" max="2821" width="35.83203125" style="1718" customWidth="1"/>
    <col min="2822" max="2822" width="14.33203125" style="1718" customWidth="1"/>
    <col min="2823" max="2823" width="121" style="1718" customWidth="1"/>
    <col min="2824" max="2824" width="37.1640625" style="1718" customWidth="1"/>
    <col min="2825" max="2826" width="35.83203125" style="1718" customWidth="1"/>
    <col min="2827" max="2828" width="18.1640625" style="1718" customWidth="1"/>
    <col min="2829" max="2829" width="15" style="1718" bestFit="1" customWidth="1"/>
    <col min="2830" max="2830" width="17.5" style="1718" customWidth="1"/>
    <col min="2831" max="3072" width="9.33203125" style="1718"/>
    <col min="3073" max="3073" width="14.33203125" style="1718" customWidth="1"/>
    <col min="3074" max="3074" width="121" style="1718" customWidth="1"/>
    <col min="3075" max="3075" width="37.6640625" style="1718" customWidth="1"/>
    <col min="3076" max="3077" width="35.83203125" style="1718" customWidth="1"/>
    <col min="3078" max="3078" width="14.33203125" style="1718" customWidth="1"/>
    <col min="3079" max="3079" width="121" style="1718" customWidth="1"/>
    <col min="3080" max="3080" width="37.1640625" style="1718" customWidth="1"/>
    <col min="3081" max="3082" width="35.83203125" style="1718" customWidth="1"/>
    <col min="3083" max="3084" width="18.1640625" style="1718" customWidth="1"/>
    <col min="3085" max="3085" width="15" style="1718" bestFit="1" customWidth="1"/>
    <col min="3086" max="3086" width="17.5" style="1718" customWidth="1"/>
    <col min="3087" max="3328" width="9.33203125" style="1718"/>
    <col min="3329" max="3329" width="14.33203125" style="1718" customWidth="1"/>
    <col min="3330" max="3330" width="121" style="1718" customWidth="1"/>
    <col min="3331" max="3331" width="37.6640625" style="1718" customWidth="1"/>
    <col min="3332" max="3333" width="35.83203125" style="1718" customWidth="1"/>
    <col min="3334" max="3334" width="14.33203125" style="1718" customWidth="1"/>
    <col min="3335" max="3335" width="121" style="1718" customWidth="1"/>
    <col min="3336" max="3336" width="37.1640625" style="1718" customWidth="1"/>
    <col min="3337" max="3338" width="35.83203125" style="1718" customWidth="1"/>
    <col min="3339" max="3340" width="18.1640625" style="1718" customWidth="1"/>
    <col min="3341" max="3341" width="15" style="1718" bestFit="1" customWidth="1"/>
    <col min="3342" max="3342" width="17.5" style="1718" customWidth="1"/>
    <col min="3343" max="3584" width="9.33203125" style="1718"/>
    <col min="3585" max="3585" width="14.33203125" style="1718" customWidth="1"/>
    <col min="3586" max="3586" width="121" style="1718" customWidth="1"/>
    <col min="3587" max="3587" width="37.6640625" style="1718" customWidth="1"/>
    <col min="3588" max="3589" width="35.83203125" style="1718" customWidth="1"/>
    <col min="3590" max="3590" width="14.33203125" style="1718" customWidth="1"/>
    <col min="3591" max="3591" width="121" style="1718" customWidth="1"/>
    <col min="3592" max="3592" width="37.1640625" style="1718" customWidth="1"/>
    <col min="3593" max="3594" width="35.83203125" style="1718" customWidth="1"/>
    <col min="3595" max="3596" width="18.1640625" style="1718" customWidth="1"/>
    <col min="3597" max="3597" width="15" style="1718" bestFit="1" customWidth="1"/>
    <col min="3598" max="3598" width="17.5" style="1718" customWidth="1"/>
    <col min="3599" max="3840" width="9.33203125" style="1718"/>
    <col min="3841" max="3841" width="14.33203125" style="1718" customWidth="1"/>
    <col min="3842" max="3842" width="121" style="1718" customWidth="1"/>
    <col min="3843" max="3843" width="37.6640625" style="1718" customWidth="1"/>
    <col min="3844" max="3845" width="35.83203125" style="1718" customWidth="1"/>
    <col min="3846" max="3846" width="14.33203125" style="1718" customWidth="1"/>
    <col min="3847" max="3847" width="121" style="1718" customWidth="1"/>
    <col min="3848" max="3848" width="37.1640625" style="1718" customWidth="1"/>
    <col min="3849" max="3850" width="35.83203125" style="1718" customWidth="1"/>
    <col min="3851" max="3852" width="18.1640625" style="1718" customWidth="1"/>
    <col min="3853" max="3853" width="15" style="1718" bestFit="1" customWidth="1"/>
    <col min="3854" max="3854" width="17.5" style="1718" customWidth="1"/>
    <col min="3855" max="4096" width="9.33203125" style="1718"/>
    <col min="4097" max="4097" width="14.33203125" style="1718" customWidth="1"/>
    <col min="4098" max="4098" width="121" style="1718" customWidth="1"/>
    <col min="4099" max="4099" width="37.6640625" style="1718" customWidth="1"/>
    <col min="4100" max="4101" width="35.83203125" style="1718" customWidth="1"/>
    <col min="4102" max="4102" width="14.33203125" style="1718" customWidth="1"/>
    <col min="4103" max="4103" width="121" style="1718" customWidth="1"/>
    <col min="4104" max="4104" width="37.1640625" style="1718" customWidth="1"/>
    <col min="4105" max="4106" width="35.83203125" style="1718" customWidth="1"/>
    <col min="4107" max="4108" width="18.1640625" style="1718" customWidth="1"/>
    <col min="4109" max="4109" width="15" style="1718" bestFit="1" customWidth="1"/>
    <col min="4110" max="4110" width="17.5" style="1718" customWidth="1"/>
    <col min="4111" max="4352" width="9.33203125" style="1718"/>
    <col min="4353" max="4353" width="14.33203125" style="1718" customWidth="1"/>
    <col min="4354" max="4354" width="121" style="1718" customWidth="1"/>
    <col min="4355" max="4355" width="37.6640625" style="1718" customWidth="1"/>
    <col min="4356" max="4357" width="35.83203125" style="1718" customWidth="1"/>
    <col min="4358" max="4358" width="14.33203125" style="1718" customWidth="1"/>
    <col min="4359" max="4359" width="121" style="1718" customWidth="1"/>
    <col min="4360" max="4360" width="37.1640625" style="1718" customWidth="1"/>
    <col min="4361" max="4362" width="35.83203125" style="1718" customWidth="1"/>
    <col min="4363" max="4364" width="18.1640625" style="1718" customWidth="1"/>
    <col min="4365" max="4365" width="15" style="1718" bestFit="1" customWidth="1"/>
    <col min="4366" max="4366" width="17.5" style="1718" customWidth="1"/>
    <col min="4367" max="4608" width="9.33203125" style="1718"/>
    <col min="4609" max="4609" width="14.33203125" style="1718" customWidth="1"/>
    <col min="4610" max="4610" width="121" style="1718" customWidth="1"/>
    <col min="4611" max="4611" width="37.6640625" style="1718" customWidth="1"/>
    <col min="4612" max="4613" width="35.83203125" style="1718" customWidth="1"/>
    <col min="4614" max="4614" width="14.33203125" style="1718" customWidth="1"/>
    <col min="4615" max="4615" width="121" style="1718" customWidth="1"/>
    <col min="4616" max="4616" width="37.1640625" style="1718" customWidth="1"/>
    <col min="4617" max="4618" width="35.83203125" style="1718" customWidth="1"/>
    <col min="4619" max="4620" width="18.1640625" style="1718" customWidth="1"/>
    <col min="4621" max="4621" width="15" style="1718" bestFit="1" customWidth="1"/>
    <col min="4622" max="4622" width="17.5" style="1718" customWidth="1"/>
    <col min="4623" max="4864" width="9.33203125" style="1718"/>
    <col min="4865" max="4865" width="14.33203125" style="1718" customWidth="1"/>
    <col min="4866" max="4866" width="121" style="1718" customWidth="1"/>
    <col min="4867" max="4867" width="37.6640625" style="1718" customWidth="1"/>
    <col min="4868" max="4869" width="35.83203125" style="1718" customWidth="1"/>
    <col min="4870" max="4870" width="14.33203125" style="1718" customWidth="1"/>
    <col min="4871" max="4871" width="121" style="1718" customWidth="1"/>
    <col min="4872" max="4872" width="37.1640625" style="1718" customWidth="1"/>
    <col min="4873" max="4874" width="35.83203125" style="1718" customWidth="1"/>
    <col min="4875" max="4876" width="18.1640625" style="1718" customWidth="1"/>
    <col min="4877" max="4877" width="15" style="1718" bestFit="1" customWidth="1"/>
    <col min="4878" max="4878" width="17.5" style="1718" customWidth="1"/>
    <col min="4879" max="5120" width="9.33203125" style="1718"/>
    <col min="5121" max="5121" width="14.33203125" style="1718" customWidth="1"/>
    <col min="5122" max="5122" width="121" style="1718" customWidth="1"/>
    <col min="5123" max="5123" width="37.6640625" style="1718" customWidth="1"/>
    <col min="5124" max="5125" width="35.83203125" style="1718" customWidth="1"/>
    <col min="5126" max="5126" width="14.33203125" style="1718" customWidth="1"/>
    <col min="5127" max="5127" width="121" style="1718" customWidth="1"/>
    <col min="5128" max="5128" width="37.1640625" style="1718" customWidth="1"/>
    <col min="5129" max="5130" width="35.83203125" style="1718" customWidth="1"/>
    <col min="5131" max="5132" width="18.1640625" style="1718" customWidth="1"/>
    <col min="5133" max="5133" width="15" style="1718" bestFit="1" customWidth="1"/>
    <col min="5134" max="5134" width="17.5" style="1718" customWidth="1"/>
    <col min="5135" max="5376" width="9.33203125" style="1718"/>
    <col min="5377" max="5377" width="14.33203125" style="1718" customWidth="1"/>
    <col min="5378" max="5378" width="121" style="1718" customWidth="1"/>
    <col min="5379" max="5379" width="37.6640625" style="1718" customWidth="1"/>
    <col min="5380" max="5381" width="35.83203125" style="1718" customWidth="1"/>
    <col min="5382" max="5382" width="14.33203125" style="1718" customWidth="1"/>
    <col min="5383" max="5383" width="121" style="1718" customWidth="1"/>
    <col min="5384" max="5384" width="37.1640625" style="1718" customWidth="1"/>
    <col min="5385" max="5386" width="35.83203125" style="1718" customWidth="1"/>
    <col min="5387" max="5388" width="18.1640625" style="1718" customWidth="1"/>
    <col min="5389" max="5389" width="15" style="1718" bestFit="1" customWidth="1"/>
    <col min="5390" max="5390" width="17.5" style="1718" customWidth="1"/>
    <col min="5391" max="5632" width="9.33203125" style="1718"/>
    <col min="5633" max="5633" width="14.33203125" style="1718" customWidth="1"/>
    <col min="5634" max="5634" width="121" style="1718" customWidth="1"/>
    <col min="5635" max="5635" width="37.6640625" style="1718" customWidth="1"/>
    <col min="5636" max="5637" width="35.83203125" style="1718" customWidth="1"/>
    <col min="5638" max="5638" width="14.33203125" style="1718" customWidth="1"/>
    <col min="5639" max="5639" width="121" style="1718" customWidth="1"/>
    <col min="5640" max="5640" width="37.1640625" style="1718" customWidth="1"/>
    <col min="5641" max="5642" width="35.83203125" style="1718" customWidth="1"/>
    <col min="5643" max="5644" width="18.1640625" style="1718" customWidth="1"/>
    <col min="5645" max="5645" width="15" style="1718" bestFit="1" customWidth="1"/>
    <col min="5646" max="5646" width="17.5" style="1718" customWidth="1"/>
    <col min="5647" max="5888" width="9.33203125" style="1718"/>
    <col min="5889" max="5889" width="14.33203125" style="1718" customWidth="1"/>
    <col min="5890" max="5890" width="121" style="1718" customWidth="1"/>
    <col min="5891" max="5891" width="37.6640625" style="1718" customWidth="1"/>
    <col min="5892" max="5893" width="35.83203125" style="1718" customWidth="1"/>
    <col min="5894" max="5894" width="14.33203125" style="1718" customWidth="1"/>
    <col min="5895" max="5895" width="121" style="1718" customWidth="1"/>
    <col min="5896" max="5896" width="37.1640625" style="1718" customWidth="1"/>
    <col min="5897" max="5898" width="35.83203125" style="1718" customWidth="1"/>
    <col min="5899" max="5900" width="18.1640625" style="1718" customWidth="1"/>
    <col min="5901" max="5901" width="15" style="1718" bestFit="1" customWidth="1"/>
    <col min="5902" max="5902" width="17.5" style="1718" customWidth="1"/>
    <col min="5903" max="6144" width="9.33203125" style="1718"/>
    <col min="6145" max="6145" width="14.33203125" style="1718" customWidth="1"/>
    <col min="6146" max="6146" width="121" style="1718" customWidth="1"/>
    <col min="6147" max="6147" width="37.6640625" style="1718" customWidth="1"/>
    <col min="6148" max="6149" width="35.83203125" style="1718" customWidth="1"/>
    <col min="6150" max="6150" width="14.33203125" style="1718" customWidth="1"/>
    <col min="6151" max="6151" width="121" style="1718" customWidth="1"/>
    <col min="6152" max="6152" width="37.1640625" style="1718" customWidth="1"/>
    <col min="6153" max="6154" width="35.83203125" style="1718" customWidth="1"/>
    <col min="6155" max="6156" width="18.1640625" style="1718" customWidth="1"/>
    <col min="6157" max="6157" width="15" style="1718" bestFit="1" customWidth="1"/>
    <col min="6158" max="6158" width="17.5" style="1718" customWidth="1"/>
    <col min="6159" max="6400" width="9.33203125" style="1718"/>
    <col min="6401" max="6401" width="14.33203125" style="1718" customWidth="1"/>
    <col min="6402" max="6402" width="121" style="1718" customWidth="1"/>
    <col min="6403" max="6403" width="37.6640625" style="1718" customWidth="1"/>
    <col min="6404" max="6405" width="35.83203125" style="1718" customWidth="1"/>
    <col min="6406" max="6406" width="14.33203125" style="1718" customWidth="1"/>
    <col min="6407" max="6407" width="121" style="1718" customWidth="1"/>
    <col min="6408" max="6408" width="37.1640625" style="1718" customWidth="1"/>
    <col min="6409" max="6410" width="35.83203125" style="1718" customWidth="1"/>
    <col min="6411" max="6412" width="18.1640625" style="1718" customWidth="1"/>
    <col min="6413" max="6413" width="15" style="1718" bestFit="1" customWidth="1"/>
    <col min="6414" max="6414" width="17.5" style="1718" customWidth="1"/>
    <col min="6415" max="6656" width="9.33203125" style="1718"/>
    <col min="6657" max="6657" width="14.33203125" style="1718" customWidth="1"/>
    <col min="6658" max="6658" width="121" style="1718" customWidth="1"/>
    <col min="6659" max="6659" width="37.6640625" style="1718" customWidth="1"/>
    <col min="6660" max="6661" width="35.83203125" style="1718" customWidth="1"/>
    <col min="6662" max="6662" width="14.33203125" style="1718" customWidth="1"/>
    <col min="6663" max="6663" width="121" style="1718" customWidth="1"/>
    <col min="6664" max="6664" width="37.1640625" style="1718" customWidth="1"/>
    <col min="6665" max="6666" width="35.83203125" style="1718" customWidth="1"/>
    <col min="6667" max="6668" width="18.1640625" style="1718" customWidth="1"/>
    <col min="6669" max="6669" width="15" style="1718" bestFit="1" customWidth="1"/>
    <col min="6670" max="6670" width="17.5" style="1718" customWidth="1"/>
    <col min="6671" max="6912" width="9.33203125" style="1718"/>
    <col min="6913" max="6913" width="14.33203125" style="1718" customWidth="1"/>
    <col min="6914" max="6914" width="121" style="1718" customWidth="1"/>
    <col min="6915" max="6915" width="37.6640625" style="1718" customWidth="1"/>
    <col min="6916" max="6917" width="35.83203125" style="1718" customWidth="1"/>
    <col min="6918" max="6918" width="14.33203125" style="1718" customWidth="1"/>
    <col min="6919" max="6919" width="121" style="1718" customWidth="1"/>
    <col min="6920" max="6920" width="37.1640625" style="1718" customWidth="1"/>
    <col min="6921" max="6922" width="35.83203125" style="1718" customWidth="1"/>
    <col min="6923" max="6924" width="18.1640625" style="1718" customWidth="1"/>
    <col min="6925" max="6925" width="15" style="1718" bestFit="1" customWidth="1"/>
    <col min="6926" max="6926" width="17.5" style="1718" customWidth="1"/>
    <col min="6927" max="7168" width="9.33203125" style="1718"/>
    <col min="7169" max="7169" width="14.33203125" style="1718" customWidth="1"/>
    <col min="7170" max="7170" width="121" style="1718" customWidth="1"/>
    <col min="7171" max="7171" width="37.6640625" style="1718" customWidth="1"/>
    <col min="7172" max="7173" width="35.83203125" style="1718" customWidth="1"/>
    <col min="7174" max="7174" width="14.33203125" style="1718" customWidth="1"/>
    <col min="7175" max="7175" width="121" style="1718" customWidth="1"/>
    <col min="7176" max="7176" width="37.1640625" style="1718" customWidth="1"/>
    <col min="7177" max="7178" width="35.83203125" style="1718" customWidth="1"/>
    <col min="7179" max="7180" width="18.1640625" style="1718" customWidth="1"/>
    <col min="7181" max="7181" width="15" style="1718" bestFit="1" customWidth="1"/>
    <col min="7182" max="7182" width="17.5" style="1718" customWidth="1"/>
    <col min="7183" max="7424" width="9.33203125" style="1718"/>
    <col min="7425" max="7425" width="14.33203125" style="1718" customWidth="1"/>
    <col min="7426" max="7426" width="121" style="1718" customWidth="1"/>
    <col min="7427" max="7427" width="37.6640625" style="1718" customWidth="1"/>
    <col min="7428" max="7429" width="35.83203125" style="1718" customWidth="1"/>
    <col min="7430" max="7430" width="14.33203125" style="1718" customWidth="1"/>
    <col min="7431" max="7431" width="121" style="1718" customWidth="1"/>
    <col min="7432" max="7432" width="37.1640625" style="1718" customWidth="1"/>
    <col min="7433" max="7434" width="35.83203125" style="1718" customWidth="1"/>
    <col min="7435" max="7436" width="18.1640625" style="1718" customWidth="1"/>
    <col min="7437" max="7437" width="15" style="1718" bestFit="1" customWidth="1"/>
    <col min="7438" max="7438" width="17.5" style="1718" customWidth="1"/>
    <col min="7439" max="7680" width="9.33203125" style="1718"/>
    <col min="7681" max="7681" width="14.33203125" style="1718" customWidth="1"/>
    <col min="7682" max="7682" width="121" style="1718" customWidth="1"/>
    <col min="7683" max="7683" width="37.6640625" style="1718" customWidth="1"/>
    <col min="7684" max="7685" width="35.83203125" style="1718" customWidth="1"/>
    <col min="7686" max="7686" width="14.33203125" style="1718" customWidth="1"/>
    <col min="7687" max="7687" width="121" style="1718" customWidth="1"/>
    <col min="7688" max="7688" width="37.1640625" style="1718" customWidth="1"/>
    <col min="7689" max="7690" width="35.83203125" style="1718" customWidth="1"/>
    <col min="7691" max="7692" width="18.1640625" style="1718" customWidth="1"/>
    <col min="7693" max="7693" width="15" style="1718" bestFit="1" customWidth="1"/>
    <col min="7694" max="7694" width="17.5" style="1718" customWidth="1"/>
    <col min="7695" max="7936" width="9.33203125" style="1718"/>
    <col min="7937" max="7937" width="14.33203125" style="1718" customWidth="1"/>
    <col min="7938" max="7938" width="121" style="1718" customWidth="1"/>
    <col min="7939" max="7939" width="37.6640625" style="1718" customWidth="1"/>
    <col min="7940" max="7941" width="35.83203125" style="1718" customWidth="1"/>
    <col min="7942" max="7942" width="14.33203125" style="1718" customWidth="1"/>
    <col min="7943" max="7943" width="121" style="1718" customWidth="1"/>
    <col min="7944" max="7944" width="37.1640625" style="1718" customWidth="1"/>
    <col min="7945" max="7946" width="35.83203125" style="1718" customWidth="1"/>
    <col min="7947" max="7948" width="18.1640625" style="1718" customWidth="1"/>
    <col min="7949" max="7949" width="15" style="1718" bestFit="1" customWidth="1"/>
    <col min="7950" max="7950" width="17.5" style="1718" customWidth="1"/>
    <col min="7951" max="8192" width="9.33203125" style="1718"/>
    <col min="8193" max="8193" width="14.33203125" style="1718" customWidth="1"/>
    <col min="8194" max="8194" width="121" style="1718" customWidth="1"/>
    <col min="8195" max="8195" width="37.6640625" style="1718" customWidth="1"/>
    <col min="8196" max="8197" width="35.83203125" style="1718" customWidth="1"/>
    <col min="8198" max="8198" width="14.33203125" style="1718" customWidth="1"/>
    <col min="8199" max="8199" width="121" style="1718" customWidth="1"/>
    <col min="8200" max="8200" width="37.1640625" style="1718" customWidth="1"/>
    <col min="8201" max="8202" width="35.83203125" style="1718" customWidth="1"/>
    <col min="8203" max="8204" width="18.1640625" style="1718" customWidth="1"/>
    <col min="8205" max="8205" width="15" style="1718" bestFit="1" customWidth="1"/>
    <col min="8206" max="8206" width="17.5" style="1718" customWidth="1"/>
    <col min="8207" max="8448" width="9.33203125" style="1718"/>
    <col min="8449" max="8449" width="14.33203125" style="1718" customWidth="1"/>
    <col min="8450" max="8450" width="121" style="1718" customWidth="1"/>
    <col min="8451" max="8451" width="37.6640625" style="1718" customWidth="1"/>
    <col min="8452" max="8453" width="35.83203125" style="1718" customWidth="1"/>
    <col min="8454" max="8454" width="14.33203125" style="1718" customWidth="1"/>
    <col min="8455" max="8455" width="121" style="1718" customWidth="1"/>
    <col min="8456" max="8456" width="37.1640625" style="1718" customWidth="1"/>
    <col min="8457" max="8458" width="35.83203125" style="1718" customWidth="1"/>
    <col min="8459" max="8460" width="18.1640625" style="1718" customWidth="1"/>
    <col min="8461" max="8461" width="15" style="1718" bestFit="1" customWidth="1"/>
    <col min="8462" max="8462" width="17.5" style="1718" customWidth="1"/>
    <col min="8463" max="8704" width="9.33203125" style="1718"/>
    <col min="8705" max="8705" width="14.33203125" style="1718" customWidth="1"/>
    <col min="8706" max="8706" width="121" style="1718" customWidth="1"/>
    <col min="8707" max="8707" width="37.6640625" style="1718" customWidth="1"/>
    <col min="8708" max="8709" width="35.83203125" style="1718" customWidth="1"/>
    <col min="8710" max="8710" width="14.33203125" style="1718" customWidth="1"/>
    <col min="8711" max="8711" width="121" style="1718" customWidth="1"/>
    <col min="8712" max="8712" width="37.1640625" style="1718" customWidth="1"/>
    <col min="8713" max="8714" width="35.83203125" style="1718" customWidth="1"/>
    <col min="8715" max="8716" width="18.1640625" style="1718" customWidth="1"/>
    <col min="8717" max="8717" width="15" style="1718" bestFit="1" customWidth="1"/>
    <col min="8718" max="8718" width="17.5" style="1718" customWidth="1"/>
    <col min="8719" max="8960" width="9.33203125" style="1718"/>
    <col min="8961" max="8961" width="14.33203125" style="1718" customWidth="1"/>
    <col min="8962" max="8962" width="121" style="1718" customWidth="1"/>
    <col min="8963" max="8963" width="37.6640625" style="1718" customWidth="1"/>
    <col min="8964" max="8965" width="35.83203125" style="1718" customWidth="1"/>
    <col min="8966" max="8966" width="14.33203125" style="1718" customWidth="1"/>
    <col min="8967" max="8967" width="121" style="1718" customWidth="1"/>
    <col min="8968" max="8968" width="37.1640625" style="1718" customWidth="1"/>
    <col min="8969" max="8970" width="35.83203125" style="1718" customWidth="1"/>
    <col min="8971" max="8972" width="18.1640625" style="1718" customWidth="1"/>
    <col min="8973" max="8973" width="15" style="1718" bestFit="1" customWidth="1"/>
    <col min="8974" max="8974" width="17.5" style="1718" customWidth="1"/>
    <col min="8975" max="9216" width="9.33203125" style="1718"/>
    <col min="9217" max="9217" width="14.33203125" style="1718" customWidth="1"/>
    <col min="9218" max="9218" width="121" style="1718" customWidth="1"/>
    <col min="9219" max="9219" width="37.6640625" style="1718" customWidth="1"/>
    <col min="9220" max="9221" width="35.83203125" style="1718" customWidth="1"/>
    <col min="9222" max="9222" width="14.33203125" style="1718" customWidth="1"/>
    <col min="9223" max="9223" width="121" style="1718" customWidth="1"/>
    <col min="9224" max="9224" width="37.1640625" style="1718" customWidth="1"/>
    <col min="9225" max="9226" width="35.83203125" style="1718" customWidth="1"/>
    <col min="9227" max="9228" width="18.1640625" style="1718" customWidth="1"/>
    <col min="9229" max="9229" width="15" style="1718" bestFit="1" customWidth="1"/>
    <col min="9230" max="9230" width="17.5" style="1718" customWidth="1"/>
    <col min="9231" max="9472" width="9.33203125" style="1718"/>
    <col min="9473" max="9473" width="14.33203125" style="1718" customWidth="1"/>
    <col min="9474" max="9474" width="121" style="1718" customWidth="1"/>
    <col min="9475" max="9475" width="37.6640625" style="1718" customWidth="1"/>
    <col min="9476" max="9477" width="35.83203125" style="1718" customWidth="1"/>
    <col min="9478" max="9478" width="14.33203125" style="1718" customWidth="1"/>
    <col min="9479" max="9479" width="121" style="1718" customWidth="1"/>
    <col min="9480" max="9480" width="37.1640625" style="1718" customWidth="1"/>
    <col min="9481" max="9482" width="35.83203125" style="1718" customWidth="1"/>
    <col min="9483" max="9484" width="18.1640625" style="1718" customWidth="1"/>
    <col min="9485" max="9485" width="15" style="1718" bestFit="1" customWidth="1"/>
    <col min="9486" max="9486" width="17.5" style="1718" customWidth="1"/>
    <col min="9487" max="9728" width="9.33203125" style="1718"/>
    <col min="9729" max="9729" width="14.33203125" style="1718" customWidth="1"/>
    <col min="9730" max="9730" width="121" style="1718" customWidth="1"/>
    <col min="9731" max="9731" width="37.6640625" style="1718" customWidth="1"/>
    <col min="9732" max="9733" width="35.83203125" style="1718" customWidth="1"/>
    <col min="9734" max="9734" width="14.33203125" style="1718" customWidth="1"/>
    <col min="9735" max="9735" width="121" style="1718" customWidth="1"/>
    <col min="9736" max="9736" width="37.1640625" style="1718" customWidth="1"/>
    <col min="9737" max="9738" width="35.83203125" style="1718" customWidth="1"/>
    <col min="9739" max="9740" width="18.1640625" style="1718" customWidth="1"/>
    <col min="9741" max="9741" width="15" style="1718" bestFit="1" customWidth="1"/>
    <col min="9742" max="9742" width="17.5" style="1718" customWidth="1"/>
    <col min="9743" max="9984" width="9.33203125" style="1718"/>
    <col min="9985" max="9985" width="14.33203125" style="1718" customWidth="1"/>
    <col min="9986" max="9986" width="121" style="1718" customWidth="1"/>
    <col min="9987" max="9987" width="37.6640625" style="1718" customWidth="1"/>
    <col min="9988" max="9989" width="35.83203125" style="1718" customWidth="1"/>
    <col min="9990" max="9990" width="14.33203125" style="1718" customWidth="1"/>
    <col min="9991" max="9991" width="121" style="1718" customWidth="1"/>
    <col min="9992" max="9992" width="37.1640625" style="1718" customWidth="1"/>
    <col min="9993" max="9994" width="35.83203125" style="1718" customWidth="1"/>
    <col min="9995" max="9996" width="18.1640625" style="1718" customWidth="1"/>
    <col min="9997" max="9997" width="15" style="1718" bestFit="1" customWidth="1"/>
    <col min="9998" max="9998" width="17.5" style="1718" customWidth="1"/>
    <col min="9999" max="10240" width="9.33203125" style="1718"/>
    <col min="10241" max="10241" width="14.33203125" style="1718" customWidth="1"/>
    <col min="10242" max="10242" width="121" style="1718" customWidth="1"/>
    <col min="10243" max="10243" width="37.6640625" style="1718" customWidth="1"/>
    <col min="10244" max="10245" width="35.83203125" style="1718" customWidth="1"/>
    <col min="10246" max="10246" width="14.33203125" style="1718" customWidth="1"/>
    <col min="10247" max="10247" width="121" style="1718" customWidth="1"/>
    <col min="10248" max="10248" width="37.1640625" style="1718" customWidth="1"/>
    <col min="10249" max="10250" width="35.83203125" style="1718" customWidth="1"/>
    <col min="10251" max="10252" width="18.1640625" style="1718" customWidth="1"/>
    <col min="10253" max="10253" width="15" style="1718" bestFit="1" customWidth="1"/>
    <col min="10254" max="10254" width="17.5" style="1718" customWidth="1"/>
    <col min="10255" max="10496" width="9.33203125" style="1718"/>
    <col min="10497" max="10497" width="14.33203125" style="1718" customWidth="1"/>
    <col min="10498" max="10498" width="121" style="1718" customWidth="1"/>
    <col min="10499" max="10499" width="37.6640625" style="1718" customWidth="1"/>
    <col min="10500" max="10501" width="35.83203125" style="1718" customWidth="1"/>
    <col min="10502" max="10502" width="14.33203125" style="1718" customWidth="1"/>
    <col min="10503" max="10503" width="121" style="1718" customWidth="1"/>
    <col min="10504" max="10504" width="37.1640625" style="1718" customWidth="1"/>
    <col min="10505" max="10506" width="35.83203125" style="1718" customWidth="1"/>
    <col min="10507" max="10508" width="18.1640625" style="1718" customWidth="1"/>
    <col min="10509" max="10509" width="15" style="1718" bestFit="1" customWidth="1"/>
    <col min="10510" max="10510" width="17.5" style="1718" customWidth="1"/>
    <col min="10511" max="10752" width="9.33203125" style="1718"/>
    <col min="10753" max="10753" width="14.33203125" style="1718" customWidth="1"/>
    <col min="10754" max="10754" width="121" style="1718" customWidth="1"/>
    <col min="10755" max="10755" width="37.6640625" style="1718" customWidth="1"/>
    <col min="10756" max="10757" width="35.83203125" style="1718" customWidth="1"/>
    <col min="10758" max="10758" width="14.33203125" style="1718" customWidth="1"/>
    <col min="10759" max="10759" width="121" style="1718" customWidth="1"/>
    <col min="10760" max="10760" width="37.1640625" style="1718" customWidth="1"/>
    <col min="10761" max="10762" width="35.83203125" style="1718" customWidth="1"/>
    <col min="10763" max="10764" width="18.1640625" style="1718" customWidth="1"/>
    <col min="10765" max="10765" width="15" style="1718" bestFit="1" customWidth="1"/>
    <col min="10766" max="10766" width="17.5" style="1718" customWidth="1"/>
    <col min="10767" max="11008" width="9.33203125" style="1718"/>
    <col min="11009" max="11009" width="14.33203125" style="1718" customWidth="1"/>
    <col min="11010" max="11010" width="121" style="1718" customWidth="1"/>
    <col min="11011" max="11011" width="37.6640625" style="1718" customWidth="1"/>
    <col min="11012" max="11013" width="35.83203125" style="1718" customWidth="1"/>
    <col min="11014" max="11014" width="14.33203125" style="1718" customWidth="1"/>
    <col min="11015" max="11015" width="121" style="1718" customWidth="1"/>
    <col min="11016" max="11016" width="37.1640625" style="1718" customWidth="1"/>
    <col min="11017" max="11018" width="35.83203125" style="1718" customWidth="1"/>
    <col min="11019" max="11020" width="18.1640625" style="1718" customWidth="1"/>
    <col min="11021" max="11021" width="15" style="1718" bestFit="1" customWidth="1"/>
    <col min="11022" max="11022" width="17.5" style="1718" customWidth="1"/>
    <col min="11023" max="11264" width="9.33203125" style="1718"/>
    <col min="11265" max="11265" width="14.33203125" style="1718" customWidth="1"/>
    <col min="11266" max="11266" width="121" style="1718" customWidth="1"/>
    <col min="11267" max="11267" width="37.6640625" style="1718" customWidth="1"/>
    <col min="11268" max="11269" width="35.83203125" style="1718" customWidth="1"/>
    <col min="11270" max="11270" width="14.33203125" style="1718" customWidth="1"/>
    <col min="11271" max="11271" width="121" style="1718" customWidth="1"/>
    <col min="11272" max="11272" width="37.1640625" style="1718" customWidth="1"/>
    <col min="11273" max="11274" width="35.83203125" style="1718" customWidth="1"/>
    <col min="11275" max="11276" width="18.1640625" style="1718" customWidth="1"/>
    <col min="11277" max="11277" width="15" style="1718" bestFit="1" customWidth="1"/>
    <col min="11278" max="11278" width="17.5" style="1718" customWidth="1"/>
    <col min="11279" max="11520" width="9.33203125" style="1718"/>
    <col min="11521" max="11521" width="14.33203125" style="1718" customWidth="1"/>
    <col min="11522" max="11522" width="121" style="1718" customWidth="1"/>
    <col min="11523" max="11523" width="37.6640625" style="1718" customWidth="1"/>
    <col min="11524" max="11525" width="35.83203125" style="1718" customWidth="1"/>
    <col min="11526" max="11526" width="14.33203125" style="1718" customWidth="1"/>
    <col min="11527" max="11527" width="121" style="1718" customWidth="1"/>
    <col min="11528" max="11528" width="37.1640625" style="1718" customWidth="1"/>
    <col min="11529" max="11530" width="35.83203125" style="1718" customWidth="1"/>
    <col min="11531" max="11532" width="18.1640625" style="1718" customWidth="1"/>
    <col min="11533" max="11533" width="15" style="1718" bestFit="1" customWidth="1"/>
    <col min="11534" max="11534" width="17.5" style="1718" customWidth="1"/>
    <col min="11535" max="11776" width="9.33203125" style="1718"/>
    <col min="11777" max="11777" width="14.33203125" style="1718" customWidth="1"/>
    <col min="11778" max="11778" width="121" style="1718" customWidth="1"/>
    <col min="11779" max="11779" width="37.6640625" style="1718" customWidth="1"/>
    <col min="11780" max="11781" width="35.83203125" style="1718" customWidth="1"/>
    <col min="11782" max="11782" width="14.33203125" style="1718" customWidth="1"/>
    <col min="11783" max="11783" width="121" style="1718" customWidth="1"/>
    <col min="11784" max="11784" width="37.1640625" style="1718" customWidth="1"/>
    <col min="11785" max="11786" width="35.83203125" style="1718" customWidth="1"/>
    <col min="11787" max="11788" width="18.1640625" style="1718" customWidth="1"/>
    <col min="11789" max="11789" width="15" style="1718" bestFit="1" customWidth="1"/>
    <col min="11790" max="11790" width="17.5" style="1718" customWidth="1"/>
    <col min="11791" max="12032" width="9.33203125" style="1718"/>
    <col min="12033" max="12033" width="14.33203125" style="1718" customWidth="1"/>
    <col min="12034" max="12034" width="121" style="1718" customWidth="1"/>
    <col min="12035" max="12035" width="37.6640625" style="1718" customWidth="1"/>
    <col min="12036" max="12037" width="35.83203125" style="1718" customWidth="1"/>
    <col min="12038" max="12038" width="14.33203125" style="1718" customWidth="1"/>
    <col min="12039" max="12039" width="121" style="1718" customWidth="1"/>
    <col min="12040" max="12040" width="37.1640625" style="1718" customWidth="1"/>
    <col min="12041" max="12042" width="35.83203125" style="1718" customWidth="1"/>
    <col min="12043" max="12044" width="18.1640625" style="1718" customWidth="1"/>
    <col min="12045" max="12045" width="15" style="1718" bestFit="1" customWidth="1"/>
    <col min="12046" max="12046" width="17.5" style="1718" customWidth="1"/>
    <col min="12047" max="12288" width="9.33203125" style="1718"/>
    <col min="12289" max="12289" width="14.33203125" style="1718" customWidth="1"/>
    <col min="12290" max="12290" width="121" style="1718" customWidth="1"/>
    <col min="12291" max="12291" width="37.6640625" style="1718" customWidth="1"/>
    <col min="12292" max="12293" width="35.83203125" style="1718" customWidth="1"/>
    <col min="12294" max="12294" width="14.33203125" style="1718" customWidth="1"/>
    <col min="12295" max="12295" width="121" style="1718" customWidth="1"/>
    <col min="12296" max="12296" width="37.1640625" style="1718" customWidth="1"/>
    <col min="12297" max="12298" width="35.83203125" style="1718" customWidth="1"/>
    <col min="12299" max="12300" width="18.1640625" style="1718" customWidth="1"/>
    <col min="12301" max="12301" width="15" style="1718" bestFit="1" customWidth="1"/>
    <col min="12302" max="12302" width="17.5" style="1718" customWidth="1"/>
    <col min="12303" max="12544" width="9.33203125" style="1718"/>
    <col min="12545" max="12545" width="14.33203125" style="1718" customWidth="1"/>
    <col min="12546" max="12546" width="121" style="1718" customWidth="1"/>
    <col min="12547" max="12547" width="37.6640625" style="1718" customWidth="1"/>
    <col min="12548" max="12549" width="35.83203125" style="1718" customWidth="1"/>
    <col min="12550" max="12550" width="14.33203125" style="1718" customWidth="1"/>
    <col min="12551" max="12551" width="121" style="1718" customWidth="1"/>
    <col min="12552" max="12552" width="37.1640625" style="1718" customWidth="1"/>
    <col min="12553" max="12554" width="35.83203125" style="1718" customWidth="1"/>
    <col min="12555" max="12556" width="18.1640625" style="1718" customWidth="1"/>
    <col min="12557" max="12557" width="15" style="1718" bestFit="1" customWidth="1"/>
    <col min="12558" max="12558" width="17.5" style="1718" customWidth="1"/>
    <col min="12559" max="12800" width="9.33203125" style="1718"/>
    <col min="12801" max="12801" width="14.33203125" style="1718" customWidth="1"/>
    <col min="12802" max="12802" width="121" style="1718" customWidth="1"/>
    <col min="12803" max="12803" width="37.6640625" style="1718" customWidth="1"/>
    <col min="12804" max="12805" width="35.83203125" style="1718" customWidth="1"/>
    <col min="12806" max="12806" width="14.33203125" style="1718" customWidth="1"/>
    <col min="12807" max="12807" width="121" style="1718" customWidth="1"/>
    <col min="12808" max="12808" width="37.1640625" style="1718" customWidth="1"/>
    <col min="12809" max="12810" width="35.83203125" style="1718" customWidth="1"/>
    <col min="12811" max="12812" width="18.1640625" style="1718" customWidth="1"/>
    <col min="12813" max="12813" width="15" style="1718" bestFit="1" customWidth="1"/>
    <col min="12814" max="12814" width="17.5" style="1718" customWidth="1"/>
    <col min="12815" max="13056" width="9.33203125" style="1718"/>
    <col min="13057" max="13057" width="14.33203125" style="1718" customWidth="1"/>
    <col min="13058" max="13058" width="121" style="1718" customWidth="1"/>
    <col min="13059" max="13059" width="37.6640625" style="1718" customWidth="1"/>
    <col min="13060" max="13061" width="35.83203125" style="1718" customWidth="1"/>
    <col min="13062" max="13062" width="14.33203125" style="1718" customWidth="1"/>
    <col min="13063" max="13063" width="121" style="1718" customWidth="1"/>
    <col min="13064" max="13064" width="37.1640625" style="1718" customWidth="1"/>
    <col min="13065" max="13066" width="35.83203125" style="1718" customWidth="1"/>
    <col min="13067" max="13068" width="18.1640625" style="1718" customWidth="1"/>
    <col min="13069" max="13069" width="15" style="1718" bestFit="1" customWidth="1"/>
    <col min="13070" max="13070" width="17.5" style="1718" customWidth="1"/>
    <col min="13071" max="13312" width="9.33203125" style="1718"/>
    <col min="13313" max="13313" width="14.33203125" style="1718" customWidth="1"/>
    <col min="13314" max="13314" width="121" style="1718" customWidth="1"/>
    <col min="13315" max="13315" width="37.6640625" style="1718" customWidth="1"/>
    <col min="13316" max="13317" width="35.83203125" style="1718" customWidth="1"/>
    <col min="13318" max="13318" width="14.33203125" style="1718" customWidth="1"/>
    <col min="13319" max="13319" width="121" style="1718" customWidth="1"/>
    <col min="13320" max="13320" width="37.1640625" style="1718" customWidth="1"/>
    <col min="13321" max="13322" width="35.83203125" style="1718" customWidth="1"/>
    <col min="13323" max="13324" width="18.1640625" style="1718" customWidth="1"/>
    <col min="13325" max="13325" width="15" style="1718" bestFit="1" customWidth="1"/>
    <col min="13326" max="13326" width="17.5" style="1718" customWidth="1"/>
    <col min="13327" max="13568" width="9.33203125" style="1718"/>
    <col min="13569" max="13569" width="14.33203125" style="1718" customWidth="1"/>
    <col min="13570" max="13570" width="121" style="1718" customWidth="1"/>
    <col min="13571" max="13571" width="37.6640625" style="1718" customWidth="1"/>
    <col min="13572" max="13573" width="35.83203125" style="1718" customWidth="1"/>
    <col min="13574" max="13574" width="14.33203125" style="1718" customWidth="1"/>
    <col min="13575" max="13575" width="121" style="1718" customWidth="1"/>
    <col min="13576" max="13576" width="37.1640625" style="1718" customWidth="1"/>
    <col min="13577" max="13578" width="35.83203125" style="1718" customWidth="1"/>
    <col min="13579" max="13580" width="18.1640625" style="1718" customWidth="1"/>
    <col min="13581" max="13581" width="15" style="1718" bestFit="1" customWidth="1"/>
    <col min="13582" max="13582" width="17.5" style="1718" customWidth="1"/>
    <col min="13583" max="13824" width="9.33203125" style="1718"/>
    <col min="13825" max="13825" width="14.33203125" style="1718" customWidth="1"/>
    <col min="13826" max="13826" width="121" style="1718" customWidth="1"/>
    <col min="13827" max="13827" width="37.6640625" style="1718" customWidth="1"/>
    <col min="13828" max="13829" width="35.83203125" style="1718" customWidth="1"/>
    <col min="13830" max="13830" width="14.33203125" style="1718" customWidth="1"/>
    <col min="13831" max="13831" width="121" style="1718" customWidth="1"/>
    <col min="13832" max="13832" width="37.1640625" style="1718" customWidth="1"/>
    <col min="13833" max="13834" width="35.83203125" style="1718" customWidth="1"/>
    <col min="13835" max="13836" width="18.1640625" style="1718" customWidth="1"/>
    <col min="13837" max="13837" width="15" style="1718" bestFit="1" customWidth="1"/>
    <col min="13838" max="13838" width="17.5" style="1718" customWidth="1"/>
    <col min="13839" max="14080" width="9.33203125" style="1718"/>
    <col min="14081" max="14081" width="14.33203125" style="1718" customWidth="1"/>
    <col min="14082" max="14082" width="121" style="1718" customWidth="1"/>
    <col min="14083" max="14083" width="37.6640625" style="1718" customWidth="1"/>
    <col min="14084" max="14085" width="35.83203125" style="1718" customWidth="1"/>
    <col min="14086" max="14086" width="14.33203125" style="1718" customWidth="1"/>
    <col min="14087" max="14087" width="121" style="1718" customWidth="1"/>
    <col min="14088" max="14088" width="37.1640625" style="1718" customWidth="1"/>
    <col min="14089" max="14090" width="35.83203125" style="1718" customWidth="1"/>
    <col min="14091" max="14092" width="18.1640625" style="1718" customWidth="1"/>
    <col min="14093" max="14093" width="15" style="1718" bestFit="1" customWidth="1"/>
    <col min="14094" max="14094" width="17.5" style="1718" customWidth="1"/>
    <col min="14095" max="14336" width="9.33203125" style="1718"/>
    <col min="14337" max="14337" width="14.33203125" style="1718" customWidth="1"/>
    <col min="14338" max="14338" width="121" style="1718" customWidth="1"/>
    <col min="14339" max="14339" width="37.6640625" style="1718" customWidth="1"/>
    <col min="14340" max="14341" width="35.83203125" style="1718" customWidth="1"/>
    <col min="14342" max="14342" width="14.33203125" style="1718" customWidth="1"/>
    <col min="14343" max="14343" width="121" style="1718" customWidth="1"/>
    <col min="14344" max="14344" width="37.1640625" style="1718" customWidth="1"/>
    <col min="14345" max="14346" width="35.83203125" style="1718" customWidth="1"/>
    <col min="14347" max="14348" width="18.1640625" style="1718" customWidth="1"/>
    <col min="14349" max="14349" width="15" style="1718" bestFit="1" customWidth="1"/>
    <col min="14350" max="14350" width="17.5" style="1718" customWidth="1"/>
    <col min="14351" max="14592" width="9.33203125" style="1718"/>
    <col min="14593" max="14593" width="14.33203125" style="1718" customWidth="1"/>
    <col min="14594" max="14594" width="121" style="1718" customWidth="1"/>
    <col min="14595" max="14595" width="37.6640625" style="1718" customWidth="1"/>
    <col min="14596" max="14597" width="35.83203125" style="1718" customWidth="1"/>
    <col min="14598" max="14598" width="14.33203125" style="1718" customWidth="1"/>
    <col min="14599" max="14599" width="121" style="1718" customWidth="1"/>
    <col min="14600" max="14600" width="37.1640625" style="1718" customWidth="1"/>
    <col min="14601" max="14602" width="35.83203125" style="1718" customWidth="1"/>
    <col min="14603" max="14604" width="18.1640625" style="1718" customWidth="1"/>
    <col min="14605" max="14605" width="15" style="1718" bestFit="1" customWidth="1"/>
    <col min="14606" max="14606" width="17.5" style="1718" customWidth="1"/>
    <col min="14607" max="14848" width="9.33203125" style="1718"/>
    <col min="14849" max="14849" width="14.33203125" style="1718" customWidth="1"/>
    <col min="14850" max="14850" width="121" style="1718" customWidth="1"/>
    <col min="14851" max="14851" width="37.6640625" style="1718" customWidth="1"/>
    <col min="14852" max="14853" width="35.83203125" style="1718" customWidth="1"/>
    <col min="14854" max="14854" width="14.33203125" style="1718" customWidth="1"/>
    <col min="14855" max="14855" width="121" style="1718" customWidth="1"/>
    <col min="14856" max="14856" width="37.1640625" style="1718" customWidth="1"/>
    <col min="14857" max="14858" width="35.83203125" style="1718" customWidth="1"/>
    <col min="14859" max="14860" width="18.1640625" style="1718" customWidth="1"/>
    <col min="14861" max="14861" width="15" style="1718" bestFit="1" customWidth="1"/>
    <col min="14862" max="14862" width="17.5" style="1718" customWidth="1"/>
    <col min="14863" max="15104" width="9.33203125" style="1718"/>
    <col min="15105" max="15105" width="14.33203125" style="1718" customWidth="1"/>
    <col min="15106" max="15106" width="121" style="1718" customWidth="1"/>
    <col min="15107" max="15107" width="37.6640625" style="1718" customWidth="1"/>
    <col min="15108" max="15109" width="35.83203125" style="1718" customWidth="1"/>
    <col min="15110" max="15110" width="14.33203125" style="1718" customWidth="1"/>
    <col min="15111" max="15111" width="121" style="1718" customWidth="1"/>
    <col min="15112" max="15112" width="37.1640625" style="1718" customWidth="1"/>
    <col min="15113" max="15114" width="35.83203125" style="1718" customWidth="1"/>
    <col min="15115" max="15116" width="18.1640625" style="1718" customWidth="1"/>
    <col min="15117" max="15117" width="15" style="1718" bestFit="1" customWidth="1"/>
    <col min="15118" max="15118" width="17.5" style="1718" customWidth="1"/>
    <col min="15119" max="15360" width="9.33203125" style="1718"/>
    <col min="15361" max="15361" width="14.33203125" style="1718" customWidth="1"/>
    <col min="15362" max="15362" width="121" style="1718" customWidth="1"/>
    <col min="15363" max="15363" width="37.6640625" style="1718" customWidth="1"/>
    <col min="15364" max="15365" width="35.83203125" style="1718" customWidth="1"/>
    <col min="15366" max="15366" width="14.33203125" style="1718" customWidth="1"/>
    <col min="15367" max="15367" width="121" style="1718" customWidth="1"/>
    <col min="15368" max="15368" width="37.1640625" style="1718" customWidth="1"/>
    <col min="15369" max="15370" width="35.83203125" style="1718" customWidth="1"/>
    <col min="15371" max="15372" width="18.1640625" style="1718" customWidth="1"/>
    <col min="15373" max="15373" width="15" style="1718" bestFit="1" customWidth="1"/>
    <col min="15374" max="15374" width="17.5" style="1718" customWidth="1"/>
    <col min="15375" max="15616" width="9.33203125" style="1718"/>
    <col min="15617" max="15617" width="14.33203125" style="1718" customWidth="1"/>
    <col min="15618" max="15618" width="121" style="1718" customWidth="1"/>
    <col min="15619" max="15619" width="37.6640625" style="1718" customWidth="1"/>
    <col min="15620" max="15621" width="35.83203125" style="1718" customWidth="1"/>
    <col min="15622" max="15622" width="14.33203125" style="1718" customWidth="1"/>
    <col min="15623" max="15623" width="121" style="1718" customWidth="1"/>
    <col min="15624" max="15624" width="37.1640625" style="1718" customWidth="1"/>
    <col min="15625" max="15626" width="35.83203125" style="1718" customWidth="1"/>
    <col min="15627" max="15628" width="18.1640625" style="1718" customWidth="1"/>
    <col min="15629" max="15629" width="15" style="1718" bestFit="1" customWidth="1"/>
    <col min="15630" max="15630" width="17.5" style="1718" customWidth="1"/>
    <col min="15631" max="15872" width="9.33203125" style="1718"/>
    <col min="15873" max="15873" width="14.33203125" style="1718" customWidth="1"/>
    <col min="15874" max="15874" width="121" style="1718" customWidth="1"/>
    <col min="15875" max="15875" width="37.6640625" style="1718" customWidth="1"/>
    <col min="15876" max="15877" width="35.83203125" style="1718" customWidth="1"/>
    <col min="15878" max="15878" width="14.33203125" style="1718" customWidth="1"/>
    <col min="15879" max="15879" width="121" style="1718" customWidth="1"/>
    <col min="15880" max="15880" width="37.1640625" style="1718" customWidth="1"/>
    <col min="15881" max="15882" width="35.83203125" style="1718" customWidth="1"/>
    <col min="15883" max="15884" width="18.1640625" style="1718" customWidth="1"/>
    <col min="15885" max="15885" width="15" style="1718" bestFit="1" customWidth="1"/>
    <col min="15886" max="15886" width="17.5" style="1718" customWidth="1"/>
    <col min="15887" max="16128" width="9.33203125" style="1718"/>
    <col min="16129" max="16129" width="14.33203125" style="1718" customWidth="1"/>
    <col min="16130" max="16130" width="121" style="1718" customWidth="1"/>
    <col min="16131" max="16131" width="37.6640625" style="1718" customWidth="1"/>
    <col min="16132" max="16133" width="35.83203125" style="1718" customWidth="1"/>
    <col min="16134" max="16134" width="14.33203125" style="1718" customWidth="1"/>
    <col min="16135" max="16135" width="121" style="1718" customWidth="1"/>
    <col min="16136" max="16136" width="37.1640625" style="1718" customWidth="1"/>
    <col min="16137" max="16138" width="35.83203125" style="1718" customWidth="1"/>
    <col min="16139" max="16140" width="18.1640625" style="1718" customWidth="1"/>
    <col min="16141" max="16141" width="15" style="1718" bestFit="1" customWidth="1"/>
    <col min="16142" max="16142" width="17.5" style="1718" customWidth="1"/>
    <col min="16143" max="16384" width="9.33203125" style="1718"/>
  </cols>
  <sheetData>
    <row r="1" spans="1:36" s="1714" customFormat="1" ht="29.25" customHeight="1" x14ac:dyDescent="0.3">
      <c r="B1" s="2532" t="s">
        <v>702</v>
      </c>
      <c r="C1" s="2532"/>
      <c r="D1" s="2532"/>
      <c r="E1" s="2532"/>
      <c r="F1" s="471"/>
      <c r="G1" s="2532" t="s">
        <v>702</v>
      </c>
      <c r="H1" s="2532"/>
      <c r="I1" s="2532"/>
      <c r="J1" s="2532"/>
      <c r="K1" s="1715"/>
      <c r="L1" s="1715"/>
      <c r="M1" s="1715"/>
      <c r="N1" s="1715"/>
      <c r="O1" s="1715"/>
      <c r="P1" s="1716"/>
      <c r="Q1" s="1715"/>
      <c r="R1" s="1715"/>
      <c r="S1" s="1715"/>
      <c r="T1" s="1715"/>
      <c r="U1" s="1715"/>
      <c r="V1" s="1715"/>
      <c r="W1" s="1715"/>
      <c r="X1" s="1715"/>
      <c r="Y1" s="1715"/>
      <c r="Z1" s="1715"/>
      <c r="AA1" s="1715"/>
      <c r="AB1" s="1715"/>
      <c r="AC1" s="1715"/>
      <c r="AD1" s="1715"/>
      <c r="AE1" s="1715"/>
      <c r="AF1" s="1715"/>
      <c r="AG1" s="1715"/>
      <c r="AH1" s="1715"/>
      <c r="AI1" s="1715"/>
      <c r="AJ1" s="1715"/>
    </row>
    <row r="2" spans="1:36" s="1714" customFormat="1" ht="36" customHeight="1" x14ac:dyDescent="0.3">
      <c r="B2" s="2532" t="s">
        <v>1665</v>
      </c>
      <c r="C2" s="2532"/>
      <c r="D2" s="2532"/>
      <c r="E2" s="2532"/>
      <c r="F2" s="471"/>
      <c r="G2" s="2532" t="s">
        <v>1666</v>
      </c>
      <c r="H2" s="2532"/>
      <c r="I2" s="2532"/>
      <c r="J2" s="2532"/>
      <c r="K2" s="1715"/>
      <c r="L2" s="1715"/>
      <c r="M2" s="1715"/>
      <c r="N2" s="1715"/>
      <c r="O2" s="1715"/>
      <c r="P2" s="1716"/>
      <c r="Q2" s="1715"/>
      <c r="R2" s="1715"/>
      <c r="S2" s="1715"/>
      <c r="T2" s="1715"/>
      <c r="U2" s="1715"/>
      <c r="V2" s="1715"/>
      <c r="W2" s="1715"/>
      <c r="X2" s="1715"/>
      <c r="Y2" s="1715"/>
      <c r="Z2" s="1715"/>
      <c r="AA2" s="1715"/>
      <c r="AB2" s="1715"/>
      <c r="AC2" s="1715"/>
      <c r="AD2" s="1715"/>
      <c r="AE2" s="1715"/>
      <c r="AF2" s="1715"/>
      <c r="AG2" s="1715"/>
      <c r="AH2" s="1715"/>
      <c r="AI2" s="1715"/>
      <c r="AJ2" s="1715"/>
    </row>
    <row r="3" spans="1:36" ht="16.5" thickBot="1" x14ac:dyDescent="0.3">
      <c r="A3" s="1717"/>
      <c r="J3" s="1720" t="s">
        <v>32</v>
      </c>
    </row>
    <row r="4" spans="1:36" s="1726" customFormat="1" ht="33.75" customHeight="1" x14ac:dyDescent="0.25">
      <c r="A4" s="1722"/>
      <c r="B4" s="1723" t="s">
        <v>720</v>
      </c>
      <c r="C4" s="1722" t="s">
        <v>1239</v>
      </c>
      <c r="D4" s="1724" t="s">
        <v>1240</v>
      </c>
      <c r="E4" s="1724" t="s">
        <v>747</v>
      </c>
      <c r="F4" s="1722"/>
      <c r="G4" s="1723" t="s">
        <v>734</v>
      </c>
      <c r="H4" s="1722" t="s">
        <v>1239</v>
      </c>
      <c r="I4" s="1724" t="s">
        <v>1240</v>
      </c>
      <c r="J4" s="1724" t="s">
        <v>747</v>
      </c>
      <c r="K4" s="1725"/>
      <c r="L4" s="1725"/>
      <c r="M4" s="1725"/>
      <c r="N4" s="1725"/>
      <c r="O4" s="1725"/>
      <c r="P4" s="1725"/>
      <c r="Q4" s="1725"/>
      <c r="R4" s="1725"/>
      <c r="S4" s="1725"/>
      <c r="T4" s="1725"/>
      <c r="U4" s="1725"/>
      <c r="V4" s="1725"/>
      <c r="W4" s="1725"/>
      <c r="X4" s="1725"/>
      <c r="Y4" s="1725"/>
      <c r="Z4" s="1725"/>
      <c r="AA4" s="1725"/>
      <c r="AB4" s="1725"/>
      <c r="AC4" s="1725"/>
      <c r="AD4" s="1725"/>
      <c r="AE4" s="1725"/>
      <c r="AF4" s="1725"/>
      <c r="AG4" s="1725"/>
      <c r="AH4" s="1725"/>
      <c r="AI4" s="1725"/>
      <c r="AJ4" s="1725"/>
    </row>
    <row r="5" spans="1:36" s="1726" customFormat="1" ht="25.5" customHeight="1" x14ac:dyDescent="0.25">
      <c r="A5" s="1727"/>
      <c r="B5" s="1728"/>
      <c r="C5" s="1727" t="s">
        <v>1241</v>
      </c>
      <c r="D5" s="1729"/>
      <c r="E5" s="1729" t="s">
        <v>1242</v>
      </c>
      <c r="F5" s="1727"/>
      <c r="G5" s="1728"/>
      <c r="H5" s="1727" t="s">
        <v>1243</v>
      </c>
      <c r="I5" s="1729"/>
      <c r="J5" s="1729" t="s">
        <v>1244</v>
      </c>
      <c r="K5" s="1725"/>
      <c r="L5" s="1725"/>
      <c r="M5" s="1725"/>
      <c r="N5" s="1725"/>
      <c r="O5" s="1725"/>
      <c r="P5" s="1725"/>
      <c r="Q5" s="1725"/>
      <c r="R5" s="1725"/>
      <c r="S5" s="1725"/>
      <c r="T5" s="1725"/>
      <c r="U5" s="1725"/>
      <c r="V5" s="1725"/>
      <c r="W5" s="1725"/>
      <c r="X5" s="1725"/>
      <c r="Y5" s="1725"/>
      <c r="Z5" s="1725"/>
      <c r="AA5" s="1725"/>
      <c r="AB5" s="1725"/>
      <c r="AC5" s="1725"/>
      <c r="AD5" s="1725"/>
      <c r="AE5" s="1725"/>
      <c r="AF5" s="1725"/>
      <c r="AG5" s="1725"/>
      <c r="AH5" s="1725"/>
      <c r="AI5" s="1725"/>
      <c r="AJ5" s="1725"/>
    </row>
    <row r="6" spans="1:36" s="1726" customFormat="1" ht="88.5" customHeight="1" thickBot="1" x14ac:dyDescent="0.3">
      <c r="A6" s="1730"/>
      <c r="B6" s="1731"/>
      <c r="C6" s="1732" t="s">
        <v>149</v>
      </c>
      <c r="D6" s="1733" t="s">
        <v>1245</v>
      </c>
      <c r="E6" s="1734"/>
      <c r="F6" s="1730"/>
      <c r="G6" s="1731"/>
      <c r="H6" s="1732" t="s">
        <v>149</v>
      </c>
      <c r="I6" s="1733" t="s">
        <v>1246</v>
      </c>
      <c r="J6" s="1734"/>
      <c r="K6" s="1735"/>
      <c r="L6" s="1735"/>
      <c r="M6" s="1725"/>
      <c r="N6" s="1725"/>
      <c r="O6" s="1725"/>
      <c r="P6" s="1725"/>
      <c r="Q6" s="1725"/>
      <c r="R6" s="1725"/>
      <c r="S6" s="1725"/>
      <c r="T6" s="1725"/>
      <c r="U6" s="1725"/>
      <c r="V6" s="1725"/>
      <c r="W6" s="1725"/>
      <c r="X6" s="1725"/>
      <c r="Y6" s="1725"/>
      <c r="Z6" s="1725"/>
      <c r="AA6" s="1725"/>
      <c r="AB6" s="1725"/>
      <c r="AC6" s="1725"/>
      <c r="AD6" s="1725"/>
      <c r="AE6" s="1725"/>
      <c r="AF6" s="1725"/>
      <c r="AG6" s="1725"/>
      <c r="AH6" s="1725"/>
      <c r="AI6" s="1725"/>
      <c r="AJ6" s="1725"/>
    </row>
    <row r="7" spans="1:36" ht="24" customHeight="1" x14ac:dyDescent="0.25">
      <c r="A7" s="1736"/>
      <c r="B7" s="1737" t="s">
        <v>1247</v>
      </c>
      <c r="C7" s="1738"/>
      <c r="D7" s="1739"/>
      <c r="E7" s="1740"/>
      <c r="F7" s="1741"/>
      <c r="G7" s="1742" t="s">
        <v>1248</v>
      </c>
      <c r="H7" s="1738"/>
      <c r="I7" s="1739"/>
      <c r="J7" s="1740"/>
      <c r="K7" s="1743"/>
      <c r="L7" s="1743"/>
    </row>
    <row r="8" spans="1:36" ht="27" customHeight="1" x14ac:dyDescent="0.25">
      <c r="A8" s="1744" t="s">
        <v>1249</v>
      </c>
      <c r="B8" s="1745" t="s">
        <v>1250</v>
      </c>
      <c r="C8" s="1746">
        <v>345987</v>
      </c>
      <c r="D8" s="1746">
        <v>3773748</v>
      </c>
      <c r="E8" s="1747">
        <f>SUM(C8:D8)</f>
        <v>4119735</v>
      </c>
      <c r="F8" s="1748" t="s">
        <v>1251</v>
      </c>
      <c r="G8" s="1745" t="s">
        <v>1252</v>
      </c>
      <c r="H8" s="1749">
        <v>4871942</v>
      </c>
      <c r="I8" s="1749">
        <v>186044</v>
      </c>
      <c r="J8" s="1750">
        <f>SUM(H8:I8)</f>
        <v>5057986</v>
      </c>
      <c r="K8" s="1751"/>
      <c r="L8" s="1751"/>
      <c r="M8" s="1751"/>
      <c r="N8" s="1751"/>
    </row>
    <row r="9" spans="1:36" ht="44.45" customHeight="1" x14ac:dyDescent="0.25">
      <c r="A9" s="1752" t="s">
        <v>1253</v>
      </c>
      <c r="B9" s="1753" t="s">
        <v>155</v>
      </c>
      <c r="C9" s="1746">
        <v>1122</v>
      </c>
      <c r="D9" s="1746">
        <v>9757714</v>
      </c>
      <c r="E9" s="1747">
        <f>SUM(C9:D9)</f>
        <v>9758836</v>
      </c>
      <c r="F9" s="1754" t="s">
        <v>1254</v>
      </c>
      <c r="G9" s="1755" t="s">
        <v>1255</v>
      </c>
      <c r="H9" s="1756">
        <v>1160326</v>
      </c>
      <c r="I9" s="1756">
        <v>42104</v>
      </c>
      <c r="J9" s="1750">
        <f>SUM(H9:I9)</f>
        <v>1202430</v>
      </c>
      <c r="K9" s="1751"/>
      <c r="L9" s="1751"/>
      <c r="M9" s="1751"/>
      <c r="N9" s="1751"/>
    </row>
    <row r="10" spans="1:36" ht="27" customHeight="1" x14ac:dyDescent="0.25">
      <c r="A10" s="1744" t="s">
        <v>1256</v>
      </c>
      <c r="B10" s="1745" t="s">
        <v>1257</v>
      </c>
      <c r="C10" s="1746">
        <v>1400196</v>
      </c>
      <c r="D10" s="1746">
        <v>2073131</v>
      </c>
      <c r="E10" s="1747">
        <f>SUM(C10:D10)</f>
        <v>3473327</v>
      </c>
      <c r="F10" s="1754" t="s">
        <v>1258</v>
      </c>
      <c r="G10" s="1753" t="s">
        <v>1259</v>
      </c>
      <c r="H10" s="1756">
        <v>2994024</v>
      </c>
      <c r="I10" s="1756">
        <v>3418510</v>
      </c>
      <c r="J10" s="1750">
        <f>SUM(H10:I10)</f>
        <v>6412534</v>
      </c>
      <c r="K10" s="1751"/>
      <c r="L10" s="1751"/>
      <c r="M10" s="1751"/>
      <c r="N10" s="1751"/>
    </row>
    <row r="11" spans="1:36" ht="27" customHeight="1" x14ac:dyDescent="0.25">
      <c r="A11" s="1752" t="s">
        <v>1260</v>
      </c>
      <c r="B11" s="1753" t="s">
        <v>290</v>
      </c>
      <c r="C11" s="1746">
        <v>99513</v>
      </c>
      <c r="D11" s="1746">
        <v>295464</v>
      </c>
      <c r="E11" s="1747">
        <f>SUM(C11:D11)</f>
        <v>394977</v>
      </c>
      <c r="F11" s="1757" t="s">
        <v>1261</v>
      </c>
      <c r="G11" s="1758" t="s">
        <v>1262</v>
      </c>
      <c r="H11" s="1756">
        <v>0</v>
      </c>
      <c r="I11" s="1756">
        <v>161146</v>
      </c>
      <c r="J11" s="1750">
        <f>SUM(H11:I11)</f>
        <v>161146</v>
      </c>
      <c r="K11" s="1751"/>
      <c r="L11" s="1751"/>
      <c r="M11" s="1751"/>
      <c r="N11" s="1751"/>
    </row>
    <row r="12" spans="1:36" ht="24" customHeight="1" thickBot="1" x14ac:dyDescent="0.4">
      <c r="A12" s="1744"/>
      <c r="B12" s="1745"/>
      <c r="C12" s="1759"/>
      <c r="D12" s="1746"/>
      <c r="E12" s="1747"/>
      <c r="F12" s="1754" t="s">
        <v>1263</v>
      </c>
      <c r="G12" s="1753" t="s">
        <v>1264</v>
      </c>
      <c r="H12" s="1750">
        <v>56605</v>
      </c>
      <c r="I12" s="1750">
        <v>3288249</v>
      </c>
      <c r="J12" s="1750">
        <f>SUM(H12:I12)</f>
        <v>3344854</v>
      </c>
      <c r="K12" s="2529"/>
      <c r="L12" s="1751"/>
      <c r="M12" s="1751"/>
      <c r="N12" s="1751"/>
    </row>
    <row r="13" spans="1:36" ht="27" customHeight="1" thickBot="1" x14ac:dyDescent="0.4">
      <c r="A13" s="1760"/>
      <c r="B13" s="1761" t="s">
        <v>1265</v>
      </c>
      <c r="C13" s="1762">
        <f>SUM(C8:C12)</f>
        <v>1846818</v>
      </c>
      <c r="D13" s="1762">
        <f>SUM(D8:D12)</f>
        <v>15900057</v>
      </c>
      <c r="E13" s="1762">
        <f>SUM(C13:D13)</f>
        <v>17746875</v>
      </c>
      <c r="F13" s="1763"/>
      <c r="G13" s="1761" t="s">
        <v>1266</v>
      </c>
      <c r="H13" s="1764">
        <f>SUM(H8:H12)</f>
        <v>9082897</v>
      </c>
      <c r="I13" s="1764">
        <f>SUM(I8:I12)</f>
        <v>7096053</v>
      </c>
      <c r="J13" s="1764">
        <f>SUM(J8:J12)</f>
        <v>16178950</v>
      </c>
      <c r="K13" s="2529" t="s">
        <v>1788</v>
      </c>
      <c r="L13" s="1751"/>
      <c r="M13" s="1751"/>
      <c r="N13" s="1751"/>
    </row>
    <row r="14" spans="1:36" s="1769" customFormat="1" ht="27" customHeight="1" x14ac:dyDescent="0.35">
      <c r="A14" s="1744" t="s">
        <v>1267</v>
      </c>
      <c r="B14" s="1753" t="s">
        <v>297</v>
      </c>
      <c r="C14" s="1746">
        <v>12537</v>
      </c>
      <c r="D14" s="1746">
        <v>492498</v>
      </c>
      <c r="E14" s="1747">
        <f>SUM(C14:D14)</f>
        <v>505035</v>
      </c>
      <c r="F14" s="1765" t="s">
        <v>1268</v>
      </c>
      <c r="G14" s="1766" t="s">
        <v>322</v>
      </c>
      <c r="H14" s="1767">
        <v>255272</v>
      </c>
      <c r="I14" s="1767">
        <v>1095307</v>
      </c>
      <c r="J14" s="1750">
        <f>SUM(H14:I14)</f>
        <v>1350579</v>
      </c>
      <c r="K14" s="2529"/>
      <c r="L14" s="1751"/>
      <c r="M14" s="1751"/>
      <c r="N14" s="1751"/>
      <c r="O14" s="1768"/>
      <c r="P14" s="1768"/>
      <c r="Q14" s="1768"/>
      <c r="R14" s="1768"/>
      <c r="S14" s="1768"/>
      <c r="T14" s="1768"/>
      <c r="U14" s="1768"/>
      <c r="V14" s="1768"/>
      <c r="W14" s="1768"/>
      <c r="X14" s="1768"/>
      <c r="Y14" s="1768"/>
      <c r="Z14" s="1768"/>
      <c r="AA14" s="1768"/>
      <c r="AB14" s="1768"/>
      <c r="AC14" s="1768"/>
      <c r="AD14" s="1768"/>
      <c r="AE14" s="1768"/>
      <c r="AF14" s="1768"/>
      <c r="AG14" s="1768"/>
      <c r="AH14" s="1768"/>
      <c r="AI14" s="1768"/>
      <c r="AJ14" s="1768"/>
    </row>
    <row r="15" spans="1:36" ht="27" customHeight="1" x14ac:dyDescent="0.35">
      <c r="A15" s="1744" t="s">
        <v>1269</v>
      </c>
      <c r="B15" s="1753" t="s">
        <v>302</v>
      </c>
      <c r="C15" s="1746">
        <v>710</v>
      </c>
      <c r="D15" s="1746">
        <f>144379-1</f>
        <v>144378</v>
      </c>
      <c r="E15" s="1747">
        <f>SUM(C15:D15)</f>
        <v>145088</v>
      </c>
      <c r="F15" s="1770" t="s">
        <v>1270</v>
      </c>
      <c r="G15" s="1753" t="s">
        <v>1271</v>
      </c>
      <c r="H15" s="1756">
        <v>114279</v>
      </c>
      <c r="I15" s="1756">
        <v>2974326</v>
      </c>
      <c r="J15" s="1750">
        <f>SUM(H15:I15)</f>
        <v>3088605</v>
      </c>
      <c r="K15" s="2529"/>
      <c r="L15" s="1751"/>
      <c r="M15" s="1751"/>
      <c r="N15" s="1751"/>
    </row>
    <row r="16" spans="1:36" ht="27" customHeight="1" thickBot="1" x14ac:dyDescent="0.4">
      <c r="A16" s="1744" t="s">
        <v>1272</v>
      </c>
      <c r="B16" s="1753" t="s">
        <v>1273</v>
      </c>
      <c r="C16" s="1746">
        <v>15000</v>
      </c>
      <c r="D16" s="1746">
        <v>35482</v>
      </c>
      <c r="E16" s="1747">
        <f>SUM(C16:D16)</f>
        <v>50482</v>
      </c>
      <c r="F16" s="1757" t="s">
        <v>1274</v>
      </c>
      <c r="G16" s="1771" t="s">
        <v>1275</v>
      </c>
      <c r="H16" s="1749">
        <v>0</v>
      </c>
      <c r="I16" s="1749">
        <v>548280</v>
      </c>
      <c r="J16" s="1750">
        <f>SUM(H16:I16)</f>
        <v>548280</v>
      </c>
      <c r="K16" s="2529"/>
      <c r="L16" s="1751"/>
      <c r="M16" s="1751"/>
      <c r="N16" s="1751"/>
    </row>
    <row r="17" spans="1:13" ht="27" customHeight="1" thickBot="1" x14ac:dyDescent="0.4">
      <c r="A17" s="1772"/>
      <c r="B17" s="1761" t="s">
        <v>1276</v>
      </c>
      <c r="C17" s="1762">
        <f>SUM(C14:C16)</f>
        <v>28247</v>
      </c>
      <c r="D17" s="1762">
        <f>SUM(D14:D16)</f>
        <v>672358</v>
      </c>
      <c r="E17" s="1762">
        <f>SUM(E14:E16)</f>
        <v>700605</v>
      </c>
      <c r="F17" s="1772"/>
      <c r="G17" s="1773" t="s">
        <v>1277</v>
      </c>
      <c r="H17" s="1764">
        <f>SUM(H14:H16)</f>
        <v>369551</v>
      </c>
      <c r="I17" s="1764">
        <f>SUM(I14:I16)</f>
        <v>4617913</v>
      </c>
      <c r="J17" s="1764">
        <f>SUM(J14:J16)</f>
        <v>4987464</v>
      </c>
      <c r="K17" s="2529" t="s">
        <v>1788</v>
      </c>
      <c r="L17" s="1751"/>
      <c r="M17" s="1751"/>
    </row>
    <row r="18" spans="1:13" ht="27" customHeight="1" thickBot="1" x14ac:dyDescent="0.3">
      <c r="A18" s="1774"/>
      <c r="B18" s="1773" t="s">
        <v>1278</v>
      </c>
      <c r="C18" s="1762">
        <f>+C13+C17</f>
        <v>1875065</v>
      </c>
      <c r="D18" s="1762">
        <f>D13+D17</f>
        <v>16572415</v>
      </c>
      <c r="E18" s="1762">
        <f>SUM(E13+E17)</f>
        <v>18447480</v>
      </c>
      <c r="F18" s="1772"/>
      <c r="G18" s="1761" t="s">
        <v>1279</v>
      </c>
      <c r="H18" s="1764">
        <f>SUM(H17,H13)</f>
        <v>9452448</v>
      </c>
      <c r="I18" s="1764">
        <f>SUM(I17,I13)</f>
        <v>11713966</v>
      </c>
      <c r="J18" s="1764">
        <f>SUM(J17,J13)</f>
        <v>21166414</v>
      </c>
      <c r="K18" s="1751"/>
      <c r="L18" s="1751"/>
      <c r="M18" s="1751"/>
    </row>
    <row r="19" spans="1:13" ht="27" customHeight="1" thickBot="1" x14ac:dyDescent="0.3">
      <c r="A19" s="1775" t="s">
        <v>1280</v>
      </c>
      <c r="B19" s="1776" t="s">
        <v>1281</v>
      </c>
      <c r="C19" s="1777">
        <v>161407</v>
      </c>
      <c r="D19" s="1778">
        <v>14439357</v>
      </c>
      <c r="E19" s="1747">
        <f>SUM(C19:D19)</f>
        <v>14600764</v>
      </c>
      <c r="F19" s="1779" t="s">
        <v>1282</v>
      </c>
      <c r="G19" s="1780" t="s">
        <v>1283</v>
      </c>
      <c r="H19" s="1756">
        <v>0</v>
      </c>
      <c r="I19" s="1756">
        <v>3096015</v>
      </c>
      <c r="J19" s="1750">
        <f>SUM(H19:I19)</f>
        <v>3096015</v>
      </c>
      <c r="K19" s="1751"/>
      <c r="L19" s="1751"/>
      <c r="M19" s="1751"/>
    </row>
    <row r="20" spans="1:13" ht="49.5" customHeight="1" thickBot="1" x14ac:dyDescent="0.3">
      <c r="A20" s="1781"/>
      <c r="B20" s="1782" t="s">
        <v>1284</v>
      </c>
      <c r="C20" s="1762">
        <f>SUM(C18:C19)</f>
        <v>2036472</v>
      </c>
      <c r="D20" s="1762">
        <f>SUM(D18:D19)</f>
        <v>31011772</v>
      </c>
      <c r="E20" s="1762">
        <f>SUM(C20:D20)</f>
        <v>33048244</v>
      </c>
      <c r="F20" s="1781"/>
      <c r="G20" s="1782" t="s">
        <v>1285</v>
      </c>
      <c r="H20" s="1764">
        <f>SUM(H18:H19)</f>
        <v>9452448</v>
      </c>
      <c r="I20" s="1764">
        <f>SUM(I18:I19)</f>
        <v>14809981</v>
      </c>
      <c r="J20" s="1764">
        <f>SUM(J18:J19)</f>
        <v>24262429</v>
      </c>
      <c r="K20" s="1751"/>
      <c r="L20" s="1751"/>
      <c r="M20" s="1751"/>
    </row>
    <row r="21" spans="1:13" ht="24" customHeight="1" x14ac:dyDescent="0.25">
      <c r="A21" s="1783"/>
      <c r="C21" s="1783"/>
      <c r="E21" s="1784"/>
      <c r="F21" s="1784"/>
      <c r="H21" s="1785"/>
      <c r="I21" s="1786"/>
      <c r="J21" s="1787"/>
      <c r="K21" s="1788"/>
      <c r="L21" s="1788"/>
    </row>
    <row r="22" spans="1:13" ht="58.5" customHeight="1" x14ac:dyDescent="0.25">
      <c r="A22" s="1783"/>
      <c r="B22" s="1789"/>
      <c r="C22" s="1783"/>
      <c r="E22" s="1790"/>
      <c r="F22" s="1784"/>
      <c r="G22" s="2533" t="s">
        <v>1790</v>
      </c>
      <c r="H22" s="2534"/>
      <c r="I22" s="2534"/>
      <c r="J22" s="2534"/>
      <c r="K22" s="1788"/>
      <c r="L22" s="1788"/>
    </row>
    <row r="23" spans="1:13" ht="24" customHeight="1" x14ac:dyDescent="0.25">
      <c r="A23" s="1783"/>
      <c r="B23" s="1792"/>
      <c r="C23" s="1783"/>
      <c r="E23" s="1793"/>
      <c r="F23" s="1784"/>
      <c r="H23" s="1797"/>
      <c r="I23" s="1791"/>
      <c r="J23" s="1794"/>
      <c r="K23" s="1788"/>
      <c r="L23" s="1788"/>
    </row>
    <row r="24" spans="1:13" ht="24" customHeight="1" x14ac:dyDescent="0.25">
      <c r="A24" s="1783"/>
      <c r="B24" s="1792"/>
      <c r="C24" s="1783"/>
      <c r="E24" s="1784"/>
      <c r="F24" s="1784"/>
      <c r="H24" s="1791"/>
      <c r="J24" s="1795"/>
      <c r="K24" s="1788"/>
      <c r="L24" s="1788"/>
    </row>
    <row r="25" spans="1:13" ht="24" customHeight="1" x14ac:dyDescent="0.25">
      <c r="A25" s="1783"/>
      <c r="B25" s="1796"/>
      <c r="C25" s="1783"/>
      <c r="E25" s="1784"/>
      <c r="F25" s="1784"/>
      <c r="H25" s="1791"/>
      <c r="I25" s="1797"/>
      <c r="J25" s="1795"/>
      <c r="K25" s="1788"/>
      <c r="L25" s="1788"/>
    </row>
    <row r="26" spans="1:13" ht="24" customHeight="1" x14ac:dyDescent="0.25">
      <c r="A26" s="1783"/>
      <c r="B26" s="1798"/>
      <c r="C26" s="1783"/>
      <c r="E26" s="1784"/>
      <c r="F26" s="1784"/>
      <c r="H26" s="1791"/>
      <c r="I26" s="1797"/>
      <c r="J26" s="1795"/>
      <c r="K26" s="1788"/>
      <c r="L26" s="1788"/>
    </row>
    <row r="27" spans="1:13" ht="24" customHeight="1" x14ac:dyDescent="0.25">
      <c r="A27" s="1783"/>
      <c r="C27" s="1783"/>
      <c r="E27" s="1784"/>
      <c r="F27" s="1784"/>
      <c r="H27" s="1797"/>
      <c r="I27" s="1797"/>
      <c r="J27" s="1799"/>
      <c r="K27" s="1788"/>
      <c r="L27" s="1788"/>
    </row>
    <row r="28" spans="1:13" ht="24" customHeight="1" x14ac:dyDescent="0.25">
      <c r="A28" s="1783"/>
      <c r="C28" s="1783"/>
      <c r="E28" s="1784"/>
      <c r="F28" s="1784"/>
      <c r="H28" s="1797"/>
      <c r="I28" s="1797"/>
      <c r="J28" s="1799"/>
      <c r="K28" s="1788"/>
      <c r="L28" s="1788"/>
    </row>
    <row r="29" spans="1:13" ht="24" customHeight="1" x14ac:dyDescent="0.25">
      <c r="A29" s="1783"/>
      <c r="C29" s="1783"/>
      <c r="E29" s="1784"/>
      <c r="F29" s="1784"/>
      <c r="H29" s="1797"/>
      <c r="I29" s="1797"/>
      <c r="K29" s="1788"/>
      <c r="L29" s="1788"/>
    </row>
    <row r="30" spans="1:13" ht="24" customHeight="1" x14ac:dyDescent="0.25">
      <c r="A30" s="1783"/>
      <c r="C30" s="1783"/>
      <c r="E30" s="1784"/>
      <c r="F30" s="1784"/>
      <c r="H30" s="1797"/>
      <c r="I30" s="1797"/>
      <c r="K30" s="1788"/>
      <c r="L30" s="1788"/>
    </row>
    <row r="31" spans="1:13" ht="24" customHeight="1" x14ac:dyDescent="0.25">
      <c r="A31" s="1797"/>
      <c r="B31" s="1796"/>
      <c r="C31" s="1783"/>
      <c r="E31" s="1783"/>
      <c r="F31" s="1784"/>
      <c r="G31" s="1789"/>
      <c r="H31" s="1797"/>
      <c r="K31" s="1800"/>
      <c r="L31" s="1800"/>
    </row>
    <row r="32" spans="1:13" ht="24" customHeight="1" x14ac:dyDescent="0.25">
      <c r="C32" s="1783"/>
      <c r="F32" s="1795"/>
      <c r="H32" s="1791"/>
      <c r="J32" s="1795"/>
      <c r="K32" s="1800"/>
      <c r="L32" s="1800"/>
    </row>
    <row r="33" spans="3:12" ht="24" customHeight="1" x14ac:dyDescent="0.25">
      <c r="C33" s="1783"/>
      <c r="E33" s="1718"/>
      <c r="F33" s="1795"/>
      <c r="H33" s="1791"/>
      <c r="J33" s="1783"/>
      <c r="K33" s="1801"/>
      <c r="L33" s="1801"/>
    </row>
    <row r="34" spans="3:12" ht="24" customHeight="1" x14ac:dyDescent="0.25">
      <c r="C34" s="1783"/>
      <c r="E34" s="1783"/>
      <c r="H34" s="1791"/>
      <c r="J34" s="1718"/>
      <c r="K34" s="1801"/>
      <c r="L34" s="1801"/>
    </row>
    <row r="35" spans="3:12" ht="24" customHeight="1" x14ac:dyDescent="0.25">
      <c r="E35" s="1718"/>
      <c r="F35" s="1784"/>
      <c r="J35" s="1718"/>
    </row>
    <row r="36" spans="3:12" ht="24" customHeight="1" x14ac:dyDescent="0.25">
      <c r="E36" s="1793"/>
      <c r="F36" s="1793"/>
      <c r="J36" s="1793"/>
    </row>
    <row r="37" spans="3:12" ht="24" customHeight="1" x14ac:dyDescent="0.25"/>
    <row r="38" spans="3:12" ht="24" customHeight="1" x14ac:dyDescent="0.25"/>
    <row r="39" spans="3:12" ht="24" customHeight="1" x14ac:dyDescent="0.25"/>
    <row r="40" spans="3:12" ht="24" customHeight="1" x14ac:dyDescent="0.25"/>
    <row r="41" spans="3:12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&amp;R&amp;"Times New Roman CE,Félkövér"&amp;16 1. melléklet  a .../2018. (........) önkormányzati rendelethez </oddHeader>
  </headerFooter>
  <colBreaks count="1" manualBreakCount="1">
    <brk id="5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21"/>
  <dimension ref="A1:F46"/>
  <sheetViews>
    <sheetView zoomScaleNormal="100" zoomScaleSheetLayoutView="75" workbookViewId="0">
      <selection activeCell="D3" sqref="D3"/>
    </sheetView>
  </sheetViews>
  <sheetFormatPr defaultColWidth="9.33203125" defaultRowHeight="15" customHeight="1" x14ac:dyDescent="0.2"/>
  <cols>
    <col min="1" max="1" width="17.33203125" style="5" customWidth="1"/>
    <col min="2" max="2" width="111.1640625" style="5" customWidth="1"/>
    <col min="3" max="6" width="22.33203125" style="5" customWidth="1"/>
    <col min="7" max="16384" width="9.33203125" style="5"/>
  </cols>
  <sheetData>
    <row r="1" spans="1:6" ht="15" customHeight="1" x14ac:dyDescent="0.25">
      <c r="B1" s="2634"/>
      <c r="C1" s="2634"/>
      <c r="D1" s="102"/>
    </row>
    <row r="2" spans="1:6" ht="27" customHeight="1" x14ac:dyDescent="0.3">
      <c r="B2" s="2635" t="s">
        <v>37</v>
      </c>
      <c r="C2" s="2635"/>
      <c r="D2" s="2636"/>
      <c r="E2" s="2636"/>
      <c r="F2" s="2636"/>
    </row>
    <row r="3" spans="1:6" ht="18" customHeight="1" x14ac:dyDescent="0.25">
      <c r="B3" s="102"/>
      <c r="C3" s="102"/>
      <c r="D3" s="102"/>
      <c r="E3" s="111"/>
      <c r="F3" s="111"/>
    </row>
    <row r="4" spans="1:6" ht="27" customHeight="1" thickBot="1" x14ac:dyDescent="0.25">
      <c r="B4" s="214" t="s">
        <v>250</v>
      </c>
      <c r="C4" s="78"/>
      <c r="D4" s="78"/>
      <c r="E4" s="78"/>
      <c r="F4" s="29" t="s">
        <v>32</v>
      </c>
    </row>
    <row r="5" spans="1:6" ht="27" customHeight="1" x14ac:dyDescent="0.25">
      <c r="A5" s="112"/>
      <c r="B5" s="107" t="s">
        <v>50</v>
      </c>
      <c r="C5" s="2633" t="s">
        <v>512</v>
      </c>
      <c r="D5" s="2633"/>
      <c r="E5" s="499" t="s">
        <v>662</v>
      </c>
      <c r="F5" s="39" t="s">
        <v>178</v>
      </c>
    </row>
    <row r="6" spans="1:6" ht="27" customHeight="1" thickBot="1" x14ac:dyDescent="0.3">
      <c r="B6" s="108"/>
      <c r="C6" s="110" t="s">
        <v>335</v>
      </c>
      <c r="D6" s="110" t="s">
        <v>176</v>
      </c>
      <c r="E6" s="64" t="s">
        <v>177</v>
      </c>
      <c r="F6" s="40" t="s">
        <v>179</v>
      </c>
    </row>
    <row r="7" spans="1:6" ht="39" customHeight="1" x14ac:dyDescent="0.2">
      <c r="B7" s="357" t="s">
        <v>419</v>
      </c>
      <c r="C7" s="420">
        <v>587605</v>
      </c>
      <c r="D7" s="420">
        <v>694060</v>
      </c>
      <c r="E7" s="210">
        <f>813844-E8-E9</f>
        <v>632569</v>
      </c>
      <c r="F7" s="448">
        <f>+E7/D7*100</f>
        <v>91.140391320635104</v>
      </c>
    </row>
    <row r="8" spans="1:6" ht="39" customHeight="1" x14ac:dyDescent="0.2">
      <c r="B8" s="347" t="s">
        <v>420</v>
      </c>
      <c r="C8" s="210">
        <v>90149</v>
      </c>
      <c r="D8" s="210">
        <v>152035</v>
      </c>
      <c r="E8" s="210">
        <v>152035</v>
      </c>
      <c r="F8" s="322">
        <f>+E8/D8*100</f>
        <v>100</v>
      </c>
    </row>
    <row r="9" spans="1:6" ht="39" customHeight="1" x14ac:dyDescent="0.2">
      <c r="B9" s="347" t="s">
        <v>1330</v>
      </c>
      <c r="C9" s="211"/>
      <c r="D9" s="211">
        <v>29240</v>
      </c>
      <c r="E9" s="211">
        <v>29240</v>
      </c>
      <c r="F9" s="448">
        <f>+E9/D9*100</f>
        <v>100</v>
      </c>
    </row>
    <row r="10" spans="1:6" ht="24.75" customHeight="1" thickBot="1" x14ac:dyDescent="0.3">
      <c r="B10" s="113" t="s">
        <v>1709</v>
      </c>
      <c r="C10" s="105">
        <f>SUM(C7:C9)</f>
        <v>677754</v>
      </c>
      <c r="D10" s="105">
        <f>SUM(D7:D9)</f>
        <v>875335</v>
      </c>
      <c r="E10" s="105">
        <f>SUM(E7:E9)</f>
        <v>813844</v>
      </c>
      <c r="F10" s="90">
        <f>+E10/D10*100</f>
        <v>92.975146658136595</v>
      </c>
    </row>
    <row r="11" spans="1:6" ht="24.75" customHeight="1" x14ac:dyDescent="0.25">
      <c r="B11" s="114" t="s">
        <v>244</v>
      </c>
      <c r="C11" s="74"/>
      <c r="D11" s="3"/>
      <c r="E11" s="74"/>
      <c r="F11" s="118"/>
    </row>
    <row r="12" spans="1:6" ht="24.75" customHeight="1" thickBot="1" x14ac:dyDescent="0.25">
      <c r="B12" s="95" t="s">
        <v>24</v>
      </c>
      <c r="C12" s="71"/>
      <c r="D12" s="71">
        <v>12916</v>
      </c>
      <c r="E12" s="71">
        <v>12374</v>
      </c>
      <c r="F12" s="323">
        <f>+E12/D12*100</f>
        <v>95.803654382161668</v>
      </c>
    </row>
    <row r="13" spans="1:6" ht="24.75" customHeight="1" thickBot="1" x14ac:dyDescent="0.3">
      <c r="B13" s="115" t="s">
        <v>245</v>
      </c>
      <c r="C13" s="70">
        <f>SUM(C12:C12)</f>
        <v>0</v>
      </c>
      <c r="D13" s="70">
        <f>SUM(D12:D12)</f>
        <v>12916</v>
      </c>
      <c r="E13" s="70">
        <f>SUM(E12:E12)</f>
        <v>12374</v>
      </c>
      <c r="F13" s="323">
        <f>+E13/D13*100</f>
        <v>95.803654382161668</v>
      </c>
    </row>
    <row r="14" spans="1:6" ht="24.75" customHeight="1" x14ac:dyDescent="0.2">
      <c r="A14" s="6"/>
      <c r="B14" s="114" t="s">
        <v>246</v>
      </c>
      <c r="C14" s="109"/>
      <c r="D14" s="93"/>
      <c r="E14" s="65"/>
      <c r="F14" s="372"/>
    </row>
    <row r="15" spans="1:6" ht="24.75" customHeight="1" x14ac:dyDescent="0.2">
      <c r="A15" s="6"/>
      <c r="B15" s="50" t="s">
        <v>148</v>
      </c>
      <c r="C15" s="68">
        <v>5000</v>
      </c>
      <c r="D15" s="68">
        <v>2240</v>
      </c>
      <c r="E15" s="49">
        <v>1260</v>
      </c>
      <c r="F15" s="418">
        <f t="shared" ref="F15:F27" si="0">+E15/D15*100</f>
        <v>56.25</v>
      </c>
    </row>
    <row r="16" spans="1:6" ht="24.75" customHeight="1" x14ac:dyDescent="0.2">
      <c r="A16" s="6"/>
      <c r="B16" s="347" t="s">
        <v>372</v>
      </c>
      <c r="C16" s="211">
        <v>120000</v>
      </c>
      <c r="D16" s="211">
        <v>122000</v>
      </c>
      <c r="E16" s="317">
        <v>122000</v>
      </c>
      <c r="F16" s="322">
        <f t="shared" si="0"/>
        <v>100</v>
      </c>
    </row>
    <row r="17" spans="1:6" ht="24.75" customHeight="1" x14ac:dyDescent="0.2">
      <c r="A17" s="6"/>
      <c r="B17" s="50" t="s">
        <v>274</v>
      </c>
      <c r="C17" s="68">
        <v>2210</v>
      </c>
      <c r="D17" s="68">
        <v>2210</v>
      </c>
      <c r="E17" s="49">
        <v>1948</v>
      </c>
      <c r="F17" s="373">
        <f t="shared" si="0"/>
        <v>88.144796380090497</v>
      </c>
    </row>
    <row r="18" spans="1:6" s="6" customFormat="1" ht="24.75" customHeight="1" x14ac:dyDescent="0.2">
      <c r="B18" s="95" t="s">
        <v>124</v>
      </c>
      <c r="C18" s="71">
        <v>118000</v>
      </c>
      <c r="D18" s="71">
        <v>146999</v>
      </c>
      <c r="E18" s="71">
        <v>140153</v>
      </c>
      <c r="F18" s="374">
        <f t="shared" si="0"/>
        <v>95.342825461397695</v>
      </c>
    </row>
    <row r="19" spans="1:6" ht="24.75" customHeight="1" x14ac:dyDescent="0.2">
      <c r="A19" s="6"/>
      <c r="B19" s="50" t="s">
        <v>114</v>
      </c>
      <c r="C19" s="68">
        <v>2000</v>
      </c>
      <c r="D19" s="68">
        <v>2479</v>
      </c>
      <c r="E19" s="49">
        <v>2380</v>
      </c>
      <c r="F19" s="373">
        <f t="shared" si="0"/>
        <v>96.006454215409448</v>
      </c>
    </row>
    <row r="20" spans="1:6" s="6" customFormat="1" ht="24.75" customHeight="1" x14ac:dyDescent="0.2">
      <c r="B20" s="50" t="s">
        <v>151</v>
      </c>
      <c r="C20" s="68"/>
      <c r="D20" s="68">
        <v>40</v>
      </c>
      <c r="E20" s="68">
        <v>38</v>
      </c>
      <c r="F20" s="374">
        <f t="shared" si="0"/>
        <v>95</v>
      </c>
    </row>
    <row r="21" spans="1:6" ht="24.75" customHeight="1" x14ac:dyDescent="0.2">
      <c r="A21" s="6"/>
      <c r="B21" s="50" t="s">
        <v>247</v>
      </c>
      <c r="C21" s="68">
        <v>2000</v>
      </c>
      <c r="D21" s="68">
        <v>0</v>
      </c>
      <c r="E21" s="49">
        <v>0</v>
      </c>
      <c r="F21" s="373"/>
    </row>
    <row r="22" spans="1:6" ht="24.75" customHeight="1" x14ac:dyDescent="0.2">
      <c r="B22" s="122" t="s">
        <v>81</v>
      </c>
      <c r="C22" s="68">
        <v>5000</v>
      </c>
      <c r="D22" s="68">
        <v>5000</v>
      </c>
      <c r="E22" s="49">
        <v>5000</v>
      </c>
      <c r="F22" s="373">
        <f t="shared" si="0"/>
        <v>100</v>
      </c>
    </row>
    <row r="23" spans="1:6" ht="24.75" customHeight="1" x14ac:dyDescent="0.2">
      <c r="A23" s="6"/>
      <c r="B23" s="50" t="s">
        <v>275</v>
      </c>
      <c r="C23" s="68">
        <v>4000</v>
      </c>
      <c r="D23" s="68">
        <v>4000</v>
      </c>
      <c r="E23" s="49">
        <v>4000</v>
      </c>
      <c r="F23" s="373">
        <f t="shared" si="0"/>
        <v>100</v>
      </c>
    </row>
    <row r="24" spans="1:6" ht="24.75" customHeight="1" x14ac:dyDescent="0.2">
      <c r="A24" s="6"/>
      <c r="B24" s="66" t="s">
        <v>373</v>
      </c>
      <c r="C24" s="68">
        <v>12000</v>
      </c>
      <c r="D24" s="68">
        <v>13705</v>
      </c>
      <c r="E24" s="68">
        <v>11488</v>
      </c>
      <c r="F24" s="373">
        <f t="shared" si="0"/>
        <v>83.823422108719441</v>
      </c>
    </row>
    <row r="25" spans="1:6" ht="24.75" customHeight="1" x14ac:dyDescent="0.2">
      <c r="A25" s="6"/>
      <c r="B25" s="66" t="s">
        <v>9</v>
      </c>
      <c r="C25" s="72">
        <v>42000</v>
      </c>
      <c r="D25" s="72">
        <v>37026</v>
      </c>
      <c r="E25" s="73">
        <v>31639</v>
      </c>
      <c r="F25" s="373">
        <f t="shared" si="0"/>
        <v>85.450764327769676</v>
      </c>
    </row>
    <row r="26" spans="1:6" ht="24.75" customHeight="1" x14ac:dyDescent="0.2">
      <c r="A26" s="6"/>
      <c r="B26" s="50" t="s">
        <v>82</v>
      </c>
      <c r="C26" s="68">
        <v>1500</v>
      </c>
      <c r="D26" s="68">
        <v>200</v>
      </c>
      <c r="E26" s="68">
        <v>102</v>
      </c>
      <c r="F26" s="373">
        <f t="shared" si="0"/>
        <v>51</v>
      </c>
    </row>
    <row r="27" spans="1:6" ht="24.75" customHeight="1" x14ac:dyDescent="0.2">
      <c r="B27" s="106" t="s">
        <v>273</v>
      </c>
      <c r="C27" s="72"/>
      <c r="D27" s="72">
        <v>3156</v>
      </c>
      <c r="E27" s="72">
        <v>1635</v>
      </c>
      <c r="F27" s="373">
        <f t="shared" si="0"/>
        <v>51.806083650190118</v>
      </c>
    </row>
    <row r="28" spans="1:6" ht="24.75" customHeight="1" x14ac:dyDescent="0.2">
      <c r="A28" s="6"/>
      <c r="B28" s="122" t="s">
        <v>430</v>
      </c>
      <c r="C28" s="68"/>
      <c r="D28" s="68">
        <v>1881</v>
      </c>
      <c r="E28" s="49">
        <v>0</v>
      </c>
      <c r="F28" s="373">
        <f>+E28/D28*100</f>
        <v>0</v>
      </c>
    </row>
    <row r="29" spans="1:6" ht="60" customHeight="1" thickBot="1" x14ac:dyDescent="0.25">
      <c r="B29" s="122" t="s">
        <v>360</v>
      </c>
      <c r="C29" s="416">
        <v>15000</v>
      </c>
      <c r="D29" s="416">
        <v>15000</v>
      </c>
      <c r="E29" s="2">
        <v>15000</v>
      </c>
      <c r="F29" s="417">
        <f>+E29/D29*100</f>
        <v>100</v>
      </c>
    </row>
    <row r="30" spans="1:6" ht="42" customHeight="1" thickBot="1" x14ac:dyDescent="0.3">
      <c r="B30" s="116" t="s">
        <v>248</v>
      </c>
      <c r="C30" s="70">
        <f>SUM(C15:C29)</f>
        <v>328710</v>
      </c>
      <c r="D30" s="70">
        <f>SUM(D15:D29)</f>
        <v>355936</v>
      </c>
      <c r="E30" s="70">
        <f>SUM(E15:E29)</f>
        <v>336643</v>
      </c>
      <c r="F30" s="91">
        <f>+E30/D30*100</f>
        <v>94.579643531421382</v>
      </c>
    </row>
    <row r="31" spans="1:6" ht="27" customHeight="1" thickBot="1" x14ac:dyDescent="0.3">
      <c r="B31" s="23" t="s">
        <v>255</v>
      </c>
      <c r="C31" s="104">
        <f>C30+C13</f>
        <v>328710</v>
      </c>
      <c r="D31" s="104">
        <f>D30+D13</f>
        <v>368852</v>
      </c>
      <c r="E31" s="104">
        <f>E30+E13</f>
        <v>349017</v>
      </c>
      <c r="F31" s="91">
        <f>+E31/D31*100</f>
        <v>94.622504419116609</v>
      </c>
    </row>
    <row r="32" spans="1:6" s="8" customFormat="1" ht="27" customHeight="1" thickBot="1" x14ac:dyDescent="0.3">
      <c r="B32" s="117" t="s">
        <v>256</v>
      </c>
      <c r="C32" s="70">
        <f>C10+C31</f>
        <v>1006464</v>
      </c>
      <c r="D32" s="70">
        <f>D10+D31</f>
        <v>1244187</v>
      </c>
      <c r="E32" s="70">
        <f>E10+E31</f>
        <v>1162861</v>
      </c>
      <c r="F32" s="91">
        <f>+E32/D32*100</f>
        <v>93.463522766272277</v>
      </c>
    </row>
    <row r="33" spans="2:6" ht="27" customHeight="1" x14ac:dyDescent="0.2"/>
    <row r="34" spans="2:6" ht="27" customHeight="1" thickBot="1" x14ac:dyDescent="0.25">
      <c r="B34" s="449" t="s">
        <v>33</v>
      </c>
    </row>
    <row r="35" spans="2:6" ht="27" customHeight="1" x14ac:dyDescent="0.25">
      <c r="B35" s="107" t="s">
        <v>50</v>
      </c>
      <c r="C35" s="2633" t="s">
        <v>512</v>
      </c>
      <c r="D35" s="2633"/>
      <c r="E35" s="499" t="s">
        <v>662</v>
      </c>
      <c r="F35" s="39" t="s">
        <v>178</v>
      </c>
    </row>
    <row r="36" spans="2:6" ht="27" customHeight="1" thickBot="1" x14ac:dyDescent="0.3">
      <c r="B36" s="213"/>
      <c r="C36" s="51" t="s">
        <v>335</v>
      </c>
      <c r="D36" s="51" t="s">
        <v>176</v>
      </c>
      <c r="E36" s="64" t="s">
        <v>177</v>
      </c>
      <c r="F36" s="40" t="s">
        <v>179</v>
      </c>
    </row>
    <row r="37" spans="2:6" ht="42.75" customHeight="1" x14ac:dyDescent="0.25">
      <c r="B37" s="452" t="s">
        <v>421</v>
      </c>
      <c r="C37" s="210"/>
      <c r="D37" s="210">
        <v>19186</v>
      </c>
      <c r="E37" s="210">
        <f>14759-E38</f>
        <v>6244</v>
      </c>
      <c r="F37" s="455">
        <f>+E37/D37*100</f>
        <v>32.544563744396953</v>
      </c>
    </row>
    <row r="38" spans="2:6" ht="42.75" customHeight="1" thickBot="1" x14ac:dyDescent="0.3">
      <c r="B38" s="453" t="s">
        <v>601</v>
      </c>
      <c r="C38" s="454"/>
      <c r="D38" s="454">
        <v>9515</v>
      </c>
      <c r="E38" s="454">
        <v>8515</v>
      </c>
      <c r="F38" s="455">
        <f>+E38/D38*100</f>
        <v>89.49027850761955</v>
      </c>
    </row>
    <row r="39" spans="2:6" ht="27" customHeight="1" thickBot="1" x14ac:dyDescent="0.3">
      <c r="B39" s="24" t="s">
        <v>1710</v>
      </c>
      <c r="C39" s="133">
        <f>C38+C37</f>
        <v>0</v>
      </c>
      <c r="D39" s="133">
        <f>D38+D37</f>
        <v>28701</v>
      </c>
      <c r="E39" s="133">
        <f>E38+E37</f>
        <v>14759</v>
      </c>
      <c r="F39" s="371">
        <f>+E39/D39*100</f>
        <v>51.423295355562523</v>
      </c>
    </row>
    <row r="40" spans="2:6" ht="27" customHeight="1" thickBot="1" x14ac:dyDescent="0.25">
      <c r="B40" s="375"/>
      <c r="C40" s="4"/>
      <c r="D40" s="4"/>
      <c r="E40" s="4"/>
      <c r="F40" s="376"/>
    </row>
    <row r="41" spans="2:6" ht="27" customHeight="1" thickBot="1" x14ac:dyDescent="0.3">
      <c r="B41" s="191" t="s">
        <v>21</v>
      </c>
      <c r="C41" s="450">
        <f>+C32+C39</f>
        <v>1006464</v>
      </c>
      <c r="D41" s="450">
        <f>+D32+D39</f>
        <v>1272888</v>
      </c>
      <c r="E41" s="450">
        <f>+E32+E39</f>
        <v>1177620</v>
      </c>
      <c r="F41" s="91">
        <f>+E41/D41*100</f>
        <v>92.515602315364745</v>
      </c>
    </row>
    <row r="46" spans="2:6" ht="15" customHeight="1" x14ac:dyDescent="0.2">
      <c r="B46" s="451"/>
    </row>
  </sheetData>
  <mergeCells count="4">
    <mergeCell ref="B1:C1"/>
    <mergeCell ref="B2:F2"/>
    <mergeCell ref="C5:D5"/>
    <mergeCell ref="C35:D35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0" orientation="portrait" r:id="rId1"/>
  <headerFooter alignWithMargins="0">
    <oddHeader>&amp;R&amp;"Arial,Félkövér"&amp;14 10. melléklet a …../2018. (…….)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/>
  <dimension ref="A1:F48"/>
  <sheetViews>
    <sheetView zoomScaleNormal="100" workbookViewId="0">
      <selection activeCell="P7" sqref="P7"/>
    </sheetView>
  </sheetViews>
  <sheetFormatPr defaultColWidth="9.33203125" defaultRowHeight="15" customHeight="1" x14ac:dyDescent="0.2"/>
  <cols>
    <col min="1" max="1" width="11.5" style="86" bestFit="1" customWidth="1"/>
    <col min="2" max="2" width="111.83203125" style="7" customWidth="1"/>
    <col min="3" max="6" width="22.1640625" style="7" customWidth="1"/>
    <col min="7" max="16384" width="9.33203125" style="7"/>
  </cols>
  <sheetData>
    <row r="1" spans="1:6" ht="15" customHeight="1" x14ac:dyDescent="0.25">
      <c r="B1" s="2628"/>
      <c r="C1" s="2628"/>
    </row>
    <row r="2" spans="1:6" ht="24" customHeight="1" x14ac:dyDescent="0.3">
      <c r="B2" s="2635" t="s">
        <v>38</v>
      </c>
      <c r="C2" s="2635"/>
      <c r="D2" s="2636"/>
      <c r="E2" s="2636"/>
      <c r="F2" s="2636"/>
    </row>
    <row r="3" spans="1:6" ht="15" customHeight="1" x14ac:dyDescent="0.25">
      <c r="B3" s="12"/>
      <c r="C3" s="12"/>
    </row>
    <row r="4" spans="1:6" ht="22.5" customHeight="1" thickBot="1" x14ac:dyDescent="0.25">
      <c r="B4" s="214" t="s">
        <v>250</v>
      </c>
      <c r="C4" s="17"/>
      <c r="D4" s="17"/>
      <c r="E4" s="17"/>
      <c r="F4" s="14" t="s">
        <v>32</v>
      </c>
    </row>
    <row r="5" spans="1:6" ht="22.5" customHeight="1" x14ac:dyDescent="0.25">
      <c r="B5" s="411" t="s">
        <v>50</v>
      </c>
      <c r="C5" s="2637" t="s">
        <v>512</v>
      </c>
      <c r="D5" s="2638"/>
      <c r="E5" s="499" t="s">
        <v>662</v>
      </c>
      <c r="F5" s="39" t="s">
        <v>178</v>
      </c>
    </row>
    <row r="6" spans="1:6" ht="22.5" customHeight="1" thickBot="1" x14ac:dyDescent="0.3">
      <c r="B6" s="481"/>
      <c r="C6" s="51" t="s">
        <v>335</v>
      </c>
      <c r="D6" s="51" t="s">
        <v>176</v>
      </c>
      <c r="E6" s="64" t="s">
        <v>177</v>
      </c>
      <c r="F6" s="40" t="s">
        <v>179</v>
      </c>
    </row>
    <row r="7" spans="1:6" s="9" customFormat="1" ht="44.25" customHeight="1" x14ac:dyDescent="0.25">
      <c r="A7" s="87"/>
      <c r="B7" s="422" t="s">
        <v>54</v>
      </c>
      <c r="C7" s="339">
        <v>249685</v>
      </c>
      <c r="D7" s="339">
        <v>260711</v>
      </c>
      <c r="E7" s="339">
        <f>531753-E8-E9</f>
        <v>243072</v>
      </c>
      <c r="F7" s="448">
        <f t="shared" ref="F7:F26" si="0">+E7/D7*100</f>
        <v>93.234270897660636</v>
      </c>
    </row>
    <row r="8" spans="1:6" s="9" customFormat="1" ht="54" customHeight="1" x14ac:dyDescent="0.25">
      <c r="A8" s="87"/>
      <c r="B8" s="422" t="s">
        <v>55</v>
      </c>
      <c r="C8" s="339">
        <v>252838</v>
      </c>
      <c r="D8" s="339">
        <v>262949</v>
      </c>
      <c r="E8" s="210">
        <v>262949</v>
      </c>
      <c r="F8" s="448">
        <f t="shared" si="0"/>
        <v>100</v>
      </c>
    </row>
    <row r="9" spans="1:6" s="9" customFormat="1" ht="44.25" customHeight="1" thickBot="1" x14ac:dyDescent="0.3">
      <c r="A9" s="87"/>
      <c r="B9" s="347" t="s">
        <v>602</v>
      </c>
      <c r="C9" s="211"/>
      <c r="D9" s="211">
        <v>25732</v>
      </c>
      <c r="E9" s="211">
        <v>25732</v>
      </c>
      <c r="F9" s="448">
        <f t="shared" si="0"/>
        <v>100</v>
      </c>
    </row>
    <row r="10" spans="1:6" s="9" customFormat="1" ht="22.5" customHeight="1" thickBot="1" x14ac:dyDescent="0.3">
      <c r="A10" s="87"/>
      <c r="B10" s="24" t="s">
        <v>1711</v>
      </c>
      <c r="C10" s="216">
        <f>SUM(C7:C9)</f>
        <v>502523</v>
      </c>
      <c r="D10" s="70">
        <f>SUM(D7:D9)</f>
        <v>549392</v>
      </c>
      <c r="E10" s="216">
        <f>SUM(E7:E9)</f>
        <v>531753</v>
      </c>
      <c r="F10" s="62">
        <f t="shared" si="0"/>
        <v>96.789359874188193</v>
      </c>
    </row>
    <row r="11" spans="1:6" ht="22.5" customHeight="1" x14ac:dyDescent="0.2">
      <c r="A11" s="419"/>
      <c r="B11" s="480" t="s">
        <v>83</v>
      </c>
      <c r="C11" s="420">
        <v>11770</v>
      </c>
      <c r="D11" s="420">
        <v>0</v>
      </c>
      <c r="E11" s="339"/>
      <c r="F11" s="448"/>
    </row>
    <row r="12" spans="1:6" s="11" customFormat="1" ht="22.5" customHeight="1" x14ac:dyDescent="0.2">
      <c r="A12" s="464"/>
      <c r="B12" s="95" t="s">
        <v>374</v>
      </c>
      <c r="C12" s="71">
        <v>1500</v>
      </c>
      <c r="D12" s="71">
        <v>2500</v>
      </c>
      <c r="E12" s="71">
        <v>210</v>
      </c>
      <c r="F12" s="80">
        <f t="shared" si="0"/>
        <v>8.4</v>
      </c>
    </row>
    <row r="13" spans="1:6" ht="22.5" customHeight="1" x14ac:dyDescent="0.2">
      <c r="B13" s="412" t="s">
        <v>98</v>
      </c>
      <c r="C13" s="67">
        <v>2000</v>
      </c>
      <c r="D13" s="67">
        <v>0</v>
      </c>
      <c r="E13" s="67">
        <v>0</v>
      </c>
      <c r="F13" s="80"/>
    </row>
    <row r="14" spans="1:6" ht="22.5" customHeight="1" x14ac:dyDescent="0.2">
      <c r="B14" s="50" t="s">
        <v>120</v>
      </c>
      <c r="C14" s="49">
        <v>1500</v>
      </c>
      <c r="D14" s="49">
        <v>0</v>
      </c>
      <c r="E14" s="49">
        <v>0</v>
      </c>
      <c r="F14" s="80"/>
    </row>
    <row r="15" spans="1:6" ht="22.5" customHeight="1" x14ac:dyDescent="0.2">
      <c r="B15" s="50" t="s">
        <v>121</v>
      </c>
      <c r="C15" s="49">
        <v>700</v>
      </c>
      <c r="D15" s="49">
        <v>700</v>
      </c>
      <c r="E15" s="49">
        <v>390</v>
      </c>
      <c r="F15" s="80">
        <f t="shared" si="0"/>
        <v>55.714285714285715</v>
      </c>
    </row>
    <row r="16" spans="1:6" ht="22.5" customHeight="1" x14ac:dyDescent="0.2">
      <c r="B16" s="50" t="s">
        <v>276</v>
      </c>
      <c r="C16" s="49">
        <v>3000</v>
      </c>
      <c r="D16" s="49">
        <v>3000</v>
      </c>
      <c r="E16" s="49">
        <v>2592</v>
      </c>
      <c r="F16" s="80">
        <f t="shared" si="0"/>
        <v>86.4</v>
      </c>
    </row>
    <row r="17" spans="1:6" ht="22.5" customHeight="1" x14ac:dyDescent="0.2">
      <c r="B17" s="50" t="s">
        <v>102</v>
      </c>
      <c r="C17" s="49">
        <v>2000</v>
      </c>
      <c r="D17" s="49">
        <v>2000</v>
      </c>
      <c r="E17" s="49">
        <v>2000</v>
      </c>
      <c r="F17" s="80">
        <f t="shared" si="0"/>
        <v>100</v>
      </c>
    </row>
    <row r="18" spans="1:6" ht="22.5" customHeight="1" x14ac:dyDescent="0.2">
      <c r="B18" s="50" t="s">
        <v>122</v>
      </c>
      <c r="C18" s="49">
        <v>3000</v>
      </c>
      <c r="D18" s="49">
        <v>0</v>
      </c>
      <c r="E18" s="49">
        <v>0</v>
      </c>
      <c r="F18" s="80"/>
    </row>
    <row r="19" spans="1:6" ht="39.75" customHeight="1" x14ac:dyDescent="0.2">
      <c r="B19" s="122" t="s">
        <v>84</v>
      </c>
      <c r="C19" s="49">
        <v>2000</v>
      </c>
      <c r="D19" s="49">
        <v>2000</v>
      </c>
      <c r="E19" s="49">
        <v>2000</v>
      </c>
      <c r="F19" s="80">
        <f t="shared" si="0"/>
        <v>100</v>
      </c>
    </row>
    <row r="20" spans="1:6" ht="22.5" customHeight="1" x14ac:dyDescent="0.2">
      <c r="B20" s="212" t="s">
        <v>403</v>
      </c>
      <c r="C20" s="211">
        <v>34334</v>
      </c>
      <c r="D20" s="211">
        <v>34334</v>
      </c>
      <c r="E20" s="211">
        <v>34334</v>
      </c>
      <c r="F20" s="448">
        <f t="shared" si="0"/>
        <v>100</v>
      </c>
    </row>
    <row r="21" spans="1:6" ht="22.5" customHeight="1" x14ac:dyDescent="0.2">
      <c r="B21" s="50" t="s">
        <v>137</v>
      </c>
      <c r="C21" s="49">
        <v>3000</v>
      </c>
      <c r="D21" s="49">
        <v>3000</v>
      </c>
      <c r="E21" s="68">
        <v>2950</v>
      </c>
      <c r="F21" s="80">
        <f t="shared" si="0"/>
        <v>98.333333333333329</v>
      </c>
    </row>
    <row r="22" spans="1:6" ht="51" customHeight="1" x14ac:dyDescent="0.2">
      <c r="B22" s="343" t="s">
        <v>303</v>
      </c>
      <c r="C22" s="73">
        <v>160</v>
      </c>
      <c r="D22" s="73">
        <v>160</v>
      </c>
      <c r="E22" s="72">
        <v>160</v>
      </c>
      <c r="F22" s="80">
        <f t="shared" si="0"/>
        <v>100</v>
      </c>
    </row>
    <row r="23" spans="1:6" ht="22.5" customHeight="1" x14ac:dyDescent="0.2">
      <c r="B23" s="50" t="s">
        <v>375</v>
      </c>
      <c r="C23" s="49">
        <v>15000</v>
      </c>
      <c r="D23" s="49">
        <v>29651</v>
      </c>
      <c r="E23" s="68">
        <v>8042</v>
      </c>
      <c r="F23" s="80">
        <f t="shared" si="0"/>
        <v>27.122188121817135</v>
      </c>
    </row>
    <row r="24" spans="1:6" ht="22.5" customHeight="1" x14ac:dyDescent="0.2">
      <c r="B24" s="391" t="s">
        <v>603</v>
      </c>
      <c r="C24" s="2"/>
      <c r="D24" s="2">
        <v>500</v>
      </c>
      <c r="E24" s="41">
        <v>500</v>
      </c>
      <c r="F24" s="315">
        <f t="shared" si="0"/>
        <v>100</v>
      </c>
    </row>
    <row r="25" spans="1:6" ht="22.5" customHeight="1" thickBot="1" x14ac:dyDescent="0.3">
      <c r="B25" s="19" t="s">
        <v>257</v>
      </c>
      <c r="C25" s="54">
        <f>SUM(C11:C24)</f>
        <v>79964</v>
      </c>
      <c r="D25" s="105">
        <f>SUM(D11:D24)</f>
        <v>77845</v>
      </c>
      <c r="E25" s="54">
        <f>SUM(E11:E24)</f>
        <v>53178</v>
      </c>
      <c r="F25" s="324">
        <f t="shared" si="0"/>
        <v>68.312672618665289</v>
      </c>
    </row>
    <row r="26" spans="1:6" s="9" customFormat="1" ht="22.5" customHeight="1" thickBot="1" x14ac:dyDescent="0.3">
      <c r="A26" s="87"/>
      <c r="B26" s="20" t="s">
        <v>258</v>
      </c>
      <c r="C26" s="55">
        <f>+C10+C25</f>
        <v>582487</v>
      </c>
      <c r="D26" s="104">
        <f>+D10+D25</f>
        <v>627237</v>
      </c>
      <c r="E26" s="55">
        <f>+E10+E25</f>
        <v>584931</v>
      </c>
      <c r="F26" s="134">
        <f t="shared" si="0"/>
        <v>93.255181055964485</v>
      </c>
    </row>
    <row r="28" spans="1:6" ht="23.25" customHeight="1" thickBot="1" x14ac:dyDescent="0.35">
      <c r="B28" s="188" t="s">
        <v>33</v>
      </c>
      <c r="C28" s="127"/>
      <c r="D28" s="127"/>
      <c r="E28" s="127"/>
      <c r="F28" s="14" t="s">
        <v>32</v>
      </c>
    </row>
    <row r="29" spans="1:6" ht="22.5" customHeight="1" x14ac:dyDescent="0.25">
      <c r="B29" s="501" t="s">
        <v>50</v>
      </c>
      <c r="C29" s="2637" t="s">
        <v>512</v>
      </c>
      <c r="D29" s="2633"/>
      <c r="E29" s="499" t="s">
        <v>662</v>
      </c>
      <c r="F29" s="39" t="s">
        <v>178</v>
      </c>
    </row>
    <row r="30" spans="1:6" ht="22.5" customHeight="1" thickBot="1" x14ac:dyDescent="0.3">
      <c r="B30" s="85"/>
      <c r="C30" s="51" t="s">
        <v>335</v>
      </c>
      <c r="D30" s="51" t="s">
        <v>176</v>
      </c>
      <c r="E30" s="64" t="s">
        <v>177</v>
      </c>
      <c r="F30" s="40" t="s">
        <v>179</v>
      </c>
    </row>
    <row r="31" spans="1:6" s="342" customFormat="1" ht="56.25" customHeight="1" x14ac:dyDescent="0.2">
      <c r="A31" s="345"/>
      <c r="B31" s="402" t="s">
        <v>441</v>
      </c>
      <c r="C31" s="456">
        <v>1990</v>
      </c>
      <c r="D31" s="457">
        <v>5113</v>
      </c>
      <c r="E31" s="457">
        <v>5113</v>
      </c>
      <c r="F31" s="352">
        <f>+E31/D31*100</f>
        <v>100</v>
      </c>
    </row>
    <row r="32" spans="1:6" s="342" customFormat="1" ht="44.25" customHeight="1" x14ac:dyDescent="0.25">
      <c r="A32" s="345"/>
      <c r="B32" s="401" t="s">
        <v>604</v>
      </c>
      <c r="C32" s="458"/>
      <c r="D32" s="459">
        <v>4417</v>
      </c>
      <c r="E32" s="459">
        <v>4417</v>
      </c>
      <c r="F32" s="220">
        <f>+E32/D32*100</f>
        <v>100</v>
      </c>
    </row>
    <row r="33" spans="1:6" s="342" customFormat="1" ht="44.25" customHeight="1" thickBot="1" x14ac:dyDescent="0.25">
      <c r="A33" s="345"/>
      <c r="B33" s="400" t="s">
        <v>440</v>
      </c>
      <c r="C33" s="454">
        <v>3139</v>
      </c>
      <c r="D33" s="460">
        <v>98840</v>
      </c>
      <c r="E33" s="454">
        <f>15203-E31-E32</f>
        <v>5673</v>
      </c>
      <c r="F33" s="352">
        <f>+E33/D33*100</f>
        <v>5.7395791177660866</v>
      </c>
    </row>
    <row r="34" spans="1:6" ht="22.5" customHeight="1" thickBot="1" x14ac:dyDescent="0.3">
      <c r="B34" s="24" t="s">
        <v>1712</v>
      </c>
      <c r="C34" s="320">
        <f>SUM(C31:C33)</f>
        <v>5129</v>
      </c>
      <c r="D34" s="133">
        <f>SUM(D31:D33)</f>
        <v>108370</v>
      </c>
      <c r="E34" s="133">
        <f>SUM(E31:E33)</f>
        <v>15203</v>
      </c>
      <c r="F34" s="341">
        <f>+E34/D34*100</f>
        <v>14.028790255605795</v>
      </c>
    </row>
    <row r="35" spans="1:6" ht="22.5" customHeight="1" thickBot="1" x14ac:dyDescent="0.3">
      <c r="B35" s="207"/>
      <c r="C35" s="190"/>
      <c r="D35" s="190"/>
      <c r="E35" s="215"/>
      <c r="F35" s="663"/>
    </row>
    <row r="36" spans="1:6" ht="22.5" customHeight="1" thickBot="1" x14ac:dyDescent="0.3">
      <c r="B36" s="191" t="s">
        <v>18</v>
      </c>
      <c r="C36" s="192">
        <f>+C26+C34</f>
        <v>587616</v>
      </c>
      <c r="D36" s="192">
        <f>+D26+D34</f>
        <v>735607</v>
      </c>
      <c r="E36" s="192">
        <f>+E26+E34</f>
        <v>600134</v>
      </c>
      <c r="F36" s="319">
        <f>+E36/D36*100</f>
        <v>81.583508585426728</v>
      </c>
    </row>
    <row r="38" spans="1:6" ht="15" customHeight="1" x14ac:dyDescent="0.2">
      <c r="E38" s="5"/>
    </row>
    <row r="39" spans="1:6" ht="15" customHeight="1" x14ac:dyDescent="0.2">
      <c r="E39" s="5"/>
    </row>
    <row r="40" spans="1:6" ht="15" customHeight="1" x14ac:dyDescent="0.2">
      <c r="E40" s="5"/>
    </row>
    <row r="48" spans="1:6" ht="15" customHeight="1" x14ac:dyDescent="0.2">
      <c r="B48" s="344"/>
    </row>
  </sheetData>
  <mergeCells count="4">
    <mergeCell ref="B1:C1"/>
    <mergeCell ref="C5:D5"/>
    <mergeCell ref="B2:F2"/>
    <mergeCell ref="C29:D29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60" orientation="portrait" verticalDpi="300" r:id="rId1"/>
  <headerFooter alignWithMargins="0">
    <oddHeader xml:space="preserve">&amp;R&amp;"Arial,Félkövér"&amp;14 11. melléklet a …../2018. (…….) önkormányzati rendelethez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9"/>
  <dimension ref="A1:G48"/>
  <sheetViews>
    <sheetView zoomScaleNormal="100" workbookViewId="0">
      <selection activeCell="R5" sqref="R5"/>
    </sheetView>
  </sheetViews>
  <sheetFormatPr defaultColWidth="9.33203125" defaultRowHeight="15" customHeight="1" x14ac:dyDescent="0.2"/>
  <cols>
    <col min="1" max="1" width="17.83203125" style="86" customWidth="1"/>
    <col min="2" max="2" width="103.83203125" style="7" customWidth="1"/>
    <col min="3" max="3" width="22.33203125" style="7" customWidth="1"/>
    <col min="4" max="5" width="22.33203125" style="5" customWidth="1"/>
    <col min="6" max="6" width="22.33203125" style="7" customWidth="1"/>
    <col min="7" max="7" width="9.6640625" style="7" bestFit="1" customWidth="1"/>
    <col min="8" max="16384" width="9.33203125" style="7"/>
  </cols>
  <sheetData>
    <row r="1" spans="1:6" ht="15" customHeight="1" x14ac:dyDescent="0.25">
      <c r="B1" s="2628"/>
      <c r="C1" s="2628"/>
    </row>
    <row r="2" spans="1:6" ht="30.75" customHeight="1" x14ac:dyDescent="0.3">
      <c r="B2" s="2639" t="s">
        <v>52</v>
      </c>
      <c r="C2" s="2639"/>
      <c r="D2" s="2639"/>
      <c r="E2" s="2639"/>
      <c r="F2" s="2639"/>
    </row>
    <row r="4" spans="1:6" ht="24" customHeight="1" thickBot="1" x14ac:dyDescent="0.25">
      <c r="B4" s="214" t="s">
        <v>250</v>
      </c>
      <c r="C4" s="17"/>
      <c r="D4" s="78"/>
      <c r="E4" s="78"/>
      <c r="F4" s="14" t="s">
        <v>32</v>
      </c>
    </row>
    <row r="5" spans="1:6" ht="24" customHeight="1" x14ac:dyDescent="0.25">
      <c r="B5" s="411" t="s">
        <v>97</v>
      </c>
      <c r="C5" s="2637" t="s">
        <v>512</v>
      </c>
      <c r="D5" s="2638"/>
      <c r="E5" s="499" t="s">
        <v>662</v>
      </c>
      <c r="F5" s="39" t="s">
        <v>178</v>
      </c>
    </row>
    <row r="6" spans="1:6" ht="24" customHeight="1" thickBot="1" x14ac:dyDescent="0.3">
      <c r="B6" s="664"/>
      <c r="C6" s="51" t="s">
        <v>335</v>
      </c>
      <c r="D6" s="77" t="s">
        <v>176</v>
      </c>
      <c r="E6" s="64" t="s">
        <v>177</v>
      </c>
      <c r="F6" s="40" t="s">
        <v>179</v>
      </c>
    </row>
    <row r="7" spans="1:6" ht="39.950000000000003" customHeight="1" x14ac:dyDescent="0.2">
      <c r="B7" s="480" t="s">
        <v>56</v>
      </c>
      <c r="C7" s="420">
        <v>611903</v>
      </c>
      <c r="D7" s="420">
        <v>684289</v>
      </c>
      <c r="E7" s="210">
        <f>693246-E8-E9</f>
        <v>649358</v>
      </c>
      <c r="F7" s="448">
        <f t="shared" ref="F7:F15" si="0">+E7/D7*100</f>
        <v>94.895285471489387</v>
      </c>
    </row>
    <row r="8" spans="1:6" ht="39.950000000000003" customHeight="1" x14ac:dyDescent="0.2">
      <c r="B8" s="424" t="s">
        <v>57</v>
      </c>
      <c r="C8" s="210">
        <v>37961</v>
      </c>
      <c r="D8" s="210">
        <v>42848</v>
      </c>
      <c r="E8" s="210">
        <v>42848</v>
      </c>
      <c r="F8" s="322">
        <f t="shared" si="0"/>
        <v>100</v>
      </c>
    </row>
    <row r="9" spans="1:6" ht="39.950000000000003" customHeight="1" thickBot="1" x14ac:dyDescent="0.25">
      <c r="B9" s="425" t="s">
        <v>605</v>
      </c>
      <c r="C9" s="211"/>
      <c r="D9" s="211">
        <v>1040</v>
      </c>
      <c r="E9" s="211">
        <v>1040</v>
      </c>
      <c r="F9" s="448">
        <f t="shared" si="0"/>
        <v>100</v>
      </c>
    </row>
    <row r="10" spans="1:6" ht="24" customHeight="1" thickBot="1" x14ac:dyDescent="0.3">
      <c r="B10" s="24" t="s">
        <v>1713</v>
      </c>
      <c r="C10" s="216">
        <f>SUM(C7:C9)</f>
        <v>649864</v>
      </c>
      <c r="D10" s="70">
        <f>SUM(D7:D9)</f>
        <v>728177</v>
      </c>
      <c r="E10" s="216">
        <f>SUM(E7:E9)</f>
        <v>693246</v>
      </c>
      <c r="F10" s="62">
        <f t="shared" si="0"/>
        <v>95.20295202952029</v>
      </c>
    </row>
    <row r="11" spans="1:6" ht="24" customHeight="1" x14ac:dyDescent="0.2">
      <c r="B11" s="217" t="s">
        <v>29</v>
      </c>
      <c r="C11" s="210">
        <v>300</v>
      </c>
      <c r="D11" s="210">
        <v>0</v>
      </c>
      <c r="E11" s="210">
        <v>0</v>
      </c>
      <c r="F11" s="322"/>
    </row>
    <row r="12" spans="1:6" s="11" customFormat="1" ht="24" customHeight="1" x14ac:dyDescent="0.2">
      <c r="A12" s="88"/>
      <c r="B12" s="50" t="s">
        <v>89</v>
      </c>
      <c r="C12" s="48">
        <v>255</v>
      </c>
      <c r="D12" s="48">
        <v>255</v>
      </c>
      <c r="E12" s="48">
        <v>244</v>
      </c>
      <c r="F12" s="318">
        <f t="shared" si="0"/>
        <v>95.686274509803923</v>
      </c>
    </row>
    <row r="13" spans="1:6" ht="69" customHeight="1" thickBot="1" x14ac:dyDescent="0.25">
      <c r="B13" s="106" t="s">
        <v>207</v>
      </c>
      <c r="C13" s="42">
        <v>3000</v>
      </c>
      <c r="D13" s="42">
        <v>3000</v>
      </c>
      <c r="E13" s="42">
        <v>3000</v>
      </c>
      <c r="F13" s="80">
        <f t="shared" si="0"/>
        <v>100</v>
      </c>
    </row>
    <row r="14" spans="1:6" ht="24.75" customHeight="1" thickBot="1" x14ac:dyDescent="0.3">
      <c r="B14" s="24" t="s">
        <v>252</v>
      </c>
      <c r="C14" s="158">
        <f>SUM(C11:C13)</f>
        <v>3555</v>
      </c>
      <c r="D14" s="665">
        <f>SUM(D11:D13)</f>
        <v>3255</v>
      </c>
      <c r="E14" s="158">
        <f>SUM(E11:E13)</f>
        <v>3244</v>
      </c>
      <c r="F14" s="134">
        <f t="shared" si="0"/>
        <v>99.662058371735796</v>
      </c>
    </row>
    <row r="15" spans="1:6" ht="24" customHeight="1" thickBot="1" x14ac:dyDescent="0.3">
      <c r="B15" s="15" t="s">
        <v>253</v>
      </c>
      <c r="C15" s="55">
        <f>+C10+C14</f>
        <v>653419</v>
      </c>
      <c r="D15" s="104">
        <f>+D10+D14</f>
        <v>731432</v>
      </c>
      <c r="E15" s="55">
        <f>+E10+E14</f>
        <v>696490</v>
      </c>
      <c r="F15" s="62">
        <f t="shared" si="0"/>
        <v>95.222795830644543</v>
      </c>
    </row>
    <row r="16" spans="1:6" ht="20.100000000000001" customHeight="1" x14ac:dyDescent="0.25">
      <c r="B16" s="18"/>
      <c r="C16" s="3"/>
      <c r="D16" s="3"/>
      <c r="E16" s="3"/>
      <c r="F16" s="89"/>
    </row>
    <row r="17" spans="2:7" ht="24.75" customHeight="1" thickBot="1" x14ac:dyDescent="0.3">
      <c r="B17" s="214" t="s">
        <v>33</v>
      </c>
      <c r="C17" s="3"/>
      <c r="D17" s="3"/>
      <c r="E17" s="3"/>
      <c r="F17" s="89"/>
    </row>
    <row r="18" spans="2:7" ht="24.75" customHeight="1" x14ac:dyDescent="0.25">
      <c r="B18" s="501" t="s">
        <v>50</v>
      </c>
      <c r="C18" s="2637" t="s">
        <v>512</v>
      </c>
      <c r="D18" s="2638"/>
      <c r="E18" s="500" t="s">
        <v>662</v>
      </c>
      <c r="F18" s="39" t="s">
        <v>178</v>
      </c>
    </row>
    <row r="19" spans="2:7" ht="24.75" customHeight="1" thickBot="1" x14ac:dyDescent="0.3">
      <c r="B19" s="85"/>
      <c r="C19" s="496" t="s">
        <v>335</v>
      </c>
      <c r="D19" s="77" t="s">
        <v>176</v>
      </c>
      <c r="E19" s="234" t="s">
        <v>177</v>
      </c>
      <c r="F19" s="40" t="s">
        <v>179</v>
      </c>
    </row>
    <row r="20" spans="2:7" ht="41.1" customHeight="1" x14ac:dyDescent="0.2">
      <c r="B20" s="426" t="s">
        <v>57</v>
      </c>
      <c r="C20" s="666"/>
      <c r="D20" s="211">
        <v>17</v>
      </c>
      <c r="E20" s="667">
        <v>17</v>
      </c>
      <c r="F20" s="322">
        <f>+E20/D20*100</f>
        <v>100</v>
      </c>
    </row>
    <row r="21" spans="2:7" ht="41.1" customHeight="1" x14ac:dyDescent="0.2">
      <c r="B21" s="347" t="s">
        <v>56</v>
      </c>
      <c r="C21" s="219">
        <v>6638</v>
      </c>
      <c r="D21" s="210">
        <v>16045</v>
      </c>
      <c r="E21" s="668">
        <f>11738-E20-E22</f>
        <v>10808</v>
      </c>
      <c r="F21" s="322">
        <f>+E21/D21*100</f>
        <v>67.360548457463381</v>
      </c>
    </row>
    <row r="22" spans="2:7" ht="41.1" customHeight="1" thickBot="1" x14ac:dyDescent="0.25">
      <c r="B22" s="422" t="s">
        <v>605</v>
      </c>
      <c r="C22" s="317"/>
      <c r="D22" s="211">
        <v>913</v>
      </c>
      <c r="E22" s="667">
        <v>913</v>
      </c>
      <c r="F22" s="322">
        <f>+E22/D22*100</f>
        <v>100</v>
      </c>
    </row>
    <row r="23" spans="2:7" ht="25.5" customHeight="1" thickBot="1" x14ac:dyDescent="0.3">
      <c r="B23" s="24" t="s">
        <v>1714</v>
      </c>
      <c r="C23" s="131">
        <f>SUM(C20:C22)</f>
        <v>6638</v>
      </c>
      <c r="D23" s="25">
        <f>SUM(D20:D22)</f>
        <v>16975</v>
      </c>
      <c r="E23" s="669">
        <f>SUM(E20:E22)</f>
        <v>11738</v>
      </c>
      <c r="F23" s="670">
        <f>+E23/D23*100</f>
        <v>69.148748159057433</v>
      </c>
    </row>
    <row r="24" spans="2:7" ht="15" customHeight="1" thickBot="1" x14ac:dyDescent="0.3">
      <c r="B24" s="207"/>
      <c r="C24" s="190"/>
      <c r="D24" s="190"/>
      <c r="E24" s="215"/>
      <c r="F24" s="671"/>
    </row>
    <row r="25" spans="2:7" ht="24.75" customHeight="1" thickBot="1" x14ac:dyDescent="0.3">
      <c r="B25" s="191" t="s">
        <v>259</v>
      </c>
      <c r="C25" s="218">
        <f t="shared" ref="C25:E25" si="1">C15+C23</f>
        <v>660057</v>
      </c>
      <c r="D25" s="192">
        <f t="shared" si="1"/>
        <v>748407</v>
      </c>
      <c r="E25" s="192">
        <f t="shared" si="1"/>
        <v>708228</v>
      </c>
      <c r="F25" s="319">
        <f>+E25/D25*100</f>
        <v>94.631397087413674</v>
      </c>
      <c r="G25" s="5"/>
    </row>
    <row r="28" spans="2:7" ht="15" customHeight="1" x14ac:dyDescent="0.2">
      <c r="B28" s="14"/>
    </row>
    <row r="46" spans="1:2" ht="15" customHeight="1" x14ac:dyDescent="0.2">
      <c r="A46" s="377"/>
      <c r="B46" s="1"/>
    </row>
    <row r="47" spans="1:2" ht="15" customHeight="1" x14ac:dyDescent="0.2">
      <c r="A47" s="377"/>
      <c r="B47" s="378"/>
    </row>
    <row r="48" spans="1:2" ht="15" customHeight="1" x14ac:dyDescent="0.2">
      <c r="A48" s="377"/>
      <c r="B48" s="1"/>
    </row>
  </sheetData>
  <mergeCells count="4">
    <mergeCell ref="B1:C1"/>
    <mergeCell ref="C5:D5"/>
    <mergeCell ref="B2:F2"/>
    <mergeCell ref="C18:D18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headerFooter alignWithMargins="0">
    <oddHeader>&amp;R&amp;"Arial,Félkövér"&amp;14 12. melléklet a …../2018. (…….)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0"/>
  <dimension ref="A1:F111"/>
  <sheetViews>
    <sheetView zoomScale="75" zoomScaleNormal="75" zoomScaleSheetLayoutView="50" workbookViewId="0">
      <selection activeCell="K5" sqref="K5"/>
    </sheetView>
  </sheetViews>
  <sheetFormatPr defaultColWidth="9.33203125" defaultRowHeight="15" customHeight="1" x14ac:dyDescent="0.2"/>
  <cols>
    <col min="1" max="1" width="17" style="86" customWidth="1"/>
    <col min="2" max="2" width="167.83203125" style="7" customWidth="1"/>
    <col min="3" max="3" width="36.83203125" style="7" customWidth="1"/>
    <col min="4" max="5" width="36.83203125" style="5" customWidth="1"/>
    <col min="6" max="6" width="30.1640625" style="7" customWidth="1"/>
    <col min="7" max="16384" width="9.33203125" style="7"/>
  </cols>
  <sheetData>
    <row r="1" spans="1:6" ht="8.25" customHeight="1" x14ac:dyDescent="0.25">
      <c r="B1" s="2628"/>
      <c r="C1" s="2628"/>
    </row>
    <row r="2" spans="1:6" ht="8.25" customHeight="1" x14ac:dyDescent="0.25">
      <c r="B2" s="2367"/>
      <c r="C2" s="2367"/>
    </row>
    <row r="3" spans="1:6" ht="33" customHeight="1" x14ac:dyDescent="0.35">
      <c r="B3" s="2642" t="s">
        <v>348</v>
      </c>
      <c r="C3" s="2642"/>
      <c r="D3" s="2642"/>
      <c r="E3" s="2642"/>
      <c r="F3" s="2642"/>
    </row>
    <row r="4" spans="1:6" ht="33" customHeight="1" x14ac:dyDescent="0.35">
      <c r="B4" s="2368"/>
      <c r="C4" s="2368"/>
      <c r="D4" s="2368"/>
      <c r="E4" s="2368"/>
      <c r="F4" s="2368"/>
    </row>
    <row r="5" spans="1:6" ht="29.25" customHeight="1" thickBot="1" x14ac:dyDescent="0.35">
      <c r="B5" s="2387" t="s">
        <v>250</v>
      </c>
      <c r="C5" s="394"/>
      <c r="D5" s="395"/>
      <c r="E5" s="395"/>
      <c r="F5" s="394" t="s">
        <v>32</v>
      </c>
    </row>
    <row r="6" spans="1:6" ht="30" customHeight="1" x14ac:dyDescent="0.3">
      <c r="A6" s="396"/>
      <c r="B6" s="672" t="s">
        <v>50</v>
      </c>
      <c r="C6" s="2640" t="s">
        <v>512</v>
      </c>
      <c r="D6" s="2641"/>
      <c r="E6" s="673" t="s">
        <v>662</v>
      </c>
      <c r="F6" s="674" t="s">
        <v>178</v>
      </c>
    </row>
    <row r="7" spans="1:6" ht="30" customHeight="1" thickBot="1" x14ac:dyDescent="0.35">
      <c r="A7" s="396"/>
      <c r="B7" s="675"/>
      <c r="C7" s="676" t="s">
        <v>335</v>
      </c>
      <c r="D7" s="677" t="s">
        <v>176</v>
      </c>
      <c r="E7" s="678" t="s">
        <v>177</v>
      </c>
      <c r="F7" s="679" t="s">
        <v>179</v>
      </c>
    </row>
    <row r="8" spans="1:6" ht="30" customHeight="1" x14ac:dyDescent="0.3">
      <c r="A8" s="396"/>
      <c r="B8" s="680" t="s">
        <v>116</v>
      </c>
      <c r="C8" s="681">
        <v>138150</v>
      </c>
      <c r="D8" s="681">
        <v>173399</v>
      </c>
      <c r="E8" s="681">
        <v>146268</v>
      </c>
      <c r="F8" s="682">
        <f>+E8/D8*100</f>
        <v>84.353427643758039</v>
      </c>
    </row>
    <row r="9" spans="1:6" ht="30" customHeight="1" x14ac:dyDescent="0.3">
      <c r="A9" s="396"/>
      <c r="B9" s="683" t="s">
        <v>75</v>
      </c>
      <c r="C9" s="684">
        <v>1690814</v>
      </c>
      <c r="D9" s="684">
        <v>1923609</v>
      </c>
      <c r="E9" s="685">
        <v>1674760</v>
      </c>
      <c r="F9" s="686">
        <f>+E9/D9*100</f>
        <v>87.063431289830731</v>
      </c>
    </row>
    <row r="10" spans="1:6" ht="30" customHeight="1" x14ac:dyDescent="0.3">
      <c r="A10" s="396"/>
      <c r="B10" s="687" t="s">
        <v>235</v>
      </c>
      <c r="C10" s="688">
        <v>188406</v>
      </c>
      <c r="D10" s="688">
        <v>195156</v>
      </c>
      <c r="E10" s="689">
        <v>176084</v>
      </c>
      <c r="F10" s="690">
        <f>+E10/D10*100</f>
        <v>90.227305335219</v>
      </c>
    </row>
    <row r="11" spans="1:6" ht="30" customHeight="1" thickBot="1" x14ac:dyDescent="0.35">
      <c r="A11" s="396"/>
      <c r="B11" s="2388" t="s">
        <v>1715</v>
      </c>
      <c r="C11" s="691">
        <f>SUM(C8:C10)</f>
        <v>2017370</v>
      </c>
      <c r="D11" s="692">
        <f>SUM(D8:D10)</f>
        <v>2292164</v>
      </c>
      <c r="E11" s="692">
        <f>SUM(E8:E10)</f>
        <v>1997112</v>
      </c>
      <c r="F11" s="693">
        <f>+E11/D11*100</f>
        <v>87.12779713842464</v>
      </c>
    </row>
    <row r="12" spans="1:6" ht="30" customHeight="1" x14ac:dyDescent="0.35">
      <c r="A12" s="396"/>
      <c r="B12" s="694" t="s">
        <v>343</v>
      </c>
      <c r="C12" s="695"/>
      <c r="D12" s="681"/>
      <c r="E12" s="681"/>
      <c r="F12" s="682"/>
    </row>
    <row r="13" spans="1:6" s="11" customFormat="1" ht="30" customHeight="1" x14ac:dyDescent="0.3">
      <c r="A13" s="397"/>
      <c r="B13" s="696" t="s">
        <v>16</v>
      </c>
      <c r="C13" s="697">
        <v>250000</v>
      </c>
      <c r="D13" s="697">
        <v>250000</v>
      </c>
      <c r="E13" s="698">
        <v>427973</v>
      </c>
      <c r="F13" s="699">
        <f t="shared" ref="F13:F20" si="0">+E13/D13*100</f>
        <v>171.1892</v>
      </c>
    </row>
    <row r="14" spans="1:6" s="11" customFormat="1" ht="35.25" customHeight="1" x14ac:dyDescent="0.3">
      <c r="A14" s="398"/>
      <c r="B14" s="700" t="s">
        <v>344</v>
      </c>
      <c r="C14" s="701">
        <v>600000</v>
      </c>
      <c r="D14" s="701">
        <v>600000</v>
      </c>
      <c r="E14" s="701">
        <f>760361</f>
        <v>760361</v>
      </c>
      <c r="F14" s="702">
        <f t="shared" si="0"/>
        <v>126.72683333333335</v>
      </c>
    </row>
    <row r="15" spans="1:6" s="11" customFormat="1" ht="30" customHeight="1" x14ac:dyDescent="0.3">
      <c r="A15" s="398"/>
      <c r="B15" s="700" t="s">
        <v>158</v>
      </c>
      <c r="C15" s="701">
        <v>70000</v>
      </c>
      <c r="D15" s="701">
        <v>0</v>
      </c>
      <c r="E15" s="703"/>
      <c r="F15" s="702"/>
    </row>
    <row r="16" spans="1:6" ht="30" customHeight="1" x14ac:dyDescent="0.3">
      <c r="A16" s="396"/>
      <c r="B16" s="700" t="s">
        <v>301</v>
      </c>
      <c r="C16" s="701"/>
      <c r="D16" s="701">
        <v>23083</v>
      </c>
      <c r="E16" s="701">
        <v>23083</v>
      </c>
      <c r="F16" s="702">
        <f t="shared" si="0"/>
        <v>100</v>
      </c>
    </row>
    <row r="17" spans="1:6" ht="30" customHeight="1" x14ac:dyDescent="0.3">
      <c r="A17" s="396"/>
      <c r="B17" s="700" t="s">
        <v>277</v>
      </c>
      <c r="C17" s="701"/>
      <c r="D17" s="701">
        <v>126685</v>
      </c>
      <c r="E17" s="701">
        <v>126685</v>
      </c>
      <c r="F17" s="702">
        <f t="shared" si="0"/>
        <v>100</v>
      </c>
    </row>
    <row r="18" spans="1:6" ht="30" customHeight="1" x14ac:dyDescent="0.3">
      <c r="A18" s="396"/>
      <c r="B18" s="708" t="s">
        <v>278</v>
      </c>
      <c r="C18" s="698"/>
      <c r="D18" s="698">
        <v>27087</v>
      </c>
      <c r="E18" s="698">
        <v>27087</v>
      </c>
      <c r="F18" s="702">
        <f t="shared" si="0"/>
        <v>100</v>
      </c>
    </row>
    <row r="19" spans="1:6" ht="30" customHeight="1" x14ac:dyDescent="0.3">
      <c r="A19" s="396"/>
      <c r="B19" s="700" t="s">
        <v>11</v>
      </c>
      <c r="C19" s="701">
        <v>366370</v>
      </c>
      <c r="D19" s="701">
        <v>385420</v>
      </c>
      <c r="E19" s="701">
        <v>385420</v>
      </c>
      <c r="F19" s="702">
        <f t="shared" si="0"/>
        <v>100</v>
      </c>
    </row>
    <row r="20" spans="1:6" ht="30" customHeight="1" x14ac:dyDescent="0.3">
      <c r="A20" s="396"/>
      <c r="B20" s="709" t="s">
        <v>149</v>
      </c>
      <c r="C20" s="710">
        <f>SUM(C13:C19)</f>
        <v>1286370</v>
      </c>
      <c r="D20" s="711">
        <f>SUM(D13:D19)</f>
        <v>1412275</v>
      </c>
      <c r="E20" s="711">
        <f>SUM(E13:E19)</f>
        <v>1750609</v>
      </c>
      <c r="F20" s="712">
        <f t="shared" si="0"/>
        <v>123.95666566355703</v>
      </c>
    </row>
    <row r="21" spans="1:6" ht="30" customHeight="1" x14ac:dyDescent="0.3">
      <c r="A21" s="396"/>
      <c r="B21" s="2389" t="s">
        <v>44</v>
      </c>
      <c r="C21" s="688"/>
      <c r="D21" s="688"/>
      <c r="E21" s="688"/>
      <c r="F21" s="690"/>
    </row>
    <row r="22" spans="1:6" ht="30" customHeight="1" x14ac:dyDescent="0.3">
      <c r="A22" s="397"/>
      <c r="B22" s="708" t="s">
        <v>156</v>
      </c>
      <c r="C22" s="698">
        <v>48000</v>
      </c>
      <c r="D22" s="698">
        <v>48000</v>
      </c>
      <c r="E22" s="698">
        <v>46492</v>
      </c>
      <c r="F22" s="713">
        <f t="shared" ref="F22:F33" si="1">+E22/D22*100</f>
        <v>96.858333333333334</v>
      </c>
    </row>
    <row r="23" spans="1:6" ht="30" customHeight="1" x14ac:dyDescent="0.3">
      <c r="A23" s="396"/>
      <c r="B23" s="704" t="s">
        <v>415</v>
      </c>
      <c r="C23" s="705">
        <v>12000</v>
      </c>
      <c r="D23" s="705">
        <v>8981</v>
      </c>
      <c r="E23" s="705">
        <v>6827</v>
      </c>
      <c r="F23" s="707">
        <f t="shared" si="1"/>
        <v>76.016033849237274</v>
      </c>
    </row>
    <row r="24" spans="1:6" ht="30" customHeight="1" x14ac:dyDescent="0.3">
      <c r="A24" s="397"/>
      <c r="B24" s="708" t="s">
        <v>17</v>
      </c>
      <c r="C24" s="698">
        <v>9000</v>
      </c>
      <c r="D24" s="698">
        <v>8035</v>
      </c>
      <c r="E24" s="698">
        <v>8035</v>
      </c>
      <c r="F24" s="713">
        <f t="shared" si="1"/>
        <v>100</v>
      </c>
    </row>
    <row r="25" spans="1:6" ht="30" customHeight="1" x14ac:dyDescent="0.3">
      <c r="A25" s="396"/>
      <c r="B25" s="714" t="s">
        <v>218</v>
      </c>
      <c r="C25" s="705">
        <v>4000</v>
      </c>
      <c r="D25" s="705">
        <v>4210</v>
      </c>
      <c r="E25" s="705">
        <v>2515</v>
      </c>
      <c r="F25" s="716">
        <f t="shared" si="1"/>
        <v>59.73871733966746</v>
      </c>
    </row>
    <row r="26" spans="1:6" ht="30" customHeight="1" x14ac:dyDescent="0.3">
      <c r="A26" s="397"/>
      <c r="B26" s="714" t="s">
        <v>351</v>
      </c>
      <c r="C26" s="684">
        <v>6000</v>
      </c>
      <c r="D26" s="684">
        <v>9055</v>
      </c>
      <c r="E26" s="705">
        <v>7587</v>
      </c>
      <c r="F26" s="716">
        <f t="shared" si="1"/>
        <v>83.787962451684152</v>
      </c>
    </row>
    <row r="27" spans="1:6" s="11" customFormat="1" ht="30" customHeight="1" x14ac:dyDescent="0.3">
      <c r="A27" s="396"/>
      <c r="B27" s="714" t="s">
        <v>171</v>
      </c>
      <c r="C27" s="705">
        <v>11000</v>
      </c>
      <c r="D27" s="705">
        <v>10563</v>
      </c>
      <c r="E27" s="705">
        <v>9932</v>
      </c>
      <c r="F27" s="716">
        <f t="shared" si="1"/>
        <v>94.026318280791443</v>
      </c>
    </row>
    <row r="28" spans="1:6" ht="30" customHeight="1" x14ac:dyDescent="0.3">
      <c r="A28" s="397"/>
      <c r="B28" s="717" t="s">
        <v>398</v>
      </c>
      <c r="C28" s="697">
        <v>13040</v>
      </c>
      <c r="D28" s="697">
        <v>13040</v>
      </c>
      <c r="E28" s="697">
        <v>13040</v>
      </c>
      <c r="F28" s="713">
        <f t="shared" si="1"/>
        <v>100</v>
      </c>
    </row>
    <row r="29" spans="1:6" s="11" customFormat="1" ht="30" customHeight="1" x14ac:dyDescent="0.3">
      <c r="A29" s="396"/>
      <c r="B29" s="718" t="s">
        <v>546</v>
      </c>
      <c r="C29" s="719">
        <v>1000</v>
      </c>
      <c r="D29" s="719">
        <v>1000</v>
      </c>
      <c r="E29" s="719">
        <v>979</v>
      </c>
      <c r="F29" s="716">
        <f t="shared" si="1"/>
        <v>97.899999999999991</v>
      </c>
    </row>
    <row r="30" spans="1:6" s="11" customFormat="1" ht="30" customHeight="1" x14ac:dyDescent="0.3">
      <c r="A30" s="396"/>
      <c r="B30" s="720" t="s">
        <v>547</v>
      </c>
      <c r="C30" s="719">
        <v>720</v>
      </c>
      <c r="D30" s="719">
        <v>720</v>
      </c>
      <c r="E30" s="719">
        <v>720</v>
      </c>
      <c r="F30" s="716">
        <f t="shared" si="1"/>
        <v>100</v>
      </c>
    </row>
    <row r="31" spans="1:6" s="11" customFormat="1" ht="30" customHeight="1" x14ac:dyDescent="0.3">
      <c r="A31" s="396"/>
      <c r="B31" s="720" t="s">
        <v>182</v>
      </c>
      <c r="C31" s="684">
        <v>500</v>
      </c>
      <c r="D31" s="684">
        <v>500</v>
      </c>
      <c r="E31" s="705">
        <v>500</v>
      </c>
      <c r="F31" s="716">
        <f>+E31/D31*100</f>
        <v>100</v>
      </c>
    </row>
    <row r="32" spans="1:6" ht="30" customHeight="1" x14ac:dyDescent="0.3">
      <c r="A32" s="397"/>
      <c r="B32" s="721" t="s">
        <v>346</v>
      </c>
      <c r="C32" s="719">
        <v>3335</v>
      </c>
      <c r="D32" s="719">
        <v>3335</v>
      </c>
      <c r="E32" s="719">
        <v>2763</v>
      </c>
      <c r="F32" s="716">
        <f t="shared" si="1"/>
        <v>82.848575712143926</v>
      </c>
    </row>
    <row r="33" spans="1:6" ht="30" customHeight="1" x14ac:dyDescent="0.3">
      <c r="A33" s="396"/>
      <c r="B33" s="714" t="s">
        <v>345</v>
      </c>
      <c r="C33" s="705">
        <v>4400</v>
      </c>
      <c r="D33" s="705">
        <v>4590</v>
      </c>
      <c r="E33" s="705">
        <v>4290</v>
      </c>
      <c r="F33" s="716">
        <f t="shared" si="1"/>
        <v>93.464052287581694</v>
      </c>
    </row>
    <row r="34" spans="1:6" s="11" customFormat="1" ht="30" customHeight="1" x14ac:dyDescent="0.3">
      <c r="A34" s="397"/>
      <c r="B34" s="714" t="s">
        <v>330</v>
      </c>
      <c r="C34" s="705">
        <v>10000</v>
      </c>
      <c r="D34" s="705">
        <v>10000</v>
      </c>
      <c r="E34" s="705">
        <v>10000</v>
      </c>
      <c r="F34" s="716">
        <f>+E34/D34*100</f>
        <v>100</v>
      </c>
    </row>
    <row r="35" spans="1:6" s="11" customFormat="1" ht="30" customHeight="1" x14ac:dyDescent="0.3">
      <c r="A35" s="397"/>
      <c r="B35" s="714" t="s">
        <v>342</v>
      </c>
      <c r="C35" s="705">
        <v>4000</v>
      </c>
      <c r="D35" s="705">
        <v>10961</v>
      </c>
      <c r="E35" s="705">
        <v>9411</v>
      </c>
      <c r="F35" s="716">
        <f>+E35/D35*100</f>
        <v>85.858954474956661</v>
      </c>
    </row>
    <row r="36" spans="1:6" s="11" customFormat="1" ht="30" customHeight="1" x14ac:dyDescent="0.3">
      <c r="A36" s="396"/>
      <c r="B36" s="720" t="s">
        <v>399</v>
      </c>
      <c r="C36" s="684">
        <v>2200</v>
      </c>
      <c r="D36" s="684">
        <v>2200</v>
      </c>
      <c r="E36" s="705">
        <v>2200</v>
      </c>
      <c r="F36" s="716">
        <f t="shared" ref="F36:F59" si="2">+E36/D36*100</f>
        <v>100</v>
      </c>
    </row>
    <row r="37" spans="1:6" s="11" customFormat="1" ht="30" customHeight="1" x14ac:dyDescent="0.3">
      <c r="A37" s="397"/>
      <c r="B37" s="720" t="s">
        <v>357</v>
      </c>
      <c r="C37" s="684">
        <v>320000</v>
      </c>
      <c r="D37" s="684">
        <v>302324</v>
      </c>
      <c r="E37" s="706">
        <v>302324</v>
      </c>
      <c r="F37" s="716">
        <f t="shared" si="2"/>
        <v>100</v>
      </c>
    </row>
    <row r="38" spans="1:6" s="11" customFormat="1" ht="30" customHeight="1" x14ac:dyDescent="0.3">
      <c r="A38" s="396"/>
      <c r="B38" s="714" t="s">
        <v>67</v>
      </c>
      <c r="C38" s="684">
        <v>1600</v>
      </c>
      <c r="D38" s="684">
        <v>600</v>
      </c>
      <c r="E38" s="706">
        <v>600</v>
      </c>
      <c r="F38" s="716">
        <f t="shared" si="2"/>
        <v>100</v>
      </c>
    </row>
    <row r="39" spans="1:6" s="11" customFormat="1" ht="52.5" customHeight="1" x14ac:dyDescent="0.3">
      <c r="A39" s="397"/>
      <c r="B39" s="722" t="s">
        <v>12</v>
      </c>
      <c r="C39" s="705">
        <v>2300</v>
      </c>
      <c r="D39" s="705">
        <v>1000</v>
      </c>
      <c r="E39" s="705">
        <v>1000</v>
      </c>
      <c r="F39" s="716">
        <f t="shared" si="2"/>
        <v>100</v>
      </c>
    </row>
    <row r="40" spans="1:6" s="11" customFormat="1" ht="30" customHeight="1" x14ac:dyDescent="0.3">
      <c r="A40" s="397"/>
      <c r="B40" s="714" t="s">
        <v>628</v>
      </c>
      <c r="C40" s="684"/>
      <c r="D40" s="684">
        <v>5000</v>
      </c>
      <c r="E40" s="706">
        <v>5000</v>
      </c>
      <c r="F40" s="716">
        <f t="shared" si="2"/>
        <v>100</v>
      </c>
    </row>
    <row r="41" spans="1:6" s="11" customFormat="1" ht="30" customHeight="1" x14ac:dyDescent="0.3">
      <c r="A41" s="397"/>
      <c r="B41" s="714" t="s">
        <v>25</v>
      </c>
      <c r="C41" s="724">
        <v>16776</v>
      </c>
      <c r="D41" s="724">
        <v>16776</v>
      </c>
      <c r="E41" s="725">
        <v>16776</v>
      </c>
      <c r="F41" s="690">
        <f t="shared" si="2"/>
        <v>100</v>
      </c>
    </row>
    <row r="42" spans="1:6" s="11" customFormat="1" ht="30" customHeight="1" x14ac:dyDescent="0.3">
      <c r="A42" s="397"/>
      <c r="B42" s="723" t="s">
        <v>629</v>
      </c>
      <c r="C42" s="705"/>
      <c r="D42" s="705">
        <v>3000</v>
      </c>
      <c r="E42" s="706">
        <v>3000</v>
      </c>
      <c r="F42" s="686">
        <f t="shared" si="2"/>
        <v>100</v>
      </c>
    </row>
    <row r="43" spans="1:6" s="11" customFormat="1" ht="51.95" customHeight="1" x14ac:dyDescent="0.3">
      <c r="A43" s="398"/>
      <c r="B43" s="741" t="s">
        <v>549</v>
      </c>
      <c r="C43" s="2391">
        <v>5500</v>
      </c>
      <c r="D43" s="2391">
        <v>6050</v>
      </c>
      <c r="E43" s="744">
        <v>4675</v>
      </c>
      <c r="F43" s="885">
        <f t="shared" si="2"/>
        <v>77.272727272727266</v>
      </c>
    </row>
    <row r="44" spans="1:6" s="11" customFormat="1" ht="30" customHeight="1" x14ac:dyDescent="0.3">
      <c r="A44" s="396"/>
      <c r="B44" s="2390" t="s">
        <v>550</v>
      </c>
      <c r="C44" s="732"/>
      <c r="D44" s="732"/>
      <c r="E44" s="733"/>
      <c r="F44" s="690"/>
    </row>
    <row r="45" spans="1:6" s="11" customFormat="1" ht="30" customHeight="1" x14ac:dyDescent="0.3">
      <c r="A45" s="396"/>
      <c r="B45" s="827" t="s">
        <v>1716</v>
      </c>
      <c r="C45" s="724">
        <v>20000</v>
      </c>
      <c r="D45" s="724">
        <v>20000</v>
      </c>
      <c r="E45" s="725">
        <v>20000</v>
      </c>
      <c r="F45" s="726">
        <f t="shared" si="2"/>
        <v>100</v>
      </c>
    </row>
    <row r="46" spans="1:6" s="11" customFormat="1" ht="30" customHeight="1" x14ac:dyDescent="0.3">
      <c r="A46" s="396"/>
      <c r="B46" s="827" t="s">
        <v>1717</v>
      </c>
      <c r="C46" s="724"/>
      <c r="D46" s="724">
        <v>11430</v>
      </c>
      <c r="E46" s="725">
        <v>0</v>
      </c>
      <c r="F46" s="726">
        <f t="shared" si="2"/>
        <v>0</v>
      </c>
    </row>
    <row r="47" spans="1:6" s="11" customFormat="1" ht="30" customHeight="1" x14ac:dyDescent="0.3">
      <c r="A47" s="396"/>
      <c r="B47" s="828" t="s">
        <v>1718</v>
      </c>
      <c r="C47" s="724">
        <v>20000</v>
      </c>
      <c r="D47" s="724">
        <v>22000</v>
      </c>
      <c r="E47" s="725">
        <v>20000</v>
      </c>
      <c r="F47" s="726">
        <f t="shared" si="2"/>
        <v>90.909090909090907</v>
      </c>
    </row>
    <row r="48" spans="1:6" s="11" customFormat="1" ht="30" customHeight="1" x14ac:dyDescent="0.3">
      <c r="A48" s="396"/>
      <c r="B48" s="828" t="s">
        <v>551</v>
      </c>
      <c r="C48" s="724">
        <v>5000</v>
      </c>
      <c r="D48" s="724">
        <v>17300</v>
      </c>
      <c r="E48" s="725">
        <v>16500</v>
      </c>
      <c r="F48" s="726">
        <f t="shared" si="2"/>
        <v>95.375722543352609</v>
      </c>
    </row>
    <row r="49" spans="1:6" s="11" customFormat="1" ht="30" customHeight="1" x14ac:dyDescent="0.3">
      <c r="A49" s="396"/>
      <c r="B49" s="828" t="s">
        <v>1719</v>
      </c>
      <c r="C49" s="724"/>
      <c r="D49" s="724">
        <v>11000</v>
      </c>
      <c r="E49" s="725">
        <v>11000</v>
      </c>
      <c r="F49" s="726">
        <f t="shared" si="2"/>
        <v>100</v>
      </c>
    </row>
    <row r="50" spans="1:6" s="11" customFormat="1" ht="30" customHeight="1" x14ac:dyDescent="0.3">
      <c r="A50" s="396"/>
      <c r="B50" s="828" t="s">
        <v>1720</v>
      </c>
      <c r="C50" s="724"/>
      <c r="D50" s="724">
        <v>1000</v>
      </c>
      <c r="E50" s="725">
        <v>1000</v>
      </c>
      <c r="F50" s="726">
        <f t="shared" si="2"/>
        <v>100</v>
      </c>
    </row>
    <row r="51" spans="1:6" s="11" customFormat="1" ht="30" customHeight="1" x14ac:dyDescent="0.3">
      <c r="A51" s="396"/>
      <c r="B51" s="828" t="s">
        <v>1721</v>
      </c>
      <c r="C51" s="724"/>
      <c r="D51" s="724">
        <v>5000</v>
      </c>
      <c r="E51" s="725">
        <v>0</v>
      </c>
      <c r="F51" s="726">
        <f t="shared" si="2"/>
        <v>0</v>
      </c>
    </row>
    <row r="52" spans="1:6" s="11" customFormat="1" ht="30" customHeight="1" x14ac:dyDescent="0.3">
      <c r="A52" s="396"/>
      <c r="B52" s="828" t="s">
        <v>1722</v>
      </c>
      <c r="C52" s="724"/>
      <c r="D52" s="724">
        <v>3500</v>
      </c>
      <c r="E52" s="725">
        <v>3500</v>
      </c>
      <c r="F52" s="726">
        <f t="shared" si="2"/>
        <v>100</v>
      </c>
    </row>
    <row r="53" spans="1:6" s="11" customFormat="1" ht="30" customHeight="1" x14ac:dyDescent="0.3">
      <c r="A53" s="396"/>
      <c r="B53" s="828" t="s">
        <v>552</v>
      </c>
      <c r="C53" s="724">
        <v>80000</v>
      </c>
      <c r="D53" s="724">
        <v>80000</v>
      </c>
      <c r="E53" s="725">
        <v>71045</v>
      </c>
      <c r="F53" s="726">
        <f t="shared" si="2"/>
        <v>88.806249999999991</v>
      </c>
    </row>
    <row r="54" spans="1:6" s="11" customFormat="1" ht="42.75" customHeight="1" x14ac:dyDescent="0.3">
      <c r="A54" s="396"/>
      <c r="B54" s="828" t="s">
        <v>553</v>
      </c>
      <c r="C54" s="724">
        <v>10000</v>
      </c>
      <c r="D54" s="724">
        <v>10000</v>
      </c>
      <c r="E54" s="725">
        <v>10000</v>
      </c>
      <c r="F54" s="726">
        <f t="shared" si="2"/>
        <v>100</v>
      </c>
    </row>
    <row r="55" spans="1:6" s="11" customFormat="1" ht="45.75" customHeight="1" x14ac:dyDescent="0.3">
      <c r="A55" s="396"/>
      <c r="B55" s="828" t="s">
        <v>554</v>
      </c>
      <c r="C55" s="724">
        <v>10000</v>
      </c>
      <c r="D55" s="724">
        <v>10000</v>
      </c>
      <c r="E55" s="725">
        <v>10000</v>
      </c>
      <c r="F55" s="726">
        <f t="shared" si="2"/>
        <v>100</v>
      </c>
    </row>
    <row r="56" spans="1:6" s="11" customFormat="1" ht="30" customHeight="1" x14ac:dyDescent="0.3">
      <c r="A56" s="396"/>
      <c r="B56" s="828" t="s">
        <v>555</v>
      </c>
      <c r="C56" s="724">
        <v>55000</v>
      </c>
      <c r="D56" s="724">
        <v>26752</v>
      </c>
      <c r="E56" s="725">
        <v>14252</v>
      </c>
      <c r="F56" s="726">
        <f t="shared" si="2"/>
        <v>53.274521531100483</v>
      </c>
    </row>
    <row r="57" spans="1:6" s="11" customFormat="1" ht="46.5" customHeight="1" x14ac:dyDescent="0.3">
      <c r="A57" s="396"/>
      <c r="B57" s="2392" t="s">
        <v>630</v>
      </c>
      <c r="C57" s="2393"/>
      <c r="D57" s="2393">
        <v>12192</v>
      </c>
      <c r="E57" s="2394"/>
      <c r="F57" s="2395"/>
    </row>
    <row r="58" spans="1:6" s="11" customFormat="1" ht="36" customHeight="1" x14ac:dyDescent="0.3">
      <c r="A58" s="398"/>
      <c r="B58" s="720" t="s">
        <v>548</v>
      </c>
      <c r="C58" s="705">
        <v>180000</v>
      </c>
      <c r="D58" s="705">
        <v>180010</v>
      </c>
      <c r="E58" s="705">
        <f>22795+46740+59424+45864</f>
        <v>174823</v>
      </c>
      <c r="F58" s="716">
        <f>+E58/D58*100</f>
        <v>97.118493417032397</v>
      </c>
    </row>
    <row r="59" spans="1:6" s="11" customFormat="1" ht="30" customHeight="1" x14ac:dyDescent="0.3">
      <c r="A59" s="396"/>
      <c r="B59" s="2530" t="s">
        <v>556</v>
      </c>
      <c r="C59" s="2391">
        <v>543213</v>
      </c>
      <c r="D59" s="2391">
        <v>543214</v>
      </c>
      <c r="E59" s="744">
        <v>543214</v>
      </c>
      <c r="F59" s="885">
        <f t="shared" si="2"/>
        <v>100</v>
      </c>
    </row>
    <row r="60" spans="1:6" s="11" customFormat="1" ht="30" customHeight="1" x14ac:dyDescent="0.3">
      <c r="A60" s="398"/>
      <c r="B60" s="2531" t="s">
        <v>45</v>
      </c>
      <c r="C60" s="2393"/>
      <c r="D60" s="2393"/>
      <c r="E60" s="2394"/>
      <c r="F60" s="2395"/>
    </row>
    <row r="61" spans="1:6" ht="35.25" customHeight="1" x14ac:dyDescent="0.3">
      <c r="A61" s="396"/>
      <c r="B61" s="700" t="s">
        <v>170</v>
      </c>
      <c r="C61" s="701">
        <v>1905</v>
      </c>
      <c r="D61" s="701">
        <v>4065</v>
      </c>
      <c r="E61" s="701">
        <v>2119</v>
      </c>
      <c r="F61" s="702">
        <f t="shared" ref="F61:F74" si="3">+E61/D61*100</f>
        <v>52.127921279212799</v>
      </c>
    </row>
    <row r="62" spans="1:6" ht="30" customHeight="1" x14ac:dyDescent="0.3">
      <c r="A62" s="396"/>
      <c r="B62" s="714" t="s">
        <v>304</v>
      </c>
      <c r="C62" s="705">
        <v>16040</v>
      </c>
      <c r="D62" s="705">
        <v>19572</v>
      </c>
      <c r="E62" s="705">
        <v>14376</v>
      </c>
      <c r="F62" s="716">
        <f t="shared" si="3"/>
        <v>73.451870018393635</v>
      </c>
    </row>
    <row r="63" spans="1:6" s="11" customFormat="1" ht="45" customHeight="1" x14ac:dyDescent="0.3">
      <c r="A63" s="396"/>
      <c r="B63" s="722" t="s">
        <v>424</v>
      </c>
      <c r="C63" s="705">
        <v>10000</v>
      </c>
      <c r="D63" s="705">
        <v>60465</v>
      </c>
      <c r="E63" s="705">
        <v>55116</v>
      </c>
      <c r="F63" s="716">
        <f t="shared" si="3"/>
        <v>91.153559910692138</v>
      </c>
    </row>
    <row r="64" spans="1:6" s="11" customFormat="1" ht="30" customHeight="1" x14ac:dyDescent="0.3">
      <c r="A64" s="396"/>
      <c r="B64" s="714" t="s">
        <v>142</v>
      </c>
      <c r="C64" s="705">
        <v>69117</v>
      </c>
      <c r="D64" s="705">
        <v>69393</v>
      </c>
      <c r="E64" s="706">
        <v>69393</v>
      </c>
      <c r="F64" s="716">
        <f t="shared" si="3"/>
        <v>100</v>
      </c>
    </row>
    <row r="65" spans="1:6" s="11" customFormat="1" ht="30" customHeight="1" x14ac:dyDescent="0.3">
      <c r="A65" s="396"/>
      <c r="B65" s="714" t="s">
        <v>143</v>
      </c>
      <c r="C65" s="705">
        <v>39510</v>
      </c>
      <c r="D65" s="705">
        <v>39668</v>
      </c>
      <c r="E65" s="706">
        <v>39668</v>
      </c>
      <c r="F65" s="716">
        <f t="shared" si="3"/>
        <v>100</v>
      </c>
    </row>
    <row r="66" spans="1:6" s="11" customFormat="1" ht="30" customHeight="1" x14ac:dyDescent="0.3">
      <c r="A66" s="396"/>
      <c r="B66" s="714" t="s">
        <v>617</v>
      </c>
      <c r="C66" s="724"/>
      <c r="D66" s="724">
        <v>165868</v>
      </c>
      <c r="E66" s="725">
        <v>165868</v>
      </c>
      <c r="F66" s="716">
        <f t="shared" si="3"/>
        <v>100</v>
      </c>
    </row>
    <row r="67" spans="1:6" s="11" customFormat="1" ht="30" customHeight="1" x14ac:dyDescent="0.3">
      <c r="A67" s="396"/>
      <c r="B67" s="723" t="s">
        <v>157</v>
      </c>
      <c r="C67" s="724">
        <v>5000</v>
      </c>
      <c r="D67" s="724">
        <v>6749</v>
      </c>
      <c r="E67" s="725">
        <v>5035</v>
      </c>
      <c r="F67" s="716">
        <f t="shared" si="3"/>
        <v>74.603644984442141</v>
      </c>
    </row>
    <row r="68" spans="1:6" s="11" customFormat="1" ht="30" customHeight="1" x14ac:dyDescent="0.3">
      <c r="A68" s="396"/>
      <c r="B68" s="723" t="s">
        <v>469</v>
      </c>
      <c r="C68" s="724"/>
      <c r="D68" s="724">
        <v>90000</v>
      </c>
      <c r="E68" s="725">
        <v>90000</v>
      </c>
      <c r="F68" s="716">
        <f t="shared" si="3"/>
        <v>100</v>
      </c>
    </row>
    <row r="69" spans="1:6" s="11" customFormat="1" ht="30" customHeight="1" x14ac:dyDescent="0.3">
      <c r="A69" s="396"/>
      <c r="B69" s="723" t="s">
        <v>470</v>
      </c>
      <c r="C69" s="705"/>
      <c r="D69" s="705">
        <v>8959</v>
      </c>
      <c r="E69" s="706">
        <v>8958</v>
      </c>
      <c r="F69" s="686">
        <f t="shared" si="3"/>
        <v>99.988838039959816</v>
      </c>
    </row>
    <row r="70" spans="1:6" s="11" customFormat="1" ht="49.5" customHeight="1" x14ac:dyDescent="0.3">
      <c r="A70" s="396"/>
      <c r="B70" s="723" t="s">
        <v>1723</v>
      </c>
      <c r="C70" s="705"/>
      <c r="D70" s="705">
        <v>60000</v>
      </c>
      <c r="E70" s="706"/>
      <c r="F70" s="686">
        <f t="shared" si="3"/>
        <v>0</v>
      </c>
    </row>
    <row r="71" spans="1:6" s="11" customFormat="1" ht="53.25" customHeight="1" x14ac:dyDescent="0.3">
      <c r="A71" s="396"/>
      <c r="B71" s="723" t="s">
        <v>1724</v>
      </c>
      <c r="C71" s="705"/>
      <c r="D71" s="705">
        <v>10500</v>
      </c>
      <c r="E71" s="706"/>
      <c r="F71" s="686">
        <f t="shared" si="3"/>
        <v>0</v>
      </c>
    </row>
    <row r="72" spans="1:6" s="11" customFormat="1" ht="30" customHeight="1" x14ac:dyDescent="0.3">
      <c r="A72" s="396"/>
      <c r="B72" s="723" t="s">
        <v>559</v>
      </c>
      <c r="C72" s="705">
        <v>120000</v>
      </c>
      <c r="D72" s="705">
        <v>150000</v>
      </c>
      <c r="E72" s="706">
        <v>150000</v>
      </c>
      <c r="F72" s="686">
        <f t="shared" si="3"/>
        <v>100</v>
      </c>
    </row>
    <row r="73" spans="1:6" s="11" customFormat="1" ht="30" customHeight="1" x14ac:dyDescent="0.3">
      <c r="A73" s="397"/>
      <c r="B73" s="727" t="s">
        <v>34</v>
      </c>
      <c r="C73" s="705"/>
      <c r="D73" s="705"/>
      <c r="E73" s="706"/>
      <c r="F73" s="686"/>
    </row>
    <row r="74" spans="1:6" ht="45.75" customHeight="1" x14ac:dyDescent="0.3">
      <c r="A74" s="396"/>
      <c r="B74" s="720" t="s">
        <v>219</v>
      </c>
      <c r="C74" s="684">
        <v>4500</v>
      </c>
      <c r="D74" s="684">
        <v>4500</v>
      </c>
      <c r="E74" s="685">
        <v>4241</v>
      </c>
      <c r="F74" s="686">
        <f t="shared" si="3"/>
        <v>94.24444444444444</v>
      </c>
    </row>
    <row r="75" spans="1:6" s="11" customFormat="1" ht="30" customHeight="1" x14ac:dyDescent="0.3">
      <c r="A75" s="396"/>
      <c r="B75" s="728" t="s">
        <v>400</v>
      </c>
      <c r="C75" s="724">
        <v>29000</v>
      </c>
      <c r="D75" s="724">
        <v>31413</v>
      </c>
      <c r="E75" s="725">
        <v>28956</v>
      </c>
      <c r="F75" s="716">
        <f t="shared" ref="F75:F79" si="4">+E75/D75*100</f>
        <v>92.178397478750838</v>
      </c>
    </row>
    <row r="76" spans="1:6" s="11" customFormat="1" ht="30" customHeight="1" x14ac:dyDescent="0.3">
      <c r="A76" s="398"/>
      <c r="B76" s="729" t="s">
        <v>237</v>
      </c>
      <c r="C76" s="730">
        <v>3000</v>
      </c>
      <c r="D76" s="730">
        <v>5473</v>
      </c>
      <c r="E76" s="725">
        <v>3222</v>
      </c>
      <c r="F76" s="716">
        <f t="shared" si="4"/>
        <v>58.870820391010412</v>
      </c>
    </row>
    <row r="77" spans="1:6" s="11" customFormat="1" ht="30" customHeight="1" x14ac:dyDescent="0.3">
      <c r="A77" s="396"/>
      <c r="B77" s="729" t="s">
        <v>236</v>
      </c>
      <c r="C77" s="684">
        <v>5800</v>
      </c>
      <c r="D77" s="684">
        <v>6324</v>
      </c>
      <c r="E77" s="706">
        <v>4668</v>
      </c>
      <c r="F77" s="716">
        <f t="shared" si="4"/>
        <v>73.814041745730549</v>
      </c>
    </row>
    <row r="78" spans="1:6" s="11" customFormat="1" ht="30" customHeight="1" x14ac:dyDescent="0.3">
      <c r="A78" s="398"/>
      <c r="B78" s="729" t="s">
        <v>355</v>
      </c>
      <c r="C78" s="684">
        <v>9250</v>
      </c>
      <c r="D78" s="684">
        <v>9250</v>
      </c>
      <c r="E78" s="706">
        <v>8461</v>
      </c>
      <c r="F78" s="716">
        <f t="shared" si="4"/>
        <v>91.470270270270277</v>
      </c>
    </row>
    <row r="79" spans="1:6" s="11" customFormat="1" ht="30" customHeight="1" x14ac:dyDescent="0.3">
      <c r="A79" s="398"/>
      <c r="B79" s="729" t="s">
        <v>159</v>
      </c>
      <c r="C79" s="684">
        <v>600</v>
      </c>
      <c r="D79" s="684">
        <v>600</v>
      </c>
      <c r="E79" s="706">
        <v>600</v>
      </c>
      <c r="F79" s="716">
        <f t="shared" si="4"/>
        <v>100</v>
      </c>
    </row>
    <row r="80" spans="1:6" s="11" customFormat="1" ht="30" customHeight="1" x14ac:dyDescent="0.3">
      <c r="A80" s="396"/>
      <c r="B80" s="714" t="s">
        <v>238</v>
      </c>
      <c r="C80" s="705">
        <v>7000</v>
      </c>
      <c r="D80" s="705">
        <v>8715</v>
      </c>
      <c r="E80" s="706">
        <v>6858</v>
      </c>
      <c r="F80" s="686">
        <f t="shared" ref="F80:F84" si="5">+E80/D80*100</f>
        <v>78.691910499139411</v>
      </c>
    </row>
    <row r="81" spans="1:6" s="11" customFormat="1" ht="30" customHeight="1" x14ac:dyDescent="0.3">
      <c r="A81" s="396"/>
      <c r="B81" s="714" t="s">
        <v>557</v>
      </c>
      <c r="C81" s="705">
        <v>811</v>
      </c>
      <c r="D81" s="705">
        <v>811</v>
      </c>
      <c r="E81" s="706">
        <v>811</v>
      </c>
      <c r="F81" s="716">
        <f t="shared" si="5"/>
        <v>100</v>
      </c>
    </row>
    <row r="82" spans="1:6" s="11" customFormat="1" ht="30" customHeight="1" x14ac:dyDescent="0.3">
      <c r="A82" s="396"/>
      <c r="B82" s="714" t="s">
        <v>161</v>
      </c>
      <c r="C82" s="684">
        <v>500</v>
      </c>
      <c r="D82" s="684">
        <v>1241</v>
      </c>
      <c r="E82" s="706"/>
      <c r="F82" s="716">
        <f t="shared" si="5"/>
        <v>0</v>
      </c>
    </row>
    <row r="83" spans="1:6" s="11" customFormat="1" ht="30" customHeight="1" x14ac:dyDescent="0.3">
      <c r="A83" s="396"/>
      <c r="B83" s="714" t="s">
        <v>618</v>
      </c>
      <c r="C83" s="705"/>
      <c r="D83" s="705">
        <v>2985</v>
      </c>
      <c r="E83" s="706">
        <v>2731</v>
      </c>
      <c r="F83" s="686">
        <f t="shared" si="5"/>
        <v>91.490787269681732</v>
      </c>
    </row>
    <row r="84" spans="1:6" s="11" customFormat="1" ht="30" customHeight="1" x14ac:dyDescent="0.3">
      <c r="A84" s="396"/>
      <c r="B84" s="714" t="s">
        <v>631</v>
      </c>
      <c r="C84" s="705"/>
      <c r="D84" s="705">
        <v>35379</v>
      </c>
      <c r="E84" s="706">
        <v>367</v>
      </c>
      <c r="F84" s="686">
        <f t="shared" si="5"/>
        <v>1.0373385341586816</v>
      </c>
    </row>
    <row r="85" spans="1:6" s="11" customFormat="1" ht="30" customHeight="1" x14ac:dyDescent="0.3">
      <c r="A85" s="397"/>
      <c r="B85" s="731" t="s">
        <v>46</v>
      </c>
      <c r="C85" s="732"/>
      <c r="D85" s="732"/>
      <c r="E85" s="733"/>
      <c r="F85" s="716"/>
    </row>
    <row r="86" spans="1:6" ht="30" customHeight="1" x14ac:dyDescent="0.3">
      <c r="A86" s="396"/>
      <c r="B86" s="714" t="s">
        <v>217</v>
      </c>
      <c r="C86" s="684">
        <v>15428</v>
      </c>
      <c r="D86" s="684">
        <v>42660</v>
      </c>
      <c r="E86" s="705">
        <v>31335</v>
      </c>
      <c r="F86" s="716">
        <f>+E86/D86*100</f>
        <v>73.452883263009852</v>
      </c>
    </row>
    <row r="87" spans="1:6" s="11" customFormat="1" ht="30" customHeight="1" x14ac:dyDescent="0.3">
      <c r="A87" s="396"/>
      <c r="B87" s="727" t="s">
        <v>47</v>
      </c>
      <c r="C87" s="732"/>
      <c r="D87" s="732"/>
      <c r="E87" s="733"/>
      <c r="F87" s="690"/>
    </row>
    <row r="88" spans="1:6" ht="30" customHeight="1" x14ac:dyDescent="0.3">
      <c r="A88" s="396"/>
      <c r="B88" s="700" t="s">
        <v>460</v>
      </c>
      <c r="C88" s="701">
        <v>5400</v>
      </c>
      <c r="D88" s="701">
        <v>17953</v>
      </c>
      <c r="E88" s="701">
        <v>12241</v>
      </c>
      <c r="F88" s="702">
        <f>+E88/D88*100</f>
        <v>68.183590486269708</v>
      </c>
    </row>
    <row r="89" spans="1:6" ht="30" customHeight="1" x14ac:dyDescent="0.3">
      <c r="A89" s="396"/>
      <c r="B89" s="700" t="s">
        <v>558</v>
      </c>
      <c r="C89" s="701">
        <v>60000</v>
      </c>
      <c r="D89" s="701">
        <v>60000</v>
      </c>
      <c r="E89" s="701">
        <v>20958</v>
      </c>
      <c r="F89" s="702">
        <f>+E89/D89*100</f>
        <v>34.93</v>
      </c>
    </row>
    <row r="90" spans="1:6" ht="30" customHeight="1" thickBot="1" x14ac:dyDescent="0.35">
      <c r="A90" s="396"/>
      <c r="B90" s="734" t="s">
        <v>347</v>
      </c>
      <c r="C90" s="735">
        <f>SUM(C22:C89)</f>
        <v>1801445</v>
      </c>
      <c r="D90" s="735">
        <f>SUM(D22:D89)</f>
        <v>2335881</v>
      </c>
      <c r="E90" s="736">
        <f>SUM(E22:E89)</f>
        <v>2079982</v>
      </c>
      <c r="F90" s="737">
        <f>+E90/D90*100</f>
        <v>89.044861446280862</v>
      </c>
    </row>
    <row r="91" spans="1:6" ht="30" customHeight="1" x14ac:dyDescent="0.35">
      <c r="A91" s="396"/>
      <c r="B91" s="738" t="s">
        <v>183</v>
      </c>
      <c r="C91" s="695"/>
      <c r="D91" s="739"/>
      <c r="E91" s="739"/>
      <c r="F91" s="740"/>
    </row>
    <row r="92" spans="1:6" ht="30" customHeight="1" x14ac:dyDescent="0.3">
      <c r="A92" s="396"/>
      <c r="B92" s="723" t="s">
        <v>279</v>
      </c>
      <c r="C92" s="684"/>
      <c r="D92" s="685">
        <v>11728</v>
      </c>
      <c r="E92" s="706">
        <v>5683</v>
      </c>
      <c r="F92" s="686">
        <f t="shared" ref="F92:F101" si="6">+E92/D92*100</f>
        <v>48.456684856753071</v>
      </c>
    </row>
    <row r="93" spans="1:6" ht="30" customHeight="1" x14ac:dyDescent="0.3">
      <c r="A93" s="396"/>
      <c r="B93" s="723" t="s">
        <v>467</v>
      </c>
      <c r="C93" s="684"/>
      <c r="D93" s="685">
        <v>58824</v>
      </c>
      <c r="E93" s="706">
        <v>4451</v>
      </c>
      <c r="F93" s="686">
        <f t="shared" si="6"/>
        <v>7.5666394668842649</v>
      </c>
    </row>
    <row r="94" spans="1:6" ht="51.95" customHeight="1" x14ac:dyDescent="0.3">
      <c r="A94" s="396"/>
      <c r="B94" s="723" t="s">
        <v>724</v>
      </c>
      <c r="C94" s="684"/>
      <c r="D94" s="685">
        <v>4400</v>
      </c>
      <c r="E94" s="706"/>
      <c r="F94" s="686">
        <f>+E94/D94*100</f>
        <v>0</v>
      </c>
    </row>
    <row r="95" spans="1:6" ht="50.25" customHeight="1" x14ac:dyDescent="0.3">
      <c r="A95" s="396"/>
      <c r="B95" s="723" t="s">
        <v>466</v>
      </c>
      <c r="C95" s="684"/>
      <c r="D95" s="685">
        <v>4875</v>
      </c>
      <c r="E95" s="706">
        <v>3188</v>
      </c>
      <c r="F95" s="686">
        <f>+E95/D95*100</f>
        <v>65.39487179487179</v>
      </c>
    </row>
    <row r="96" spans="1:6" ht="51.95" customHeight="1" x14ac:dyDescent="0.3">
      <c r="A96" s="396"/>
      <c r="B96" s="723" t="s">
        <v>480</v>
      </c>
      <c r="C96" s="684"/>
      <c r="D96" s="685">
        <v>2720</v>
      </c>
      <c r="E96" s="706">
        <v>0</v>
      </c>
      <c r="F96" s="686">
        <f t="shared" si="6"/>
        <v>0</v>
      </c>
    </row>
    <row r="97" spans="1:6" ht="51.95" customHeight="1" x14ac:dyDescent="0.3">
      <c r="A97" s="396"/>
      <c r="B97" s="1003" t="s">
        <v>684</v>
      </c>
      <c r="C97" s="730"/>
      <c r="D97" s="1004">
        <v>18262</v>
      </c>
      <c r="E97" s="725"/>
      <c r="F97" s="686">
        <f t="shared" si="6"/>
        <v>0</v>
      </c>
    </row>
    <row r="98" spans="1:6" ht="51.95" customHeight="1" x14ac:dyDescent="0.3">
      <c r="A98" s="396"/>
      <c r="B98" s="741" t="s">
        <v>1725</v>
      </c>
      <c r="C98" s="742"/>
      <c r="D98" s="743">
        <v>92415</v>
      </c>
      <c r="E98" s="744">
        <v>3925</v>
      </c>
      <c r="F98" s="885">
        <f t="shared" si="6"/>
        <v>4.2471460260780178</v>
      </c>
    </row>
    <row r="99" spans="1:6" ht="34.5" customHeight="1" thickBot="1" x14ac:dyDescent="0.35">
      <c r="A99" s="396"/>
      <c r="B99" s="745" t="s">
        <v>347</v>
      </c>
      <c r="C99" s="746">
        <f>SUM(C92:C96)</f>
        <v>0</v>
      </c>
      <c r="D99" s="746">
        <f>SUM(D92:D98)</f>
        <v>193224</v>
      </c>
      <c r="E99" s="746">
        <f>SUM(E92:E98)</f>
        <v>17247</v>
      </c>
      <c r="F99" s="747">
        <f t="shared" si="6"/>
        <v>8.9259098248664763</v>
      </c>
    </row>
    <row r="100" spans="1:6" ht="34.5" customHeight="1" thickBot="1" x14ac:dyDescent="0.35">
      <c r="A100" s="396"/>
      <c r="B100" s="748" t="s">
        <v>1726</v>
      </c>
      <c r="C100" s="749">
        <f>+C20+C90+C99</f>
        <v>3087815</v>
      </c>
      <c r="D100" s="750">
        <f>+D20+D90+D99</f>
        <v>3941380</v>
      </c>
      <c r="E100" s="750">
        <f>+E20+E90+E99</f>
        <v>3847838</v>
      </c>
      <c r="F100" s="751">
        <f t="shared" si="6"/>
        <v>97.626668831728992</v>
      </c>
    </row>
    <row r="101" spans="1:6" s="9" customFormat="1" ht="55.5" customHeight="1" thickBot="1" x14ac:dyDescent="0.35">
      <c r="A101" s="399"/>
      <c r="B101" s="752" t="s">
        <v>263</v>
      </c>
      <c r="C101" s="746">
        <f>+C11+C100</f>
        <v>5105185</v>
      </c>
      <c r="D101" s="753">
        <f>+D11+D100</f>
        <v>6233544</v>
      </c>
      <c r="E101" s="753">
        <f>+E11+E100</f>
        <v>5844950</v>
      </c>
      <c r="F101" s="751">
        <f t="shared" si="6"/>
        <v>93.766082344168893</v>
      </c>
    </row>
    <row r="102" spans="1:6" ht="24" customHeight="1" x14ac:dyDescent="0.3">
      <c r="A102" s="396"/>
      <c r="B102" s="754"/>
      <c r="C102" s="754"/>
      <c r="D102" s="755"/>
      <c r="E102" s="755"/>
      <c r="F102" s="754"/>
    </row>
    <row r="103" spans="1:6" ht="36" customHeight="1" thickBot="1" x14ac:dyDescent="0.35">
      <c r="A103" s="396"/>
      <c r="B103" s="756" t="s">
        <v>33</v>
      </c>
      <c r="C103" s="757"/>
      <c r="D103" s="757"/>
      <c r="E103" s="757"/>
      <c r="F103" s="757" t="s">
        <v>32</v>
      </c>
    </row>
    <row r="104" spans="1:6" ht="35.1" customHeight="1" x14ac:dyDescent="0.3">
      <c r="A104" s="396"/>
      <c r="B104" s="758" t="s">
        <v>50</v>
      </c>
      <c r="C104" s="2643" t="s">
        <v>512</v>
      </c>
      <c r="D104" s="2644"/>
      <c r="E104" s="759" t="s">
        <v>662</v>
      </c>
      <c r="F104" s="760" t="s">
        <v>178</v>
      </c>
    </row>
    <row r="105" spans="1:6" ht="35.1" customHeight="1" thickBot="1" x14ac:dyDescent="0.35">
      <c r="A105" s="396"/>
      <c r="B105" s="745"/>
      <c r="C105" s="676" t="s">
        <v>335</v>
      </c>
      <c r="D105" s="677" t="s">
        <v>176</v>
      </c>
      <c r="E105" s="761" t="s">
        <v>177</v>
      </c>
      <c r="F105" s="762" t="s">
        <v>179</v>
      </c>
    </row>
    <row r="106" spans="1:6" ht="34.5" customHeight="1" x14ac:dyDescent="0.3">
      <c r="A106" s="396"/>
      <c r="B106" s="763" t="s">
        <v>116</v>
      </c>
      <c r="C106" s="764">
        <v>3850</v>
      </c>
      <c r="D106" s="764">
        <v>3850</v>
      </c>
      <c r="E106" s="764">
        <v>30</v>
      </c>
      <c r="F106" s="682">
        <f>+E106/D106*100</f>
        <v>0.77922077922077926</v>
      </c>
    </row>
    <row r="107" spans="1:6" ht="35.1" customHeight="1" x14ac:dyDescent="0.3">
      <c r="A107" s="396"/>
      <c r="B107" s="714" t="s">
        <v>75</v>
      </c>
      <c r="C107" s="715">
        <v>20000</v>
      </c>
      <c r="D107" s="715">
        <v>83030</v>
      </c>
      <c r="E107" s="715">
        <v>64453</v>
      </c>
      <c r="F107" s="686">
        <f>+E107/D107*100</f>
        <v>77.626159219559199</v>
      </c>
    </row>
    <row r="108" spans="1:6" ht="35.1" customHeight="1" thickBot="1" x14ac:dyDescent="0.35">
      <c r="A108" s="396"/>
      <c r="B108" s="765" t="s">
        <v>235</v>
      </c>
      <c r="C108" s="766">
        <v>3820</v>
      </c>
      <c r="D108" s="766">
        <v>7421</v>
      </c>
      <c r="E108" s="766">
        <v>4279</v>
      </c>
      <c r="F108" s="767">
        <f>+E108/D108*100</f>
        <v>57.660692629025732</v>
      </c>
    </row>
    <row r="109" spans="1:6" ht="35.25" customHeight="1" thickBot="1" x14ac:dyDescent="0.35">
      <c r="A109" s="396"/>
      <c r="B109" s="768" t="s">
        <v>1727</v>
      </c>
      <c r="C109" s="769">
        <f>SUM(C106:C108)</f>
        <v>27670</v>
      </c>
      <c r="D109" s="769">
        <f>SUM(D106:D108)</f>
        <v>94301</v>
      </c>
      <c r="E109" s="769">
        <f>SUM(E106:E108)</f>
        <v>68762</v>
      </c>
      <c r="F109" s="751">
        <f>+E109/D109*100</f>
        <v>72.917572454162737</v>
      </c>
    </row>
    <row r="110" spans="1:6" ht="15" customHeight="1" thickBot="1" x14ac:dyDescent="0.35">
      <c r="A110" s="396"/>
      <c r="B110" s="770"/>
      <c r="C110" s="771"/>
      <c r="D110" s="771"/>
      <c r="E110" s="772"/>
      <c r="F110" s="773"/>
    </row>
    <row r="111" spans="1:6" ht="50.25" customHeight="1" thickBot="1" x14ac:dyDescent="0.35">
      <c r="A111" s="396"/>
      <c r="B111" s="774" t="s">
        <v>262</v>
      </c>
      <c r="C111" s="775">
        <f>C101+C109</f>
        <v>5132855</v>
      </c>
      <c r="D111" s="775">
        <f>D101+D109</f>
        <v>6327845</v>
      </c>
      <c r="E111" s="769">
        <f>E101+E109</f>
        <v>5913712</v>
      </c>
      <c r="F111" s="751">
        <f>+E111/D111*100</f>
        <v>93.455386470433453</v>
      </c>
    </row>
  </sheetData>
  <mergeCells count="4">
    <mergeCell ref="B1:C1"/>
    <mergeCell ref="C6:D6"/>
    <mergeCell ref="B3:F3"/>
    <mergeCell ref="C104:D104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38" orientation="portrait" r:id="rId1"/>
  <headerFooter alignWithMargins="0">
    <oddHeader>&amp;R&amp;"Arial,Félkövér"&amp;20
 13. melléklet a …../2018. (…….) önkormányzati rendelethez</oddHeader>
  </headerFooter>
  <rowBreaks count="1" manualBreakCount="1">
    <brk id="59" min="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7"/>
  <dimension ref="A1:F40"/>
  <sheetViews>
    <sheetView zoomScaleNormal="100" zoomScaleSheetLayoutView="75" workbookViewId="0">
      <selection activeCell="B3" sqref="B3"/>
    </sheetView>
  </sheetViews>
  <sheetFormatPr defaultColWidth="9.33203125" defaultRowHeight="15" customHeight="1" x14ac:dyDescent="0.2"/>
  <cols>
    <col min="1" max="1" width="11.83203125" style="88" bestFit="1" customWidth="1"/>
    <col min="2" max="2" width="94" style="11" customWidth="1"/>
    <col min="3" max="3" width="21.83203125" style="11" customWidth="1"/>
    <col min="4" max="5" width="21.83203125" style="6" customWidth="1"/>
    <col min="6" max="6" width="21.83203125" style="11" customWidth="1"/>
    <col min="7" max="16384" width="9.33203125" style="11"/>
  </cols>
  <sheetData>
    <row r="1" spans="2:6" ht="15" customHeight="1" x14ac:dyDescent="0.25">
      <c r="B1" s="2628"/>
      <c r="C1" s="2628"/>
    </row>
    <row r="2" spans="2:6" ht="30" customHeight="1" x14ac:dyDescent="0.25">
      <c r="B2" s="2545" t="s">
        <v>39</v>
      </c>
      <c r="C2" s="2545"/>
      <c r="D2" s="2545"/>
      <c r="E2" s="2545"/>
      <c r="F2" s="2545"/>
    </row>
    <row r="3" spans="2:6" ht="14.25" customHeight="1" x14ac:dyDescent="0.25">
      <c r="B3" s="26" t="s">
        <v>97</v>
      </c>
    </row>
    <row r="4" spans="2:6" ht="18.75" customHeight="1" thickBot="1" x14ac:dyDescent="0.25">
      <c r="C4" s="22"/>
      <c r="D4" s="76"/>
      <c r="E4" s="76"/>
      <c r="F4" s="22" t="s">
        <v>32</v>
      </c>
    </row>
    <row r="5" spans="2:6" ht="30" customHeight="1" x14ac:dyDescent="0.25">
      <c r="B5" s="501" t="s">
        <v>50</v>
      </c>
      <c r="C5" s="2637" t="s">
        <v>512</v>
      </c>
      <c r="D5" s="2633"/>
      <c r="E5" s="499" t="s">
        <v>662</v>
      </c>
      <c r="F5" s="39" t="s">
        <v>178</v>
      </c>
    </row>
    <row r="6" spans="2:6" ht="30" customHeight="1" thickBot="1" x14ac:dyDescent="0.3">
      <c r="B6" s="208"/>
      <c r="C6" s="51" t="s">
        <v>335</v>
      </c>
      <c r="D6" s="51" t="s">
        <v>176</v>
      </c>
      <c r="E6" s="64" t="s">
        <v>177</v>
      </c>
      <c r="F6" s="40" t="s">
        <v>179</v>
      </c>
    </row>
    <row r="7" spans="2:6" ht="30" customHeight="1" x14ac:dyDescent="0.2">
      <c r="B7" s="95" t="s">
        <v>184</v>
      </c>
      <c r="C7" s="466">
        <v>105000</v>
      </c>
      <c r="D7" s="466">
        <v>162171</v>
      </c>
      <c r="E7" s="68">
        <v>162171</v>
      </c>
      <c r="F7" s="82">
        <f t="shared" ref="F7:F20" si="0">+E7/D7*100</f>
        <v>100</v>
      </c>
    </row>
    <row r="8" spans="2:6" ht="30" customHeight="1" x14ac:dyDescent="0.2">
      <c r="B8" s="50" t="s">
        <v>356</v>
      </c>
      <c r="C8" s="68"/>
      <c r="D8" s="68">
        <v>17829</v>
      </c>
      <c r="E8" s="68">
        <v>17829</v>
      </c>
      <c r="F8" s="82">
        <f t="shared" si="0"/>
        <v>100</v>
      </c>
    </row>
    <row r="9" spans="2:6" ht="30" customHeight="1" x14ac:dyDescent="0.2">
      <c r="B9" s="227" t="s">
        <v>86</v>
      </c>
      <c r="C9" s="210">
        <v>25000</v>
      </c>
      <c r="D9" s="210">
        <v>15978</v>
      </c>
      <c r="E9" s="210">
        <v>15978</v>
      </c>
      <c r="F9" s="322">
        <f t="shared" si="0"/>
        <v>100</v>
      </c>
    </row>
    <row r="10" spans="2:6" ht="30" customHeight="1" x14ac:dyDescent="0.2">
      <c r="B10" s="16" t="s">
        <v>376</v>
      </c>
      <c r="C10" s="72">
        <v>5000</v>
      </c>
      <c r="D10" s="72">
        <v>5000</v>
      </c>
      <c r="E10" s="75">
        <v>5000</v>
      </c>
      <c r="F10" s="318">
        <f t="shared" si="0"/>
        <v>100</v>
      </c>
    </row>
    <row r="11" spans="2:6" ht="30" customHeight="1" x14ac:dyDescent="0.2">
      <c r="B11" s="66" t="s">
        <v>366</v>
      </c>
      <c r="C11" s="72">
        <v>21500</v>
      </c>
      <c r="D11" s="72">
        <v>22830</v>
      </c>
      <c r="E11" s="75">
        <v>20380</v>
      </c>
      <c r="F11" s="82">
        <f t="shared" si="0"/>
        <v>89.26850635129216</v>
      </c>
    </row>
    <row r="12" spans="2:6" ht="30" customHeight="1" x14ac:dyDescent="0.2">
      <c r="B12" s="50" t="s">
        <v>92</v>
      </c>
      <c r="C12" s="68">
        <v>1100</v>
      </c>
      <c r="D12" s="68">
        <v>1871</v>
      </c>
      <c r="E12" s="68">
        <v>1803</v>
      </c>
      <c r="F12" s="82">
        <f t="shared" si="0"/>
        <v>96.365579903794767</v>
      </c>
    </row>
    <row r="13" spans="2:6" ht="30" customHeight="1" x14ac:dyDescent="0.2">
      <c r="B13" s="50" t="s">
        <v>458</v>
      </c>
      <c r="C13" s="68">
        <v>5000</v>
      </c>
      <c r="D13" s="68">
        <v>5000</v>
      </c>
      <c r="E13" s="68">
        <v>5000</v>
      </c>
      <c r="F13" s="82">
        <f t="shared" si="0"/>
        <v>100</v>
      </c>
    </row>
    <row r="14" spans="2:6" ht="30" customHeight="1" x14ac:dyDescent="0.2">
      <c r="B14" s="50" t="s">
        <v>144</v>
      </c>
      <c r="C14" s="68">
        <v>13000</v>
      </c>
      <c r="D14" s="68">
        <v>13271</v>
      </c>
      <c r="E14" s="68">
        <v>13000</v>
      </c>
      <c r="F14" s="82">
        <f t="shared" si="0"/>
        <v>97.95795343229598</v>
      </c>
    </row>
    <row r="15" spans="2:6" ht="30" customHeight="1" x14ac:dyDescent="0.2">
      <c r="B15" s="50" t="s">
        <v>377</v>
      </c>
      <c r="C15" s="68">
        <v>110000</v>
      </c>
      <c r="D15" s="68">
        <v>110000</v>
      </c>
      <c r="E15" s="68">
        <v>104338</v>
      </c>
      <c r="F15" s="82">
        <f t="shared" si="0"/>
        <v>94.852727272727279</v>
      </c>
    </row>
    <row r="16" spans="2:6" ht="30" customHeight="1" x14ac:dyDescent="0.2">
      <c r="B16" s="50" t="s">
        <v>378</v>
      </c>
      <c r="C16" s="68">
        <v>4000</v>
      </c>
      <c r="D16" s="68">
        <v>4000</v>
      </c>
      <c r="E16" s="68">
        <v>4000</v>
      </c>
      <c r="F16" s="82">
        <f t="shared" si="0"/>
        <v>100</v>
      </c>
    </row>
    <row r="17" spans="2:6" ht="30" customHeight="1" x14ac:dyDescent="0.2">
      <c r="B17" s="50" t="s">
        <v>379</v>
      </c>
      <c r="C17" s="68">
        <v>5000</v>
      </c>
      <c r="D17" s="68">
        <v>5000</v>
      </c>
      <c r="E17" s="68">
        <v>5000</v>
      </c>
      <c r="F17" s="82">
        <f t="shared" si="0"/>
        <v>100</v>
      </c>
    </row>
    <row r="18" spans="2:6" ht="30" customHeight="1" x14ac:dyDescent="0.2">
      <c r="B18" s="853" t="s">
        <v>582</v>
      </c>
      <c r="C18" s="68"/>
      <c r="D18" s="68">
        <v>943</v>
      </c>
      <c r="E18" s="68">
        <v>943</v>
      </c>
      <c r="F18" s="82">
        <f t="shared" si="0"/>
        <v>100</v>
      </c>
    </row>
    <row r="19" spans="2:6" ht="30" customHeight="1" x14ac:dyDescent="0.2">
      <c r="B19" s="50" t="s">
        <v>503</v>
      </c>
      <c r="C19" s="68">
        <v>30000</v>
      </c>
      <c r="D19" s="68">
        <v>30000</v>
      </c>
      <c r="E19" s="68">
        <v>30000</v>
      </c>
      <c r="F19" s="82">
        <f t="shared" si="0"/>
        <v>100</v>
      </c>
    </row>
    <row r="20" spans="2:6" ht="30" customHeight="1" x14ac:dyDescent="0.2">
      <c r="B20" s="50" t="s">
        <v>507</v>
      </c>
      <c r="C20" s="68"/>
      <c r="D20" s="68">
        <v>923</v>
      </c>
      <c r="E20" s="68">
        <v>915</v>
      </c>
      <c r="F20" s="82">
        <f t="shared" si="0"/>
        <v>99.133261105092103</v>
      </c>
    </row>
    <row r="21" spans="2:6" ht="30" customHeight="1" x14ac:dyDescent="0.2">
      <c r="B21" s="50" t="s">
        <v>87</v>
      </c>
      <c r="C21" s="68">
        <v>3000</v>
      </c>
      <c r="D21" s="68">
        <v>3200</v>
      </c>
      <c r="E21" s="68">
        <v>3100</v>
      </c>
      <c r="F21" s="82">
        <f t="shared" ref="F21:F38" si="1">+E21/D21*100</f>
        <v>96.875</v>
      </c>
    </row>
    <row r="22" spans="2:6" ht="30" customHeight="1" x14ac:dyDescent="0.2">
      <c r="B22" s="50" t="s">
        <v>88</v>
      </c>
      <c r="C22" s="68">
        <v>12000</v>
      </c>
      <c r="D22" s="68">
        <v>12000</v>
      </c>
      <c r="E22" s="68">
        <v>12000</v>
      </c>
      <c r="F22" s="82">
        <f t="shared" si="1"/>
        <v>100</v>
      </c>
    </row>
    <row r="23" spans="2:6" ht="30" customHeight="1" x14ac:dyDescent="0.2">
      <c r="B23" s="66" t="s">
        <v>564</v>
      </c>
      <c r="C23" s="72">
        <v>50000</v>
      </c>
      <c r="D23" s="72">
        <v>58630</v>
      </c>
      <c r="E23" s="75">
        <v>8630</v>
      </c>
      <c r="F23" s="82">
        <f t="shared" si="1"/>
        <v>14.719426914548867</v>
      </c>
    </row>
    <row r="24" spans="2:6" ht="30" customHeight="1" x14ac:dyDescent="0.2">
      <c r="B24" s="66" t="s">
        <v>93</v>
      </c>
      <c r="C24" s="72">
        <v>55000</v>
      </c>
      <c r="D24" s="72">
        <v>52200</v>
      </c>
      <c r="E24" s="75">
        <v>52200</v>
      </c>
      <c r="F24" s="82">
        <f t="shared" si="1"/>
        <v>100</v>
      </c>
    </row>
    <row r="25" spans="2:6" ht="30" customHeight="1" x14ac:dyDescent="0.2">
      <c r="B25" s="391" t="s">
        <v>280</v>
      </c>
      <c r="C25" s="72">
        <v>126000</v>
      </c>
      <c r="D25" s="72">
        <v>153202</v>
      </c>
      <c r="E25" s="75">
        <v>126000</v>
      </c>
      <c r="F25" s="82">
        <f t="shared" si="1"/>
        <v>82.244357123275165</v>
      </c>
    </row>
    <row r="26" spans="2:6" ht="30" customHeight="1" x14ac:dyDescent="0.2">
      <c r="B26" s="50" t="s">
        <v>560</v>
      </c>
      <c r="C26" s="68">
        <v>2500</v>
      </c>
      <c r="D26" s="68">
        <v>2500</v>
      </c>
      <c r="E26" s="68">
        <v>2500</v>
      </c>
      <c r="F26" s="82">
        <f t="shared" si="1"/>
        <v>100</v>
      </c>
    </row>
    <row r="27" spans="2:6" ht="30" customHeight="1" x14ac:dyDescent="0.2">
      <c r="B27" s="66" t="s">
        <v>90</v>
      </c>
      <c r="C27" s="72">
        <v>9000</v>
      </c>
      <c r="D27" s="72">
        <v>9000</v>
      </c>
      <c r="E27" s="75">
        <v>9000</v>
      </c>
      <c r="F27" s="82">
        <f t="shared" si="1"/>
        <v>100</v>
      </c>
    </row>
    <row r="28" spans="2:6" ht="30" customHeight="1" x14ac:dyDescent="0.2">
      <c r="B28" s="66" t="s">
        <v>141</v>
      </c>
      <c r="C28" s="72">
        <v>3000</v>
      </c>
      <c r="D28" s="72">
        <v>1915</v>
      </c>
      <c r="E28" s="75">
        <v>1915</v>
      </c>
      <c r="F28" s="82">
        <f t="shared" si="1"/>
        <v>100</v>
      </c>
    </row>
    <row r="29" spans="2:6" ht="30" customHeight="1" x14ac:dyDescent="0.2">
      <c r="B29" s="479" t="s">
        <v>431</v>
      </c>
      <c r="C29" s="72"/>
      <c r="D29" s="72">
        <v>7938</v>
      </c>
      <c r="E29" s="75">
        <v>7938</v>
      </c>
      <c r="F29" s="82">
        <f t="shared" si="1"/>
        <v>100</v>
      </c>
    </row>
    <row r="30" spans="2:6" ht="30" customHeight="1" x14ac:dyDescent="0.2">
      <c r="B30" s="479" t="s">
        <v>561</v>
      </c>
      <c r="C30" s="72">
        <v>10000</v>
      </c>
      <c r="D30" s="72">
        <v>0</v>
      </c>
      <c r="E30" s="75">
        <v>0</v>
      </c>
      <c r="F30" s="82"/>
    </row>
    <row r="31" spans="2:6" ht="30" customHeight="1" x14ac:dyDescent="0.2">
      <c r="B31" s="479" t="s">
        <v>562</v>
      </c>
      <c r="C31" s="72">
        <v>10000</v>
      </c>
      <c r="D31" s="72">
        <v>10000</v>
      </c>
      <c r="E31" s="75">
        <v>10000</v>
      </c>
      <c r="F31" s="82">
        <f t="shared" si="1"/>
        <v>100</v>
      </c>
    </row>
    <row r="32" spans="2:6" ht="30" customHeight="1" x14ac:dyDescent="0.2">
      <c r="B32" s="479" t="s">
        <v>563</v>
      </c>
      <c r="C32" s="72">
        <v>19500</v>
      </c>
      <c r="D32" s="72">
        <v>19500</v>
      </c>
      <c r="E32" s="75">
        <v>19500</v>
      </c>
      <c r="F32" s="82">
        <f t="shared" si="1"/>
        <v>100</v>
      </c>
    </row>
    <row r="33" spans="2:6" ht="30" customHeight="1" x14ac:dyDescent="0.2">
      <c r="B33" s="465" t="s">
        <v>606</v>
      </c>
      <c r="C33" s="68"/>
      <c r="D33" s="72">
        <v>1800</v>
      </c>
      <c r="E33" s="75">
        <v>1800</v>
      </c>
      <c r="F33" s="82">
        <f t="shared" si="1"/>
        <v>100</v>
      </c>
    </row>
    <row r="34" spans="2:6" ht="30" customHeight="1" x14ac:dyDescent="0.2">
      <c r="B34" s="465" t="s">
        <v>664</v>
      </c>
      <c r="C34" s="72"/>
      <c r="D34" s="72">
        <v>5679</v>
      </c>
      <c r="E34" s="75">
        <v>355</v>
      </c>
      <c r="F34" s="82">
        <f t="shared" si="1"/>
        <v>6.2511005458707523</v>
      </c>
    </row>
    <row r="35" spans="2:6" ht="30" customHeight="1" x14ac:dyDescent="0.2">
      <c r="B35" s="465" t="s">
        <v>625</v>
      </c>
      <c r="C35" s="72"/>
      <c r="D35" s="72">
        <v>5500</v>
      </c>
      <c r="E35" s="75">
        <v>5500</v>
      </c>
      <c r="F35" s="82">
        <f t="shared" si="1"/>
        <v>100</v>
      </c>
    </row>
    <row r="36" spans="2:6" ht="30" customHeight="1" x14ac:dyDescent="0.2">
      <c r="B36" s="465" t="s">
        <v>626</v>
      </c>
      <c r="C36" s="72"/>
      <c r="D36" s="72">
        <v>20000</v>
      </c>
      <c r="E36" s="75">
        <v>20000</v>
      </c>
      <c r="F36" s="82">
        <f t="shared" si="1"/>
        <v>100</v>
      </c>
    </row>
    <row r="37" spans="2:6" ht="30" customHeight="1" thickBot="1" x14ac:dyDescent="0.25">
      <c r="B37" s="465" t="s">
        <v>281</v>
      </c>
      <c r="C37" s="416">
        <v>20000</v>
      </c>
      <c r="D37" s="416">
        <v>0</v>
      </c>
      <c r="E37" s="75">
        <v>0</v>
      </c>
      <c r="F37" s="82"/>
    </row>
    <row r="38" spans="2:6" ht="30" customHeight="1" thickBot="1" x14ac:dyDescent="0.3">
      <c r="B38" s="24" t="s">
        <v>20</v>
      </c>
      <c r="C38" s="25">
        <f>SUM(C7:C37)</f>
        <v>644600</v>
      </c>
      <c r="D38" s="131">
        <f>SUM(D7:D37)</f>
        <v>757880</v>
      </c>
      <c r="E38" s="131">
        <f>SUM(E7:E37)</f>
        <v>666795</v>
      </c>
      <c r="F38" s="132">
        <f t="shared" si="1"/>
        <v>87.981606586794754</v>
      </c>
    </row>
    <row r="39" spans="2:6" ht="20.100000000000001" customHeight="1" x14ac:dyDescent="0.2"/>
    <row r="40" spans="2:6" ht="15" customHeight="1" x14ac:dyDescent="0.2">
      <c r="C40" s="6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3" orientation="portrait" horizontalDpi="300" verticalDpi="300" r:id="rId1"/>
  <headerFooter alignWithMargins="0">
    <oddHeader xml:space="preserve">&amp;C
&amp;R&amp;"Arial CE,Normál"&amp;14 &amp;"Arial CE,Félkövér"14. melléklet a …../2018. (…….) önkormányzati rendelethez&amp;"Arial CE,Normál"&amp;12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A1:K54"/>
  <sheetViews>
    <sheetView zoomScaleNormal="100" workbookViewId="0">
      <selection activeCell="I45" sqref="I45"/>
    </sheetView>
  </sheetViews>
  <sheetFormatPr defaultColWidth="9.33203125" defaultRowHeight="15" customHeight="1" x14ac:dyDescent="0.2"/>
  <cols>
    <col min="1" max="1" width="17.33203125" style="6" customWidth="1"/>
    <col min="2" max="2" width="5.33203125" style="11" customWidth="1"/>
    <col min="3" max="3" width="9.33203125" style="11"/>
    <col min="4" max="4" width="15.83203125" style="11" customWidth="1"/>
    <col min="5" max="5" width="25.83203125" style="11" customWidth="1"/>
    <col min="6" max="6" width="53.83203125" style="11" customWidth="1"/>
    <col min="7" max="10" width="20.83203125" style="11" customWidth="1"/>
    <col min="11" max="11" width="9.6640625" style="11" bestFit="1" customWidth="1"/>
    <col min="12" max="16384" width="9.33203125" style="11"/>
  </cols>
  <sheetData>
    <row r="1" spans="2:11" ht="15" customHeight="1" x14ac:dyDescent="0.25">
      <c r="B1" s="2628"/>
      <c r="C1" s="2628"/>
      <c r="D1" s="2628"/>
      <c r="E1" s="2628"/>
      <c r="F1" s="2628"/>
      <c r="G1" s="2628"/>
    </row>
    <row r="2" spans="2:11" ht="23.25" customHeight="1" x14ac:dyDescent="0.3">
      <c r="B2" s="2655" t="s">
        <v>1728</v>
      </c>
      <c r="C2" s="2655"/>
      <c r="D2" s="2655"/>
      <c r="E2" s="2655"/>
      <c r="F2" s="2655"/>
      <c r="G2" s="2655"/>
      <c r="H2" s="2655"/>
      <c r="I2" s="2655"/>
      <c r="J2" s="2655"/>
    </row>
    <row r="4" spans="2:11" ht="15" customHeight="1" thickBot="1" x14ac:dyDescent="0.25">
      <c r="B4" s="30"/>
      <c r="C4" s="30"/>
      <c r="D4" s="30"/>
      <c r="E4" s="30"/>
      <c r="G4" s="22"/>
      <c r="H4" s="22"/>
      <c r="I4" s="22"/>
      <c r="J4" s="22" t="s">
        <v>32</v>
      </c>
    </row>
    <row r="5" spans="2:11" ht="24" customHeight="1" x14ac:dyDescent="0.25">
      <c r="B5" s="2651" t="s">
        <v>50</v>
      </c>
      <c r="C5" s="2652"/>
      <c r="D5" s="2652"/>
      <c r="E5" s="2652"/>
      <c r="F5" s="2652"/>
      <c r="G5" s="2653" t="s">
        <v>512</v>
      </c>
      <c r="H5" s="2654"/>
      <c r="I5" s="63" t="s">
        <v>662</v>
      </c>
      <c r="J5" s="39" t="s">
        <v>178</v>
      </c>
    </row>
    <row r="6" spans="2:11" ht="24" customHeight="1" thickBot="1" x14ac:dyDescent="0.3">
      <c r="B6" s="43"/>
      <c r="C6" s="44"/>
      <c r="D6" s="44"/>
      <c r="E6" s="44"/>
      <c r="F6" s="44"/>
      <c r="G6" s="51" t="s">
        <v>335</v>
      </c>
      <c r="H6" s="51" t="s">
        <v>176</v>
      </c>
      <c r="I6" s="64" t="s">
        <v>177</v>
      </c>
      <c r="J6" s="40" t="s">
        <v>179</v>
      </c>
    </row>
    <row r="7" spans="2:11" ht="24" customHeight="1" x14ac:dyDescent="0.2">
      <c r="B7" s="56" t="s">
        <v>106</v>
      </c>
      <c r="C7" s="57"/>
      <c r="D7" s="57"/>
      <c r="E7" s="57"/>
      <c r="F7" s="57"/>
      <c r="G7" s="58"/>
      <c r="H7" s="53"/>
      <c r="I7" s="53"/>
      <c r="J7" s="83"/>
    </row>
    <row r="8" spans="2:11" ht="24" customHeight="1" x14ac:dyDescent="0.2">
      <c r="B8" s="32"/>
      <c r="C8" s="31" t="s">
        <v>108</v>
      </c>
      <c r="D8" s="31"/>
      <c r="E8" s="31"/>
      <c r="F8" s="31"/>
      <c r="G8" s="41">
        <v>47000</v>
      </c>
      <c r="H8" s="41">
        <v>57132</v>
      </c>
      <c r="I8" s="69">
        <v>44201</v>
      </c>
      <c r="J8" s="84">
        <f>+I8/H8*100</f>
        <v>77.366449625428828</v>
      </c>
    </row>
    <row r="9" spans="2:11" ht="24" customHeight="1" x14ac:dyDescent="0.2">
      <c r="B9" s="32"/>
      <c r="C9" s="221" t="s">
        <v>107</v>
      </c>
      <c r="D9" s="221"/>
      <c r="E9" s="221"/>
      <c r="F9" s="221"/>
      <c r="G9" s="222">
        <v>250000</v>
      </c>
      <c r="H9" s="222">
        <v>275977</v>
      </c>
      <c r="I9" s="223">
        <v>267147</v>
      </c>
      <c r="J9" s="224">
        <f>+I9/H9*100</f>
        <v>96.800458009181924</v>
      </c>
    </row>
    <row r="10" spans="2:11" ht="24" customHeight="1" x14ac:dyDescent="0.2">
      <c r="B10" s="32"/>
      <c r="C10" s="31" t="s">
        <v>647</v>
      </c>
      <c r="D10" s="31"/>
      <c r="E10" s="31"/>
      <c r="F10" s="31"/>
      <c r="G10" s="41"/>
      <c r="H10" s="41">
        <v>400</v>
      </c>
      <c r="I10" s="895">
        <v>391</v>
      </c>
      <c r="J10" s="84">
        <f>+I10/H10*100</f>
        <v>97.75</v>
      </c>
    </row>
    <row r="11" spans="2:11" ht="24" customHeight="1" thickBot="1" x14ac:dyDescent="0.3">
      <c r="B11" s="2659" t="s">
        <v>109</v>
      </c>
      <c r="C11" s="2660"/>
      <c r="D11" s="2660"/>
      <c r="E11" s="33" t="s">
        <v>97</v>
      </c>
      <c r="F11" s="33"/>
      <c r="G11" s="52">
        <f t="shared" ref="G11:H11" si="0">SUM(G7:G10)</f>
        <v>297000</v>
      </c>
      <c r="H11" s="52">
        <f t="shared" si="0"/>
        <v>333509</v>
      </c>
      <c r="I11" s="52">
        <f>SUM(I7:I10)</f>
        <v>311739</v>
      </c>
      <c r="J11" s="81">
        <f>+I11/H11*100</f>
        <v>93.4724400241073</v>
      </c>
      <c r="K11" s="6"/>
    </row>
    <row r="12" spans="2:11" ht="24" customHeight="1" x14ac:dyDescent="0.2">
      <c r="B12" s="461" t="s">
        <v>110</v>
      </c>
      <c r="C12" s="462"/>
      <c r="D12" s="462"/>
      <c r="E12" s="462"/>
      <c r="F12" s="463"/>
      <c r="G12" s="225"/>
      <c r="H12" s="225">
        <v>3987</v>
      </c>
      <c r="I12" s="226">
        <v>137</v>
      </c>
      <c r="J12" s="224">
        <f t="shared" ref="J12:J22" si="1">+I12/H12*100</f>
        <v>3.4361675445196886</v>
      </c>
    </row>
    <row r="13" spans="2:11" ht="24" customHeight="1" x14ac:dyDescent="0.2">
      <c r="B13" s="461" t="s">
        <v>365</v>
      </c>
      <c r="C13" s="462"/>
      <c r="D13" s="462"/>
      <c r="E13" s="462"/>
      <c r="F13" s="463"/>
      <c r="G13" s="225">
        <v>290000</v>
      </c>
      <c r="H13" s="225">
        <v>329583</v>
      </c>
      <c r="I13" s="226">
        <v>293795</v>
      </c>
      <c r="J13" s="224">
        <f t="shared" si="1"/>
        <v>89.141430231534997</v>
      </c>
    </row>
    <row r="14" spans="2:11" ht="24" customHeight="1" x14ac:dyDescent="0.2">
      <c r="B14" s="461" t="s">
        <v>99</v>
      </c>
      <c r="C14" s="462"/>
      <c r="D14" s="462"/>
      <c r="E14" s="462"/>
      <c r="F14" s="463"/>
      <c r="G14" s="225">
        <v>3000</v>
      </c>
      <c r="H14" s="225">
        <v>11507</v>
      </c>
      <c r="I14" s="226">
        <v>2919</v>
      </c>
      <c r="J14" s="224">
        <f t="shared" si="1"/>
        <v>25.367167810897712</v>
      </c>
    </row>
    <row r="15" spans="2:11" ht="24" customHeight="1" x14ac:dyDescent="0.2">
      <c r="B15" s="461" t="s">
        <v>380</v>
      </c>
      <c r="C15" s="462"/>
      <c r="D15" s="462"/>
      <c r="E15" s="462"/>
      <c r="F15" s="463"/>
      <c r="G15" s="225"/>
      <c r="H15" s="225">
        <v>5000</v>
      </c>
      <c r="I15" s="226">
        <v>0</v>
      </c>
      <c r="J15" s="224">
        <f t="shared" si="1"/>
        <v>0</v>
      </c>
    </row>
    <row r="16" spans="2:11" ht="24" customHeight="1" x14ac:dyDescent="0.2">
      <c r="B16" s="461" t="s">
        <v>239</v>
      </c>
      <c r="C16" s="462"/>
      <c r="D16" s="462"/>
      <c r="E16" s="462"/>
      <c r="F16" s="463"/>
      <c r="G16" s="225">
        <v>12000</v>
      </c>
      <c r="H16" s="225">
        <v>16810</v>
      </c>
      <c r="I16" s="226">
        <v>3299</v>
      </c>
      <c r="J16" s="224">
        <f t="shared" si="1"/>
        <v>19.625223081499108</v>
      </c>
    </row>
    <row r="17" spans="2:11" ht="24" customHeight="1" x14ac:dyDescent="0.2">
      <c r="B17" s="461" t="s">
        <v>175</v>
      </c>
      <c r="C17" s="462"/>
      <c r="D17" s="462"/>
      <c r="E17" s="462"/>
      <c r="F17" s="463"/>
      <c r="G17" s="225">
        <v>334160</v>
      </c>
      <c r="H17" s="225">
        <v>371149</v>
      </c>
      <c r="I17" s="226">
        <v>290664</v>
      </c>
      <c r="J17" s="224">
        <f t="shared" si="1"/>
        <v>78.31463913414828</v>
      </c>
    </row>
    <row r="18" spans="2:11" ht="24" customHeight="1" x14ac:dyDescent="0.2">
      <c r="B18" s="461" t="s">
        <v>354</v>
      </c>
      <c r="C18" s="462"/>
      <c r="D18" s="462"/>
      <c r="E18" s="462"/>
      <c r="F18" s="463"/>
      <c r="G18" s="225">
        <v>4580</v>
      </c>
      <c r="H18" s="225">
        <v>8000</v>
      </c>
      <c r="I18" s="226">
        <v>960</v>
      </c>
      <c r="J18" s="224">
        <f t="shared" si="1"/>
        <v>12</v>
      </c>
    </row>
    <row r="19" spans="2:11" ht="24" customHeight="1" x14ac:dyDescent="0.2">
      <c r="B19" s="461" t="s">
        <v>172</v>
      </c>
      <c r="C19" s="462"/>
      <c r="D19" s="462"/>
      <c r="E19" s="462"/>
      <c r="F19" s="463"/>
      <c r="G19" s="225">
        <v>62522</v>
      </c>
      <c r="H19" s="225">
        <v>71399</v>
      </c>
      <c r="I19" s="226">
        <v>58522</v>
      </c>
      <c r="J19" s="224">
        <f t="shared" si="1"/>
        <v>81.964733399627448</v>
      </c>
    </row>
    <row r="20" spans="2:11" ht="24" customHeight="1" x14ac:dyDescent="0.2">
      <c r="B20" s="461" t="s">
        <v>173</v>
      </c>
      <c r="C20" s="462"/>
      <c r="D20" s="462"/>
      <c r="E20" s="462"/>
      <c r="F20" s="463"/>
      <c r="G20" s="225">
        <v>1824</v>
      </c>
      <c r="H20" s="225">
        <v>2297</v>
      </c>
      <c r="I20" s="226">
        <v>2161</v>
      </c>
      <c r="J20" s="224">
        <f t="shared" si="1"/>
        <v>94.079233783195477</v>
      </c>
    </row>
    <row r="21" spans="2:11" ht="24" customHeight="1" x14ac:dyDescent="0.2">
      <c r="B21" s="461" t="s">
        <v>231</v>
      </c>
      <c r="C21" s="462"/>
      <c r="D21" s="462"/>
      <c r="E21" s="462"/>
      <c r="F21" s="463"/>
      <c r="G21" s="225">
        <v>1310</v>
      </c>
      <c r="H21" s="225">
        <v>1709</v>
      </c>
      <c r="I21" s="226">
        <v>984</v>
      </c>
      <c r="J21" s="224">
        <f t="shared" si="1"/>
        <v>57.577530719719135</v>
      </c>
    </row>
    <row r="22" spans="2:11" ht="24" customHeight="1" x14ac:dyDescent="0.2">
      <c r="B22" s="461" t="s">
        <v>174</v>
      </c>
      <c r="C22" s="462"/>
      <c r="D22" s="462"/>
      <c r="E22" s="462"/>
      <c r="F22" s="463"/>
      <c r="G22" s="225">
        <v>2700</v>
      </c>
      <c r="H22" s="225">
        <v>7260</v>
      </c>
      <c r="I22" s="226">
        <v>1918</v>
      </c>
      <c r="J22" s="224">
        <f t="shared" si="1"/>
        <v>26.418732782369148</v>
      </c>
    </row>
    <row r="23" spans="2:11" ht="24" customHeight="1" x14ac:dyDescent="0.2">
      <c r="B23" s="461" t="s">
        <v>461</v>
      </c>
      <c r="C23" s="462"/>
      <c r="D23" s="462"/>
      <c r="E23" s="462"/>
      <c r="F23" s="463"/>
      <c r="G23" s="225">
        <v>1700</v>
      </c>
      <c r="H23" s="225">
        <v>2073</v>
      </c>
      <c r="I23" s="226">
        <v>1270</v>
      </c>
      <c r="J23" s="224">
        <f t="shared" ref="J23:J31" si="2">+I23/H23*100</f>
        <v>61.263868789194412</v>
      </c>
    </row>
    <row r="24" spans="2:11" ht="24" customHeight="1" x14ac:dyDescent="0.2">
      <c r="B24" s="829" t="s">
        <v>331</v>
      </c>
      <c r="C24" s="830"/>
      <c r="D24" s="830"/>
      <c r="E24" s="830"/>
      <c r="F24" s="831"/>
      <c r="G24" s="832">
        <v>3000</v>
      </c>
      <c r="H24" s="832">
        <v>6268</v>
      </c>
      <c r="I24" s="436">
        <v>160</v>
      </c>
      <c r="J24" s="833">
        <f t="shared" si="2"/>
        <v>2.5526483726866624</v>
      </c>
    </row>
    <row r="25" spans="2:11" ht="24" customHeight="1" thickBot="1" x14ac:dyDescent="0.3">
      <c r="B25" s="2648" t="s">
        <v>509</v>
      </c>
      <c r="C25" s="2649"/>
      <c r="D25" s="2649"/>
      <c r="E25" s="2649"/>
      <c r="F25" s="2650"/>
      <c r="G25" s="47">
        <f>SUM(G12:G24)</f>
        <v>716796</v>
      </c>
      <c r="H25" s="47">
        <f>SUM(H12:H24)</f>
        <v>837042</v>
      </c>
      <c r="I25" s="47">
        <f>SUM(I12:I24)</f>
        <v>656789</v>
      </c>
      <c r="J25" s="159">
        <f t="shared" si="2"/>
        <v>78.465477240090692</v>
      </c>
      <c r="K25" s="6"/>
    </row>
    <row r="26" spans="2:11" ht="24" customHeight="1" thickBot="1" x14ac:dyDescent="0.3">
      <c r="B26" s="2648" t="s">
        <v>187</v>
      </c>
      <c r="C26" s="2649"/>
      <c r="D26" s="2649"/>
      <c r="E26" s="2649"/>
      <c r="F26" s="2650"/>
      <c r="G26" s="47">
        <f>G25+G11</f>
        <v>1013796</v>
      </c>
      <c r="H26" s="47">
        <f>H25+H11</f>
        <v>1170551</v>
      </c>
      <c r="I26" s="47">
        <f>I25+I11</f>
        <v>968528</v>
      </c>
      <c r="J26" s="81">
        <f t="shared" si="2"/>
        <v>82.741204783046612</v>
      </c>
      <c r="K26" s="6"/>
    </row>
    <row r="27" spans="2:11" ht="24" customHeight="1" x14ac:dyDescent="0.2">
      <c r="B27" s="427" t="s">
        <v>186</v>
      </c>
      <c r="C27" s="428"/>
      <c r="D27" s="428"/>
      <c r="E27" s="428"/>
      <c r="F27" s="428"/>
      <c r="G27" s="429">
        <v>3000</v>
      </c>
      <c r="H27" s="429">
        <v>3749</v>
      </c>
      <c r="I27" s="429">
        <v>760</v>
      </c>
      <c r="J27" s="886">
        <f t="shared" si="2"/>
        <v>20.272072552680715</v>
      </c>
    </row>
    <row r="28" spans="2:11" ht="24" customHeight="1" x14ac:dyDescent="0.2">
      <c r="B28" s="16" t="s">
        <v>381</v>
      </c>
      <c r="C28" s="484"/>
      <c r="D28" s="484"/>
      <c r="E28" s="484"/>
      <c r="F28" s="484"/>
      <c r="G28" s="59">
        <v>2000</v>
      </c>
      <c r="H28" s="59">
        <v>4000</v>
      </c>
      <c r="I28" s="59">
        <v>0</v>
      </c>
      <c r="J28" s="887">
        <f t="shared" si="2"/>
        <v>0</v>
      </c>
    </row>
    <row r="29" spans="2:11" ht="24" customHeight="1" x14ac:dyDescent="0.2">
      <c r="B29" s="2656" t="s">
        <v>282</v>
      </c>
      <c r="C29" s="2657"/>
      <c r="D29" s="2657"/>
      <c r="E29" s="2657"/>
      <c r="F29" s="2658"/>
      <c r="G29" s="59"/>
      <c r="H29" s="59">
        <v>30000</v>
      </c>
      <c r="I29" s="59">
        <v>0</v>
      </c>
      <c r="J29" s="888">
        <f t="shared" si="2"/>
        <v>0</v>
      </c>
    </row>
    <row r="30" spans="2:11" ht="24" customHeight="1" x14ac:dyDescent="0.2">
      <c r="B30" s="16" t="s">
        <v>525</v>
      </c>
      <c r="C30" s="27"/>
      <c r="D30" s="27"/>
      <c r="E30" s="27"/>
      <c r="F30" s="27"/>
      <c r="G30" s="430">
        <v>2000</v>
      </c>
      <c r="H30" s="430">
        <v>216</v>
      </c>
      <c r="I30" s="430">
        <v>216</v>
      </c>
      <c r="J30" s="889">
        <f t="shared" si="2"/>
        <v>100</v>
      </c>
    </row>
    <row r="31" spans="2:11" ht="24" customHeight="1" thickBot="1" x14ac:dyDescent="0.3">
      <c r="B31" s="2645" t="s">
        <v>188</v>
      </c>
      <c r="C31" s="2646"/>
      <c r="D31" s="2646"/>
      <c r="E31" s="2646"/>
      <c r="F31" s="2647"/>
      <c r="G31" s="128">
        <f>G26+G27+G30+G28</f>
        <v>1020796</v>
      </c>
      <c r="H31" s="128">
        <f>H26+H27+H30+H28+H29</f>
        <v>1208516</v>
      </c>
      <c r="I31" s="128">
        <f>I26+I27+I30+I28</f>
        <v>969504</v>
      </c>
      <c r="J31" s="159">
        <f t="shared" si="2"/>
        <v>80.222686335969073</v>
      </c>
      <c r="K31" s="6"/>
    </row>
    <row r="33" spans="9:9" ht="15" customHeight="1" x14ac:dyDescent="0.2">
      <c r="I33" s="6"/>
    </row>
    <row r="34" spans="9:9" ht="15" customHeight="1" x14ac:dyDescent="0.2">
      <c r="I34" s="6"/>
    </row>
    <row r="35" spans="9:9" ht="15" customHeight="1" x14ac:dyDescent="0.2">
      <c r="I35" s="6"/>
    </row>
    <row r="37" spans="9:9" ht="15" customHeight="1" x14ac:dyDescent="0.2">
      <c r="I37" s="6"/>
    </row>
    <row r="53" spans="7:7" ht="15" customHeight="1" x14ac:dyDescent="0.2">
      <c r="G53" s="2808"/>
    </row>
    <row r="54" spans="7:7" ht="15" customHeight="1" x14ac:dyDescent="0.2">
      <c r="G54" s="2808"/>
    </row>
  </sheetData>
  <mergeCells count="9">
    <mergeCell ref="B31:F31"/>
    <mergeCell ref="B25:F25"/>
    <mergeCell ref="B1:G1"/>
    <mergeCell ref="B5:F5"/>
    <mergeCell ref="G5:H5"/>
    <mergeCell ref="B2:J2"/>
    <mergeCell ref="B29:F29"/>
    <mergeCell ref="B11:D11"/>
    <mergeCell ref="B26:F26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60" orientation="portrait" horizontalDpi="300" verticalDpi="300" r:id="rId1"/>
  <headerFooter alignWithMargins="0">
    <oddHeader>&amp;L
&amp;R&amp;"Arial,Félkövér"&amp;14 15. melléklet a …../2018. (…….)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6"/>
  <dimension ref="A1:G148"/>
  <sheetViews>
    <sheetView zoomScaleNormal="100" workbookViewId="0">
      <selection activeCell="G6" sqref="G6"/>
    </sheetView>
  </sheetViews>
  <sheetFormatPr defaultColWidth="12" defaultRowHeight="15" customHeight="1" x14ac:dyDescent="0.2"/>
  <cols>
    <col min="1" max="1" width="12" style="86" bestFit="1" customWidth="1"/>
    <col min="2" max="2" width="92.1640625" style="7" customWidth="1"/>
    <col min="3" max="3" width="22.1640625" style="7" customWidth="1"/>
    <col min="4" max="5" width="22.1640625" style="5" customWidth="1"/>
    <col min="6" max="6" width="22.1640625" style="7" customWidth="1"/>
    <col min="7" max="16384" width="12" style="7"/>
  </cols>
  <sheetData>
    <row r="1" spans="2:6" ht="15" customHeight="1" x14ac:dyDescent="0.25">
      <c r="B1" s="2628"/>
      <c r="C1" s="2628"/>
    </row>
    <row r="2" spans="2:6" ht="24" customHeight="1" x14ac:dyDescent="0.3">
      <c r="B2" s="2661" t="s">
        <v>1664</v>
      </c>
      <c r="C2" s="2661"/>
      <c r="D2" s="2661"/>
      <c r="E2" s="2661"/>
      <c r="F2" s="2661"/>
    </row>
    <row r="3" spans="2:6" ht="12" customHeight="1" x14ac:dyDescent="0.25">
      <c r="B3" s="34"/>
      <c r="C3" s="34"/>
    </row>
    <row r="4" spans="2:6" ht="15" customHeight="1" thickBot="1" x14ac:dyDescent="0.3">
      <c r="B4" s="13"/>
      <c r="C4" s="14"/>
      <c r="D4" s="29"/>
      <c r="E4" s="29"/>
      <c r="F4" s="14" t="s">
        <v>32</v>
      </c>
    </row>
    <row r="5" spans="2:6" ht="24" customHeight="1" x14ac:dyDescent="0.25">
      <c r="B5" s="36" t="s">
        <v>50</v>
      </c>
      <c r="C5" s="2653" t="s">
        <v>512</v>
      </c>
      <c r="D5" s="2654"/>
      <c r="E5" s="63" t="s">
        <v>662</v>
      </c>
      <c r="F5" s="39" t="s">
        <v>178</v>
      </c>
    </row>
    <row r="6" spans="2:6" ht="24" customHeight="1" thickBot="1" x14ac:dyDescent="0.3">
      <c r="B6" s="46"/>
      <c r="C6" s="51" t="s">
        <v>335</v>
      </c>
      <c r="D6" s="77" t="s">
        <v>176</v>
      </c>
      <c r="E6" s="64" t="s">
        <v>177</v>
      </c>
      <c r="F6" s="40" t="s">
        <v>179</v>
      </c>
    </row>
    <row r="7" spans="2:6" ht="24" customHeight="1" x14ac:dyDescent="0.2">
      <c r="B7" s="229" t="s">
        <v>113</v>
      </c>
      <c r="C7" s="228">
        <v>36000</v>
      </c>
      <c r="D7" s="228">
        <v>38725</v>
      </c>
      <c r="E7" s="210">
        <v>37485</v>
      </c>
      <c r="F7" s="220">
        <f>+E7/D7*100</f>
        <v>96.797934151065206</v>
      </c>
    </row>
    <row r="8" spans="2:6" ht="24" customHeight="1" x14ac:dyDescent="0.2">
      <c r="B8" s="230" t="s">
        <v>336</v>
      </c>
      <c r="C8" s="228">
        <v>5000</v>
      </c>
      <c r="D8" s="228">
        <v>5000</v>
      </c>
      <c r="E8" s="210">
        <v>5000</v>
      </c>
      <c r="F8" s="220">
        <f>+E8/D8*100</f>
        <v>100</v>
      </c>
    </row>
    <row r="9" spans="2:6" ht="24" customHeight="1" x14ac:dyDescent="0.2">
      <c r="B9" s="230" t="s">
        <v>337</v>
      </c>
      <c r="C9" s="228">
        <v>6000</v>
      </c>
      <c r="D9" s="228">
        <v>8662</v>
      </c>
      <c r="E9" s="210">
        <v>7259</v>
      </c>
      <c r="F9" s="220">
        <f>+E9/D9*100</f>
        <v>83.802816901408448</v>
      </c>
    </row>
    <row r="10" spans="2:6" ht="24" customHeight="1" x14ac:dyDescent="0.2">
      <c r="B10" s="230" t="s">
        <v>71</v>
      </c>
      <c r="C10" s="228">
        <v>3000</v>
      </c>
      <c r="D10" s="228">
        <v>3001</v>
      </c>
      <c r="E10" s="210">
        <v>2999</v>
      </c>
      <c r="F10" s="220">
        <f t="shared" ref="F10:F16" si="0">+E10/D10*100</f>
        <v>99.933355548150615</v>
      </c>
    </row>
    <row r="11" spans="2:6" ht="24" customHeight="1" x14ac:dyDescent="0.2">
      <c r="B11" s="230" t="s">
        <v>70</v>
      </c>
      <c r="C11" s="228">
        <v>60000</v>
      </c>
      <c r="D11" s="228">
        <v>60000</v>
      </c>
      <c r="E11" s="210">
        <v>59322</v>
      </c>
      <c r="F11" s="220">
        <f t="shared" si="0"/>
        <v>98.87</v>
      </c>
    </row>
    <row r="12" spans="2:6" ht="24" customHeight="1" x14ac:dyDescent="0.2">
      <c r="B12" s="230" t="s">
        <v>341</v>
      </c>
      <c r="C12" s="228">
        <v>10000</v>
      </c>
      <c r="D12" s="228">
        <v>10913</v>
      </c>
      <c r="E12" s="210">
        <v>10913</v>
      </c>
      <c r="F12" s="220">
        <f t="shared" si="0"/>
        <v>100</v>
      </c>
    </row>
    <row r="13" spans="2:6" ht="24" customHeight="1" x14ac:dyDescent="0.2">
      <c r="B13" s="230" t="s">
        <v>338</v>
      </c>
      <c r="C13" s="228">
        <v>4000</v>
      </c>
      <c r="D13" s="228">
        <v>4000</v>
      </c>
      <c r="E13" s="210">
        <v>3017</v>
      </c>
      <c r="F13" s="220">
        <f t="shared" si="0"/>
        <v>75.424999999999997</v>
      </c>
    </row>
    <row r="14" spans="2:6" ht="24" customHeight="1" x14ac:dyDescent="0.2">
      <c r="B14" s="231" t="s">
        <v>450</v>
      </c>
      <c r="C14" s="228">
        <v>2000</v>
      </c>
      <c r="D14" s="228">
        <v>3652</v>
      </c>
      <c r="E14" s="210">
        <v>3283</v>
      </c>
      <c r="F14" s="220">
        <f t="shared" si="0"/>
        <v>89.895947426067906</v>
      </c>
    </row>
    <row r="15" spans="2:6" ht="24" customHeight="1" x14ac:dyDescent="0.2">
      <c r="B15" s="230" t="s">
        <v>13</v>
      </c>
      <c r="C15" s="228">
        <v>100</v>
      </c>
      <c r="D15" s="228">
        <v>100</v>
      </c>
      <c r="E15" s="210">
        <v>0</v>
      </c>
      <c r="F15" s="220">
        <f t="shared" si="0"/>
        <v>0</v>
      </c>
    </row>
    <row r="16" spans="2:6" ht="24" customHeight="1" x14ac:dyDescent="0.2">
      <c r="B16" s="340" t="s">
        <v>283</v>
      </c>
      <c r="C16" s="228"/>
      <c r="D16" s="228">
        <v>1268</v>
      </c>
      <c r="E16" s="210">
        <v>1266</v>
      </c>
      <c r="F16" s="220">
        <f t="shared" si="0"/>
        <v>99.84227129337539</v>
      </c>
    </row>
    <row r="17" spans="1:7" ht="24" customHeight="1" x14ac:dyDescent="0.2">
      <c r="B17" s="230" t="s">
        <v>1729</v>
      </c>
      <c r="C17" s="228">
        <v>500</v>
      </c>
      <c r="D17" s="228">
        <v>3215</v>
      </c>
      <c r="E17" s="210">
        <v>459</v>
      </c>
      <c r="F17" s="220">
        <f t="shared" ref="F17:F23" si="1">+E17/D17*100</f>
        <v>14.276827371695177</v>
      </c>
    </row>
    <row r="18" spans="1:7" ht="24" customHeight="1" x14ac:dyDescent="0.2">
      <c r="B18" s="230" t="s">
        <v>339</v>
      </c>
      <c r="C18" s="228">
        <v>300</v>
      </c>
      <c r="D18" s="228">
        <v>1031</v>
      </c>
      <c r="E18" s="210">
        <v>347</v>
      </c>
      <c r="F18" s="220">
        <f t="shared" si="1"/>
        <v>33.656644034917555</v>
      </c>
    </row>
    <row r="19" spans="1:7" ht="24" customHeight="1" x14ac:dyDescent="0.2">
      <c r="B19" s="230" t="s">
        <v>73</v>
      </c>
      <c r="C19" s="228">
        <v>5000</v>
      </c>
      <c r="D19" s="228">
        <v>13331</v>
      </c>
      <c r="E19" s="210">
        <v>3141</v>
      </c>
      <c r="F19" s="220">
        <f t="shared" si="1"/>
        <v>23.561623284074713</v>
      </c>
    </row>
    <row r="20" spans="1:7" s="11" customFormat="1" ht="24" customHeight="1" x14ac:dyDescent="0.2">
      <c r="A20" s="88"/>
      <c r="B20" s="230" t="s">
        <v>91</v>
      </c>
      <c r="C20" s="228">
        <v>2000</v>
      </c>
      <c r="D20" s="228">
        <v>7290</v>
      </c>
      <c r="E20" s="210">
        <v>0</v>
      </c>
      <c r="F20" s="220">
        <f t="shared" si="1"/>
        <v>0</v>
      </c>
    </row>
    <row r="21" spans="1:7" ht="24" customHeight="1" x14ac:dyDescent="0.2">
      <c r="B21" s="230" t="s">
        <v>340</v>
      </c>
      <c r="C21" s="228">
        <v>30000</v>
      </c>
      <c r="D21" s="228">
        <v>42770</v>
      </c>
      <c r="E21" s="210">
        <v>36534</v>
      </c>
      <c r="F21" s="220">
        <f t="shared" si="1"/>
        <v>85.41968669628244</v>
      </c>
    </row>
    <row r="22" spans="1:7" ht="24" customHeight="1" x14ac:dyDescent="0.2">
      <c r="B22" s="230" t="s">
        <v>112</v>
      </c>
      <c r="C22" s="228">
        <v>15500</v>
      </c>
      <c r="D22" s="228">
        <v>26419</v>
      </c>
      <c r="E22" s="210">
        <v>12822</v>
      </c>
      <c r="F22" s="220">
        <f t="shared" si="1"/>
        <v>48.533252583368032</v>
      </c>
    </row>
    <row r="23" spans="1:7" ht="24" customHeight="1" x14ac:dyDescent="0.2">
      <c r="B23" s="230" t="s">
        <v>185</v>
      </c>
      <c r="C23" s="228">
        <v>18000</v>
      </c>
      <c r="D23" s="228">
        <v>20681</v>
      </c>
      <c r="E23" s="210">
        <v>17993</v>
      </c>
      <c r="F23" s="220">
        <f t="shared" si="1"/>
        <v>87.002562738745709</v>
      </c>
    </row>
    <row r="24" spans="1:7" ht="41.25" customHeight="1" x14ac:dyDescent="0.2">
      <c r="B24" s="231" t="s">
        <v>222</v>
      </c>
      <c r="C24" s="228">
        <v>2000</v>
      </c>
      <c r="D24" s="228">
        <v>2355</v>
      </c>
      <c r="E24" s="210">
        <v>71</v>
      </c>
      <c r="F24" s="220">
        <f t="shared" ref="F24:F29" si="2">+E24/D24*100</f>
        <v>3.0148619957537157</v>
      </c>
    </row>
    <row r="25" spans="1:7" ht="24" customHeight="1" x14ac:dyDescent="0.2">
      <c r="B25" s="230" t="s">
        <v>72</v>
      </c>
      <c r="C25" s="228">
        <v>6000</v>
      </c>
      <c r="D25" s="228">
        <v>7947</v>
      </c>
      <c r="E25" s="210">
        <v>4794</v>
      </c>
      <c r="F25" s="220">
        <f t="shared" si="2"/>
        <v>60.324650811627038</v>
      </c>
    </row>
    <row r="26" spans="1:7" ht="41.25" customHeight="1" x14ac:dyDescent="0.2">
      <c r="B26" s="231" t="s">
        <v>41</v>
      </c>
      <c r="C26" s="228">
        <v>7000</v>
      </c>
      <c r="D26" s="228">
        <v>7216</v>
      </c>
      <c r="E26" s="210">
        <v>2801</v>
      </c>
      <c r="F26" s="220">
        <f t="shared" si="2"/>
        <v>38.816518847006655</v>
      </c>
    </row>
    <row r="27" spans="1:7" ht="24" customHeight="1" x14ac:dyDescent="0.2">
      <c r="B27" s="232" t="s">
        <v>451</v>
      </c>
      <c r="C27" s="225">
        <v>10000</v>
      </c>
      <c r="D27" s="225">
        <v>24734</v>
      </c>
      <c r="E27" s="210">
        <v>17730</v>
      </c>
      <c r="F27" s="220">
        <f t="shared" si="2"/>
        <v>71.682703970243395</v>
      </c>
    </row>
    <row r="28" spans="1:7" ht="24" customHeight="1" x14ac:dyDescent="0.2">
      <c r="B28" s="230" t="s">
        <v>305</v>
      </c>
      <c r="C28" s="228">
        <v>5000</v>
      </c>
      <c r="D28" s="228">
        <v>9517</v>
      </c>
      <c r="E28" s="210">
        <v>4535</v>
      </c>
      <c r="F28" s="220">
        <f t="shared" si="2"/>
        <v>47.651570873174322</v>
      </c>
    </row>
    <row r="29" spans="1:7" ht="24" customHeight="1" thickBot="1" x14ac:dyDescent="0.25">
      <c r="B29" s="353" t="s">
        <v>240</v>
      </c>
      <c r="C29" s="393">
        <v>2000</v>
      </c>
      <c r="D29" s="393">
        <v>2073</v>
      </c>
      <c r="E29" s="317">
        <v>0</v>
      </c>
      <c r="F29" s="352">
        <f t="shared" si="2"/>
        <v>0</v>
      </c>
    </row>
    <row r="30" spans="1:7" ht="24" customHeight="1" thickBot="1" x14ac:dyDescent="0.3">
      <c r="B30" s="35" t="s">
        <v>111</v>
      </c>
      <c r="C30" s="60">
        <f>SUM(C7:C29)</f>
        <v>229400</v>
      </c>
      <c r="D30" s="60">
        <f>SUM(D7:D29)</f>
        <v>303900</v>
      </c>
      <c r="E30" s="60">
        <f>SUM(E7:E29)</f>
        <v>231771</v>
      </c>
      <c r="F30" s="62">
        <f>E30/D30*100</f>
        <v>76.265547877591317</v>
      </c>
      <c r="G30" s="5"/>
    </row>
    <row r="31" spans="1:7" ht="15" customHeight="1" x14ac:dyDescent="0.2">
      <c r="C31" s="10"/>
    </row>
    <row r="32" spans="1:7" ht="15" hidden="1" customHeight="1" x14ac:dyDescent="0.2"/>
    <row r="34" spans="3:3" ht="15" customHeight="1" x14ac:dyDescent="0.2">
      <c r="C34" s="5"/>
    </row>
    <row r="35" spans="3:3" ht="15" customHeight="1" x14ac:dyDescent="0.2">
      <c r="C35" s="5"/>
    </row>
    <row r="36" spans="3:3" ht="15" customHeight="1" x14ac:dyDescent="0.2">
      <c r="C36" s="5"/>
    </row>
    <row r="37" spans="3:3" ht="15" customHeight="1" x14ac:dyDescent="0.2">
      <c r="C37" s="5"/>
    </row>
    <row r="38" spans="3:3" ht="15" customHeight="1" x14ac:dyDescent="0.2">
      <c r="C38" s="5"/>
    </row>
    <row r="39" spans="3:3" ht="15" customHeight="1" x14ac:dyDescent="0.2">
      <c r="C39" s="5"/>
    </row>
    <row r="40" spans="3:3" ht="15" customHeight="1" x14ac:dyDescent="0.2">
      <c r="C40" s="5"/>
    </row>
    <row r="41" spans="3:3" ht="15" customHeight="1" x14ac:dyDescent="0.2">
      <c r="C41" s="5"/>
    </row>
    <row r="42" spans="3:3" ht="15" customHeight="1" x14ac:dyDescent="0.2">
      <c r="C42" s="5"/>
    </row>
    <row r="43" spans="3:3" ht="15" customHeight="1" x14ac:dyDescent="0.2">
      <c r="C43" s="5"/>
    </row>
    <row r="44" spans="3:3" ht="15" customHeight="1" x14ac:dyDescent="0.2">
      <c r="C44" s="5"/>
    </row>
    <row r="45" spans="3:3" ht="15" customHeight="1" x14ac:dyDescent="0.2">
      <c r="C45" s="5"/>
    </row>
    <row r="46" spans="3:3" ht="15" customHeight="1" x14ac:dyDescent="0.2">
      <c r="C46" s="5"/>
    </row>
    <row r="47" spans="3:3" ht="15" customHeight="1" x14ac:dyDescent="0.2">
      <c r="C47" s="5"/>
    </row>
    <row r="48" spans="3:3" ht="15" customHeight="1" x14ac:dyDescent="0.2">
      <c r="C48" s="5"/>
    </row>
    <row r="49" spans="3:3" ht="15" customHeight="1" x14ac:dyDescent="0.2">
      <c r="C49" s="5"/>
    </row>
    <row r="50" spans="3:3" ht="15" customHeight="1" x14ac:dyDescent="0.2">
      <c r="C50" s="5"/>
    </row>
    <row r="51" spans="3:3" ht="15" customHeight="1" x14ac:dyDescent="0.2">
      <c r="C51" s="5"/>
    </row>
    <row r="52" spans="3:3" ht="15" customHeight="1" x14ac:dyDescent="0.2">
      <c r="C52" s="5"/>
    </row>
    <row r="53" spans="3:3" ht="15" customHeight="1" x14ac:dyDescent="0.2">
      <c r="C53" s="5"/>
    </row>
    <row r="54" spans="3:3" ht="15" customHeight="1" x14ac:dyDescent="0.2">
      <c r="C54" s="5"/>
    </row>
    <row r="55" spans="3:3" ht="15" customHeight="1" x14ac:dyDescent="0.2">
      <c r="C55" s="5"/>
    </row>
    <row r="56" spans="3:3" ht="15" customHeight="1" x14ac:dyDescent="0.2">
      <c r="C56" s="5"/>
    </row>
    <row r="57" spans="3:3" ht="15" customHeight="1" x14ac:dyDescent="0.2">
      <c r="C57" s="5"/>
    </row>
    <row r="58" spans="3:3" ht="15" customHeight="1" x14ac:dyDescent="0.2">
      <c r="C58" s="5"/>
    </row>
    <row r="59" spans="3:3" ht="15" customHeight="1" x14ac:dyDescent="0.2">
      <c r="C59" s="5"/>
    </row>
    <row r="60" spans="3:3" ht="15" customHeight="1" x14ac:dyDescent="0.2">
      <c r="C60" s="5"/>
    </row>
    <row r="61" spans="3:3" ht="15" customHeight="1" x14ac:dyDescent="0.2">
      <c r="C61" s="5"/>
    </row>
    <row r="62" spans="3:3" ht="15" customHeight="1" x14ac:dyDescent="0.2">
      <c r="C62" s="5"/>
    </row>
    <row r="63" spans="3:3" ht="15" customHeight="1" x14ac:dyDescent="0.2">
      <c r="C63" s="5"/>
    </row>
    <row r="64" spans="3:3" ht="15" customHeight="1" x14ac:dyDescent="0.2">
      <c r="C64" s="5"/>
    </row>
    <row r="65" spans="3:3" ht="15" customHeight="1" x14ac:dyDescent="0.2">
      <c r="C65" s="5"/>
    </row>
    <row r="66" spans="3:3" ht="15" customHeight="1" x14ac:dyDescent="0.2">
      <c r="C66" s="5"/>
    </row>
    <row r="67" spans="3:3" ht="15" customHeight="1" x14ac:dyDescent="0.2">
      <c r="C67" s="5"/>
    </row>
    <row r="68" spans="3:3" ht="15" customHeight="1" x14ac:dyDescent="0.2">
      <c r="C68" s="5"/>
    </row>
    <row r="69" spans="3:3" ht="15" customHeight="1" x14ac:dyDescent="0.2">
      <c r="C69" s="5"/>
    </row>
    <row r="70" spans="3:3" ht="15" customHeight="1" x14ac:dyDescent="0.2">
      <c r="C70" s="5"/>
    </row>
    <row r="71" spans="3:3" ht="15" customHeight="1" x14ac:dyDescent="0.2">
      <c r="C71" s="5"/>
    </row>
    <row r="72" spans="3:3" ht="15" customHeight="1" x14ac:dyDescent="0.2">
      <c r="C72" s="5"/>
    </row>
    <row r="73" spans="3:3" ht="15" customHeight="1" x14ac:dyDescent="0.2">
      <c r="C73" s="5"/>
    </row>
    <row r="74" spans="3:3" ht="15" customHeight="1" x14ac:dyDescent="0.2">
      <c r="C74" s="5"/>
    </row>
    <row r="75" spans="3:3" ht="15" customHeight="1" x14ac:dyDescent="0.2">
      <c r="C75" s="5"/>
    </row>
    <row r="76" spans="3:3" ht="15" customHeight="1" x14ac:dyDescent="0.2">
      <c r="C76" s="5"/>
    </row>
    <row r="77" spans="3:3" ht="15" customHeight="1" x14ac:dyDescent="0.2">
      <c r="C77" s="5"/>
    </row>
    <row r="78" spans="3:3" ht="15" customHeight="1" x14ac:dyDescent="0.2">
      <c r="C78" s="5"/>
    </row>
    <row r="79" spans="3:3" ht="15" customHeight="1" x14ac:dyDescent="0.2">
      <c r="C79" s="5"/>
    </row>
    <row r="80" spans="3:3" ht="15" customHeight="1" x14ac:dyDescent="0.2">
      <c r="C80" s="5"/>
    </row>
    <row r="81" spans="3:3" ht="15" customHeight="1" x14ac:dyDescent="0.2">
      <c r="C81" s="5"/>
    </row>
    <row r="82" spans="3:3" ht="15" customHeight="1" x14ac:dyDescent="0.2">
      <c r="C82" s="5"/>
    </row>
    <row r="83" spans="3:3" ht="15" customHeight="1" x14ac:dyDescent="0.2">
      <c r="C83" s="5"/>
    </row>
    <row r="84" spans="3:3" ht="15" customHeight="1" x14ac:dyDescent="0.2">
      <c r="C84" s="5"/>
    </row>
    <row r="85" spans="3:3" ht="15" customHeight="1" x14ac:dyDescent="0.2">
      <c r="C85" s="5"/>
    </row>
    <row r="86" spans="3:3" ht="15" customHeight="1" x14ac:dyDescent="0.2">
      <c r="C86" s="5"/>
    </row>
    <row r="87" spans="3:3" ht="15" customHeight="1" x14ac:dyDescent="0.2">
      <c r="C87" s="5"/>
    </row>
    <row r="88" spans="3:3" ht="15" customHeight="1" x14ac:dyDescent="0.2">
      <c r="C88" s="5"/>
    </row>
    <row r="89" spans="3:3" ht="15" customHeight="1" x14ac:dyDescent="0.2">
      <c r="C89" s="5"/>
    </row>
    <row r="90" spans="3:3" ht="15" customHeight="1" x14ac:dyDescent="0.2">
      <c r="C90" s="5"/>
    </row>
    <row r="91" spans="3:3" ht="15" customHeight="1" x14ac:dyDescent="0.2">
      <c r="C91" s="5"/>
    </row>
    <row r="92" spans="3:3" ht="15" customHeight="1" x14ac:dyDescent="0.2">
      <c r="C92" s="5"/>
    </row>
    <row r="93" spans="3:3" ht="15" customHeight="1" x14ac:dyDescent="0.2">
      <c r="C93" s="5"/>
    </row>
    <row r="94" spans="3:3" ht="15" customHeight="1" x14ac:dyDescent="0.2">
      <c r="C94" s="5"/>
    </row>
    <row r="95" spans="3:3" ht="15" customHeight="1" x14ac:dyDescent="0.2">
      <c r="C95" s="5"/>
    </row>
    <row r="96" spans="3:3" ht="15" customHeight="1" x14ac:dyDescent="0.2">
      <c r="C96" s="5"/>
    </row>
    <row r="97" spans="3:3" ht="15" customHeight="1" x14ac:dyDescent="0.2">
      <c r="C97" s="5"/>
    </row>
    <row r="98" spans="3:3" ht="15" customHeight="1" x14ac:dyDescent="0.2">
      <c r="C98" s="5"/>
    </row>
    <row r="99" spans="3:3" ht="15" customHeight="1" x14ac:dyDescent="0.2">
      <c r="C99" s="5"/>
    </row>
    <row r="100" spans="3:3" ht="15" customHeight="1" x14ac:dyDescent="0.2">
      <c r="C100" s="5"/>
    </row>
    <row r="101" spans="3:3" ht="15" customHeight="1" x14ac:dyDescent="0.2">
      <c r="C101" s="5"/>
    </row>
    <row r="102" spans="3:3" ht="15" customHeight="1" x14ac:dyDescent="0.2">
      <c r="C102" s="5"/>
    </row>
    <row r="103" spans="3:3" ht="15" customHeight="1" x14ac:dyDescent="0.2">
      <c r="C103" s="5"/>
    </row>
    <row r="104" spans="3:3" ht="15" customHeight="1" x14ac:dyDescent="0.2">
      <c r="C104" s="5"/>
    </row>
    <row r="105" spans="3:3" ht="15" customHeight="1" x14ac:dyDescent="0.2">
      <c r="C105" s="5"/>
    </row>
    <row r="106" spans="3:3" ht="15" customHeight="1" x14ac:dyDescent="0.2">
      <c r="C106" s="5"/>
    </row>
    <row r="107" spans="3:3" ht="15" customHeight="1" x14ac:dyDescent="0.2">
      <c r="C107" s="5"/>
    </row>
    <row r="108" spans="3:3" ht="15" customHeight="1" x14ac:dyDescent="0.2">
      <c r="C108" s="5"/>
    </row>
    <row r="109" spans="3:3" ht="15" customHeight="1" x14ac:dyDescent="0.2">
      <c r="C109" s="5"/>
    </row>
    <row r="110" spans="3:3" ht="15" customHeight="1" x14ac:dyDescent="0.2">
      <c r="C110" s="5"/>
    </row>
    <row r="111" spans="3:3" ht="15" customHeight="1" x14ac:dyDescent="0.2">
      <c r="C111" s="5"/>
    </row>
    <row r="112" spans="3:3" ht="15" customHeight="1" x14ac:dyDescent="0.2">
      <c r="C112" s="5"/>
    </row>
    <row r="113" spans="3:3" ht="15" customHeight="1" x14ac:dyDescent="0.2">
      <c r="C113" s="5"/>
    </row>
    <row r="114" spans="3:3" ht="15" customHeight="1" x14ac:dyDescent="0.2">
      <c r="C114" s="5"/>
    </row>
    <row r="115" spans="3:3" ht="15" customHeight="1" x14ac:dyDescent="0.2">
      <c r="C115" s="5"/>
    </row>
    <row r="116" spans="3:3" ht="15" customHeight="1" x14ac:dyDescent="0.2">
      <c r="C116" s="5"/>
    </row>
    <row r="117" spans="3:3" ht="15" customHeight="1" x14ac:dyDescent="0.2">
      <c r="C117" s="5"/>
    </row>
    <row r="118" spans="3:3" ht="15" customHeight="1" x14ac:dyDescent="0.2">
      <c r="C118" s="5"/>
    </row>
    <row r="119" spans="3:3" ht="15" customHeight="1" x14ac:dyDescent="0.2">
      <c r="C119" s="5"/>
    </row>
    <row r="120" spans="3:3" ht="15" customHeight="1" x14ac:dyDescent="0.2">
      <c r="C120" s="5"/>
    </row>
    <row r="121" spans="3:3" ht="15" customHeight="1" x14ac:dyDescent="0.2">
      <c r="C121" s="5"/>
    </row>
    <row r="122" spans="3:3" ht="15" customHeight="1" x14ac:dyDescent="0.2">
      <c r="C122" s="5"/>
    </row>
    <row r="123" spans="3:3" ht="15" customHeight="1" x14ac:dyDescent="0.2">
      <c r="C123" s="5"/>
    </row>
    <row r="124" spans="3:3" ht="15" customHeight="1" x14ac:dyDescent="0.2">
      <c r="C124" s="5"/>
    </row>
    <row r="125" spans="3:3" ht="15" customHeight="1" x14ac:dyDescent="0.2">
      <c r="C125" s="5"/>
    </row>
    <row r="126" spans="3:3" ht="15" customHeight="1" x14ac:dyDescent="0.2">
      <c r="C126" s="5"/>
    </row>
    <row r="127" spans="3:3" ht="15" customHeight="1" x14ac:dyDescent="0.2">
      <c r="C127" s="5"/>
    </row>
    <row r="128" spans="3:3" ht="15" customHeight="1" x14ac:dyDescent="0.2">
      <c r="C128" s="5"/>
    </row>
    <row r="129" spans="3:3" ht="15" customHeight="1" x14ac:dyDescent="0.2">
      <c r="C129" s="5"/>
    </row>
    <row r="130" spans="3:3" ht="15" customHeight="1" x14ac:dyDescent="0.2">
      <c r="C130" s="5"/>
    </row>
    <row r="131" spans="3:3" ht="15" customHeight="1" x14ac:dyDescent="0.2">
      <c r="C131" s="5"/>
    </row>
    <row r="132" spans="3:3" ht="15" customHeight="1" x14ac:dyDescent="0.2">
      <c r="C132" s="5"/>
    </row>
    <row r="133" spans="3:3" ht="15" customHeight="1" x14ac:dyDescent="0.2">
      <c r="C133" s="5"/>
    </row>
    <row r="134" spans="3:3" ht="15" customHeight="1" x14ac:dyDescent="0.2">
      <c r="C134" s="5"/>
    </row>
    <row r="135" spans="3:3" ht="15" customHeight="1" x14ac:dyDescent="0.2">
      <c r="C135" s="5"/>
    </row>
    <row r="136" spans="3:3" ht="15" customHeight="1" x14ac:dyDescent="0.2">
      <c r="C136" s="5"/>
    </row>
    <row r="137" spans="3:3" ht="15" customHeight="1" x14ac:dyDescent="0.2">
      <c r="C137" s="5"/>
    </row>
    <row r="138" spans="3:3" ht="15" customHeight="1" x14ac:dyDescent="0.2">
      <c r="C138" s="5"/>
    </row>
    <row r="139" spans="3:3" ht="15" customHeight="1" x14ac:dyDescent="0.2">
      <c r="C139" s="5"/>
    </row>
    <row r="140" spans="3:3" ht="15" customHeight="1" x14ac:dyDescent="0.2">
      <c r="C140" s="5"/>
    </row>
    <row r="141" spans="3:3" ht="15" customHeight="1" x14ac:dyDescent="0.2">
      <c r="C141" s="5"/>
    </row>
    <row r="142" spans="3:3" ht="15" customHeight="1" x14ac:dyDescent="0.2">
      <c r="C142" s="5"/>
    </row>
    <row r="143" spans="3:3" ht="15" customHeight="1" x14ac:dyDescent="0.2">
      <c r="C143" s="5"/>
    </row>
    <row r="144" spans="3:3" ht="15" customHeight="1" x14ac:dyDescent="0.2">
      <c r="C144" s="5"/>
    </row>
    <row r="145" spans="3:3" ht="15" customHeight="1" x14ac:dyDescent="0.2">
      <c r="C145" s="5"/>
    </row>
    <row r="146" spans="3:3" ht="15" customHeight="1" x14ac:dyDescent="0.2">
      <c r="C146" s="5"/>
    </row>
    <row r="147" spans="3:3" ht="15" customHeight="1" x14ac:dyDescent="0.2">
      <c r="C147" s="5"/>
    </row>
    <row r="148" spans="3:3" ht="15" customHeight="1" x14ac:dyDescent="0.2">
      <c r="C148" s="5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7" orientation="portrait" r:id="rId1"/>
  <headerFooter alignWithMargins="0">
    <oddHeader>&amp;R&amp;"Times New Roman CE,Félkövér"&amp;16 &amp;"Arial,Félkövér"&amp;14 16. melléklet a …../2018. (…….) önkormányzati rendelethez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8"/>
  <sheetViews>
    <sheetView zoomScaleNormal="100" workbookViewId="0">
      <selection activeCell="B1" sqref="B1:G1"/>
    </sheetView>
  </sheetViews>
  <sheetFormatPr defaultColWidth="10.6640625" defaultRowHeight="15" x14ac:dyDescent="0.2"/>
  <cols>
    <col min="1" max="1" width="13.33203125" style="38" customWidth="1"/>
    <col min="2" max="2" width="6" style="38" customWidth="1"/>
    <col min="3" max="3" width="126.83203125" style="38" customWidth="1"/>
    <col min="4" max="7" width="22.83203125" style="38" customWidth="1"/>
    <col min="8" max="16384" width="10.6640625" style="38"/>
  </cols>
  <sheetData>
    <row r="1" spans="1:7" ht="22.5" customHeight="1" x14ac:dyDescent="0.3">
      <c r="B1" s="2662" t="s">
        <v>455</v>
      </c>
      <c r="C1" s="2662"/>
      <c r="D1" s="2662"/>
      <c r="E1" s="2663"/>
      <c r="F1" s="2663"/>
      <c r="G1" s="2663"/>
    </row>
    <row r="2" spans="1:7" ht="16.5" thickBot="1" x14ac:dyDescent="0.3">
      <c r="C2" s="167"/>
      <c r="D2" s="168"/>
      <c r="G2" s="168" t="s">
        <v>32</v>
      </c>
    </row>
    <row r="3" spans="1:7" ht="22.5" customHeight="1" x14ac:dyDescent="0.25">
      <c r="B3" s="169"/>
      <c r="C3" s="170" t="s">
        <v>50</v>
      </c>
      <c r="D3" s="2666" t="s">
        <v>512</v>
      </c>
      <c r="E3" s="2667"/>
      <c r="F3" s="63" t="s">
        <v>662</v>
      </c>
      <c r="G3" s="209" t="s">
        <v>178</v>
      </c>
    </row>
    <row r="4" spans="1:7" ht="22.5" customHeight="1" thickBot="1" x14ac:dyDescent="0.3">
      <c r="B4" s="171"/>
      <c r="C4" s="172"/>
      <c r="D4" s="233" t="s">
        <v>335</v>
      </c>
      <c r="E4" s="233" t="s">
        <v>176</v>
      </c>
      <c r="F4" s="234" t="s">
        <v>177</v>
      </c>
      <c r="G4" s="97" t="s">
        <v>179</v>
      </c>
    </row>
    <row r="5" spans="1:7" ht="21.75" customHeight="1" x14ac:dyDescent="0.25">
      <c r="B5" s="173" t="s">
        <v>510</v>
      </c>
      <c r="C5" s="174"/>
      <c r="D5" s="175"/>
      <c r="E5" s="175"/>
      <c r="F5" s="175"/>
      <c r="G5" s="175"/>
    </row>
    <row r="6" spans="1:7" s="61" customFormat="1" ht="21.95" customHeight="1" x14ac:dyDescent="0.2">
      <c r="B6" s="120"/>
      <c r="C6" s="489" t="s">
        <v>464</v>
      </c>
      <c r="D6" s="180"/>
      <c r="E6" s="180">
        <v>155</v>
      </c>
      <c r="F6" s="180">
        <v>155</v>
      </c>
      <c r="G6" s="404">
        <f t="shared" ref="G6:G42" si="0">+F6/E6*100</f>
        <v>100</v>
      </c>
    </row>
    <row r="7" spans="1:7" s="61" customFormat="1" ht="36" customHeight="1" x14ac:dyDescent="0.2">
      <c r="B7" s="120"/>
      <c r="C7" s="485" t="s">
        <v>284</v>
      </c>
      <c r="D7" s="180"/>
      <c r="E7" s="180">
        <v>5140</v>
      </c>
      <c r="F7" s="180">
        <v>5140</v>
      </c>
      <c r="G7" s="404">
        <f t="shared" si="0"/>
        <v>100</v>
      </c>
    </row>
    <row r="8" spans="1:7" s="61" customFormat="1" ht="21.95" customHeight="1" x14ac:dyDescent="0.2">
      <c r="B8" s="120"/>
      <c r="C8" s="489" t="s">
        <v>665</v>
      </c>
      <c r="D8" s="180"/>
      <c r="E8" s="180">
        <v>97000</v>
      </c>
      <c r="F8" s="180">
        <v>97000</v>
      </c>
      <c r="G8" s="404">
        <f t="shared" si="0"/>
        <v>100</v>
      </c>
    </row>
    <row r="9" spans="1:7" s="61" customFormat="1" ht="21.95" customHeight="1" x14ac:dyDescent="0.2">
      <c r="B9" s="120"/>
      <c r="C9" s="834" t="s">
        <v>361</v>
      </c>
      <c r="D9" s="835"/>
      <c r="E9" s="835">
        <v>15000</v>
      </c>
      <c r="F9" s="835">
        <v>15000</v>
      </c>
      <c r="G9" s="836">
        <f t="shared" si="0"/>
        <v>100</v>
      </c>
    </row>
    <row r="10" spans="1:7" s="331" customFormat="1" ht="21.95" customHeight="1" x14ac:dyDescent="0.2">
      <c r="B10" s="332"/>
      <c r="C10" s="837" t="s">
        <v>198</v>
      </c>
      <c r="D10" s="838">
        <f>SUM(D6:D9)</f>
        <v>0</v>
      </c>
      <c r="E10" s="838">
        <f>SUM(E6:E9)</f>
        <v>117295</v>
      </c>
      <c r="F10" s="838">
        <f>SUM(F6:F9)</f>
        <v>117295</v>
      </c>
      <c r="G10" s="839">
        <f t="shared" ref="G10" si="1">+F10/E10*100</f>
        <v>100</v>
      </c>
    </row>
    <row r="11" spans="1:7" s="61" customFormat="1" ht="31.5" x14ac:dyDescent="0.25">
      <c r="B11" s="120"/>
      <c r="C11" s="842" t="s">
        <v>230</v>
      </c>
      <c r="D11" s="843">
        <f>SUM(D12)</f>
        <v>0</v>
      </c>
      <c r="E11" s="843">
        <f>SUM(E12)</f>
        <v>0</v>
      </c>
      <c r="F11" s="843">
        <f>SUM(F12)</f>
        <v>0</v>
      </c>
      <c r="G11" s="1912"/>
    </row>
    <row r="12" spans="1:7" s="61" customFormat="1" ht="21.95" customHeight="1" x14ac:dyDescent="0.2">
      <c r="B12" s="120"/>
      <c r="C12" s="844"/>
      <c r="D12" s="845"/>
      <c r="E12" s="845"/>
      <c r="F12" s="845"/>
      <c r="G12" s="1911"/>
    </row>
    <row r="13" spans="1:7" s="333" customFormat="1" ht="21.75" customHeight="1" x14ac:dyDescent="0.2">
      <c r="A13" s="38"/>
      <c r="B13" s="334"/>
      <c r="C13" s="490" t="s">
        <v>432</v>
      </c>
      <c r="D13" s="335"/>
      <c r="E13" s="180">
        <v>3500</v>
      </c>
      <c r="F13" s="180">
        <v>1500</v>
      </c>
      <c r="G13" s="325">
        <f t="shared" si="0"/>
        <v>42.857142857142854</v>
      </c>
    </row>
    <row r="14" spans="1:7" ht="21.75" customHeight="1" x14ac:dyDescent="0.2">
      <c r="B14" s="96"/>
      <c r="C14" s="129" t="s">
        <v>490</v>
      </c>
      <c r="D14" s="182"/>
      <c r="E14" s="182">
        <v>415500</v>
      </c>
      <c r="F14" s="182">
        <v>39458</v>
      </c>
      <c r="G14" s="325">
        <f t="shared" si="0"/>
        <v>9.4965102286401919</v>
      </c>
    </row>
    <row r="15" spans="1:7" ht="21.75" customHeight="1" x14ac:dyDescent="0.2">
      <c r="B15" s="96"/>
      <c r="C15" s="482" t="s">
        <v>472</v>
      </c>
      <c r="D15" s="182"/>
      <c r="E15" s="182">
        <v>7242</v>
      </c>
      <c r="F15" s="182"/>
      <c r="G15" s="325">
        <f t="shared" si="0"/>
        <v>0</v>
      </c>
    </row>
    <row r="16" spans="1:7" ht="21.75" customHeight="1" x14ac:dyDescent="0.2">
      <c r="B16" s="96"/>
      <c r="C16" s="129" t="s">
        <v>487</v>
      </c>
      <c r="D16" s="182"/>
      <c r="E16" s="182">
        <v>6871</v>
      </c>
      <c r="F16" s="182"/>
      <c r="G16" s="325">
        <f t="shared" si="0"/>
        <v>0</v>
      </c>
    </row>
    <row r="17" spans="2:7" ht="21.75" customHeight="1" x14ac:dyDescent="0.2">
      <c r="B17" s="96"/>
      <c r="C17" s="491" t="s">
        <v>488</v>
      </c>
      <c r="D17" s="182"/>
      <c r="E17" s="182">
        <v>12295</v>
      </c>
      <c r="F17" s="182"/>
      <c r="G17" s="325">
        <f t="shared" si="0"/>
        <v>0</v>
      </c>
    </row>
    <row r="18" spans="2:7" ht="21.75" customHeight="1" x14ac:dyDescent="0.2">
      <c r="B18" s="96"/>
      <c r="C18" s="482" t="s">
        <v>473</v>
      </c>
      <c r="D18" s="182"/>
      <c r="E18" s="182">
        <v>364327</v>
      </c>
      <c r="F18" s="182">
        <v>1790</v>
      </c>
      <c r="G18" s="325">
        <f t="shared" si="0"/>
        <v>0.49131686644141115</v>
      </c>
    </row>
    <row r="19" spans="2:7" ht="21.75" customHeight="1" x14ac:dyDescent="0.2">
      <c r="B19" s="96"/>
      <c r="C19" s="482" t="s">
        <v>474</v>
      </c>
      <c r="D19" s="182"/>
      <c r="E19" s="182">
        <v>532875</v>
      </c>
      <c r="F19" s="182"/>
      <c r="G19" s="325">
        <f t="shared" si="0"/>
        <v>0</v>
      </c>
    </row>
    <row r="20" spans="2:7" ht="21.75" customHeight="1" x14ac:dyDescent="0.2">
      <c r="B20" s="96"/>
      <c r="C20" s="482" t="s">
        <v>486</v>
      </c>
      <c r="D20" s="182"/>
      <c r="E20" s="182">
        <v>480375</v>
      </c>
      <c r="F20" s="182"/>
      <c r="G20" s="325">
        <f t="shared" si="0"/>
        <v>0</v>
      </c>
    </row>
    <row r="21" spans="2:7" ht="21.75" customHeight="1" x14ac:dyDescent="0.2">
      <c r="B21" s="96"/>
      <c r="C21" s="482" t="s">
        <v>478</v>
      </c>
      <c r="D21" s="182"/>
      <c r="E21" s="182">
        <v>606375</v>
      </c>
      <c r="F21" s="182"/>
      <c r="G21" s="325">
        <f t="shared" si="0"/>
        <v>0</v>
      </c>
    </row>
    <row r="22" spans="2:7" ht="21.75" customHeight="1" x14ac:dyDescent="0.2">
      <c r="B22" s="96"/>
      <c r="C22" s="482" t="s">
        <v>489</v>
      </c>
      <c r="D22" s="182"/>
      <c r="E22" s="182">
        <v>356250</v>
      </c>
      <c r="F22" s="182">
        <v>22942</v>
      </c>
      <c r="G22" s="325">
        <f t="shared" si="0"/>
        <v>6.4398596491228073</v>
      </c>
    </row>
    <row r="23" spans="2:7" ht="21.75" customHeight="1" x14ac:dyDescent="0.2">
      <c r="B23" s="96"/>
      <c r="C23" s="482" t="s">
        <v>666</v>
      </c>
      <c r="D23" s="182"/>
      <c r="E23" s="182">
        <v>179378</v>
      </c>
      <c r="F23" s="182"/>
      <c r="G23" s="325">
        <f t="shared" si="0"/>
        <v>0</v>
      </c>
    </row>
    <row r="24" spans="2:7" ht="21.75" customHeight="1" x14ac:dyDescent="0.2">
      <c r="B24" s="96"/>
      <c r="C24" s="129" t="s">
        <v>502</v>
      </c>
      <c r="D24" s="182"/>
      <c r="E24" s="182">
        <v>840525</v>
      </c>
      <c r="F24" s="182"/>
      <c r="G24" s="325">
        <f t="shared" si="0"/>
        <v>0</v>
      </c>
    </row>
    <row r="25" spans="2:7" ht="21.75" customHeight="1" x14ac:dyDescent="0.2">
      <c r="B25" s="96"/>
      <c r="C25" s="482" t="s">
        <v>501</v>
      </c>
      <c r="D25" s="182"/>
      <c r="E25" s="182">
        <v>294696</v>
      </c>
      <c r="F25" s="182">
        <v>19317</v>
      </c>
      <c r="G25" s="325">
        <f t="shared" si="0"/>
        <v>6.5548904633927849</v>
      </c>
    </row>
    <row r="26" spans="2:7" ht="21.75" customHeight="1" x14ac:dyDescent="0.2">
      <c r="B26" s="96"/>
      <c r="C26" s="482" t="s">
        <v>493</v>
      </c>
      <c r="D26" s="182"/>
      <c r="E26" s="182">
        <v>14478</v>
      </c>
      <c r="F26" s="182"/>
      <c r="G26" s="325">
        <f t="shared" si="0"/>
        <v>0</v>
      </c>
    </row>
    <row r="27" spans="2:7" ht="21.75" customHeight="1" x14ac:dyDescent="0.2">
      <c r="B27" s="96"/>
      <c r="C27" s="482" t="s">
        <v>479</v>
      </c>
      <c r="D27" s="182"/>
      <c r="E27" s="182">
        <v>13653</v>
      </c>
      <c r="F27" s="182"/>
      <c r="G27" s="325">
        <f t="shared" si="0"/>
        <v>0</v>
      </c>
    </row>
    <row r="28" spans="2:7" ht="21.75" customHeight="1" x14ac:dyDescent="0.2">
      <c r="B28" s="96"/>
      <c r="C28" s="482" t="s">
        <v>491</v>
      </c>
      <c r="D28" s="182"/>
      <c r="E28" s="182">
        <v>8319</v>
      </c>
      <c r="F28" s="182"/>
      <c r="G28" s="325">
        <f t="shared" si="0"/>
        <v>0</v>
      </c>
    </row>
    <row r="29" spans="2:7" ht="21.75" customHeight="1" x14ac:dyDescent="0.2">
      <c r="B29" s="96"/>
      <c r="C29" s="482" t="s">
        <v>492</v>
      </c>
      <c r="D29" s="182"/>
      <c r="E29" s="182">
        <v>13462</v>
      </c>
      <c r="F29" s="182"/>
      <c r="G29" s="325">
        <f t="shared" si="0"/>
        <v>0</v>
      </c>
    </row>
    <row r="30" spans="2:7" ht="21.75" customHeight="1" x14ac:dyDescent="0.2">
      <c r="B30" s="96"/>
      <c r="C30" s="874" t="s">
        <v>496</v>
      </c>
      <c r="D30" s="182"/>
      <c r="E30" s="182">
        <v>20269</v>
      </c>
      <c r="F30" s="182"/>
      <c r="G30" s="841">
        <f t="shared" si="0"/>
        <v>0</v>
      </c>
    </row>
    <row r="31" spans="2:7" ht="21.75" customHeight="1" x14ac:dyDescent="0.2">
      <c r="B31" s="96"/>
      <c r="C31" s="482" t="s">
        <v>667</v>
      </c>
      <c r="D31" s="182"/>
      <c r="E31" s="182">
        <v>460000</v>
      </c>
      <c r="F31" s="182"/>
      <c r="G31" s="841">
        <f t="shared" si="0"/>
        <v>0</v>
      </c>
    </row>
    <row r="32" spans="2:7" ht="21.75" customHeight="1" x14ac:dyDescent="0.2">
      <c r="B32" s="96"/>
      <c r="C32" s="482" t="s">
        <v>668</v>
      </c>
      <c r="D32" s="182"/>
      <c r="E32" s="182">
        <v>1128180</v>
      </c>
      <c r="F32" s="182"/>
      <c r="G32" s="841">
        <f t="shared" si="0"/>
        <v>0</v>
      </c>
    </row>
    <row r="33" spans="1:7" ht="21.75" customHeight="1" x14ac:dyDescent="0.2">
      <c r="B33" s="96"/>
      <c r="C33" s="482" t="s">
        <v>690</v>
      </c>
      <c r="D33" s="182"/>
      <c r="E33" s="182">
        <v>1420000</v>
      </c>
      <c r="F33" s="182"/>
      <c r="G33" s="841">
        <f t="shared" si="0"/>
        <v>0</v>
      </c>
    </row>
    <row r="34" spans="1:7" ht="21.75" customHeight="1" x14ac:dyDescent="0.2">
      <c r="B34" s="96"/>
      <c r="C34" s="879" t="s">
        <v>607</v>
      </c>
      <c r="D34" s="182"/>
      <c r="E34" s="182">
        <v>14647</v>
      </c>
      <c r="F34" s="182">
        <f>27027-12380</f>
        <v>14647</v>
      </c>
      <c r="G34" s="841">
        <f t="shared" si="0"/>
        <v>100</v>
      </c>
    </row>
    <row r="35" spans="1:7" ht="21.75" customHeight="1" x14ac:dyDescent="0.2">
      <c r="B35" s="96"/>
      <c r="C35" s="482" t="s">
        <v>611</v>
      </c>
      <c r="D35" s="182"/>
      <c r="E35" s="182">
        <v>10651</v>
      </c>
      <c r="F35" s="182">
        <v>10651</v>
      </c>
      <c r="G35" s="325">
        <f t="shared" si="0"/>
        <v>100</v>
      </c>
    </row>
    <row r="36" spans="1:7" ht="21.75" customHeight="1" x14ac:dyDescent="0.2">
      <c r="B36" s="96"/>
      <c r="C36" s="482" t="s">
        <v>621</v>
      </c>
      <c r="D36" s="182"/>
      <c r="E36" s="182">
        <v>6300</v>
      </c>
      <c r="F36" s="182">
        <v>6300</v>
      </c>
      <c r="G36" s="325">
        <f t="shared" si="0"/>
        <v>100</v>
      </c>
    </row>
    <row r="37" spans="1:7" ht="38.25" customHeight="1" x14ac:dyDescent="0.2">
      <c r="B37" s="96"/>
      <c r="C37" s="988" t="s">
        <v>669</v>
      </c>
      <c r="D37" s="840"/>
      <c r="E37" s="840">
        <v>12380</v>
      </c>
      <c r="F37" s="840">
        <v>12380</v>
      </c>
      <c r="G37" s="325">
        <f t="shared" si="0"/>
        <v>100</v>
      </c>
    </row>
    <row r="38" spans="1:7" ht="34.5" customHeight="1" x14ac:dyDescent="0.2">
      <c r="B38" s="96"/>
      <c r="C38" s="879" t="s">
        <v>627</v>
      </c>
      <c r="D38" s="182"/>
      <c r="E38" s="182">
        <v>1500000</v>
      </c>
      <c r="F38" s="182">
        <v>119933</v>
      </c>
      <c r="G38" s="841">
        <f t="shared" si="0"/>
        <v>7.9955333333333334</v>
      </c>
    </row>
    <row r="39" spans="1:7" ht="25.5" customHeight="1" x14ac:dyDescent="0.2">
      <c r="B39" s="96"/>
      <c r="C39" s="482" t="s">
        <v>675</v>
      </c>
      <c r="D39" s="182"/>
      <c r="E39" s="182">
        <v>267970</v>
      </c>
      <c r="F39" s="182">
        <v>21590</v>
      </c>
      <c r="G39" s="841">
        <f t="shared" si="0"/>
        <v>8.0568720379146921</v>
      </c>
    </row>
    <row r="40" spans="1:7" ht="37.5" customHeight="1" x14ac:dyDescent="0.2">
      <c r="B40" s="96"/>
      <c r="C40" s="879" t="s">
        <v>679</v>
      </c>
      <c r="D40" s="182"/>
      <c r="E40" s="182">
        <v>195011</v>
      </c>
      <c r="F40" s="182">
        <v>10195</v>
      </c>
      <c r="G40" s="841">
        <f t="shared" si="0"/>
        <v>5.227910220449103</v>
      </c>
    </row>
    <row r="41" spans="1:7" ht="21.75" customHeight="1" x14ac:dyDescent="0.2">
      <c r="B41" s="96"/>
      <c r="C41" s="893" t="s">
        <v>680</v>
      </c>
      <c r="D41" s="894"/>
      <c r="E41" s="894">
        <v>94500</v>
      </c>
      <c r="F41" s="894">
        <v>94500</v>
      </c>
      <c r="G41" s="882">
        <f t="shared" si="0"/>
        <v>100</v>
      </c>
    </row>
    <row r="42" spans="1:7" ht="21.75" customHeight="1" x14ac:dyDescent="0.2">
      <c r="B42" s="96"/>
      <c r="C42" s="891" t="s">
        <v>199</v>
      </c>
      <c r="D42" s="892">
        <f>SUM(D13:D41)</f>
        <v>0</v>
      </c>
      <c r="E42" s="892">
        <f>SUM(E13:E41)</f>
        <v>9280029</v>
      </c>
      <c r="F42" s="892">
        <f>SUM(F13:F41)</f>
        <v>375203</v>
      </c>
      <c r="G42" s="880">
        <f t="shared" si="0"/>
        <v>4.043123141102253</v>
      </c>
    </row>
    <row r="43" spans="1:7" ht="22.5" customHeight="1" x14ac:dyDescent="0.25">
      <c r="B43" s="388" t="s">
        <v>462</v>
      </c>
      <c r="C43" s="389"/>
      <c r="D43" s="101">
        <f>+D42+D11+D10</f>
        <v>0</v>
      </c>
      <c r="E43" s="101">
        <f>+E42+E11+E10</f>
        <v>9397324</v>
      </c>
      <c r="F43" s="101">
        <f>+F42+F11+F10</f>
        <v>492498</v>
      </c>
      <c r="G43" s="336">
        <f>+F43/E43*100</f>
        <v>5.2408323901570277</v>
      </c>
    </row>
    <row r="44" spans="1:7" ht="22.5" customHeight="1" x14ac:dyDescent="0.25">
      <c r="B44" s="173" t="s">
        <v>456</v>
      </c>
      <c r="C44" s="174"/>
      <c r="D44" s="175"/>
      <c r="E44" s="175"/>
      <c r="F44" s="175"/>
      <c r="G44" s="175"/>
    </row>
    <row r="45" spans="1:7" ht="32.25" customHeight="1" x14ac:dyDescent="0.2">
      <c r="A45" s="379"/>
      <c r="B45" s="96"/>
      <c r="C45" s="103" t="s">
        <v>392</v>
      </c>
      <c r="D45" s="123">
        <v>550000</v>
      </c>
      <c r="E45" s="123">
        <v>131372</v>
      </c>
      <c r="F45" s="123">
        <v>131372</v>
      </c>
      <c r="G45" s="235">
        <f t="shared" ref="G45:G48" si="2">+F45/E45*100</f>
        <v>100</v>
      </c>
    </row>
    <row r="46" spans="1:7" ht="21.75" customHeight="1" x14ac:dyDescent="0.2">
      <c r="B46" s="96"/>
      <c r="C46" s="129" t="s">
        <v>65</v>
      </c>
      <c r="D46" s="123"/>
      <c r="E46" s="123">
        <v>12480</v>
      </c>
      <c r="F46" s="123">
        <v>12480</v>
      </c>
      <c r="G46" s="235">
        <f t="shared" si="2"/>
        <v>100</v>
      </c>
    </row>
    <row r="47" spans="1:7" ht="21.75" customHeight="1" thickBot="1" x14ac:dyDescent="0.25">
      <c r="B47" s="96"/>
      <c r="C47" s="129" t="s">
        <v>465</v>
      </c>
      <c r="D47" s="123"/>
      <c r="E47" s="123">
        <v>527</v>
      </c>
      <c r="F47" s="123">
        <v>527</v>
      </c>
      <c r="G47" s="235">
        <f t="shared" si="2"/>
        <v>100</v>
      </c>
    </row>
    <row r="48" spans="1:7" ht="21.95" customHeight="1" thickBot="1" x14ac:dyDescent="0.3">
      <c r="B48" s="177" t="s">
        <v>457</v>
      </c>
      <c r="C48" s="178"/>
      <c r="D48" s="179">
        <f>SUM(D45:D47)</f>
        <v>550000</v>
      </c>
      <c r="E48" s="179">
        <f>SUM(E45:E47)</f>
        <v>144379</v>
      </c>
      <c r="F48" s="179">
        <f>SUM(F45:F47)</f>
        <v>144379</v>
      </c>
      <c r="G48" s="236">
        <f t="shared" si="2"/>
        <v>100</v>
      </c>
    </row>
    <row r="49" spans="2:7" ht="21.95" customHeight="1" x14ac:dyDescent="0.25">
      <c r="B49" s="184" t="s">
        <v>463</v>
      </c>
      <c r="C49" s="185"/>
      <c r="D49" s="186"/>
      <c r="E49" s="186"/>
      <c r="F49" s="186"/>
      <c r="G49" s="186"/>
    </row>
    <row r="50" spans="2:7" ht="33.75" customHeight="1" x14ac:dyDescent="0.25">
      <c r="B50" s="184"/>
      <c r="C50" s="351" t="s">
        <v>145</v>
      </c>
      <c r="D50" s="387"/>
      <c r="E50" s="387"/>
      <c r="F50" s="387"/>
      <c r="G50" s="387"/>
    </row>
    <row r="51" spans="2:7" ht="21.95" customHeight="1" x14ac:dyDescent="0.2">
      <c r="B51" s="96"/>
      <c r="C51" s="187" t="s">
        <v>385</v>
      </c>
      <c r="D51" s="176">
        <v>10000</v>
      </c>
      <c r="E51" s="176">
        <v>18187</v>
      </c>
      <c r="F51" s="176">
        <v>18187</v>
      </c>
      <c r="G51" s="235">
        <f>+F51/E51*100</f>
        <v>100</v>
      </c>
    </row>
    <row r="52" spans="2:7" ht="21.95" customHeight="1" x14ac:dyDescent="0.2">
      <c r="B52" s="96"/>
      <c r="C52" s="166" t="s">
        <v>64</v>
      </c>
      <c r="D52" s="123">
        <v>23000</v>
      </c>
      <c r="E52" s="123">
        <v>16052</v>
      </c>
      <c r="F52" s="123">
        <v>16052</v>
      </c>
      <c r="G52" s="235">
        <f>+F52/E52*100</f>
        <v>100</v>
      </c>
    </row>
    <row r="53" spans="2:7" ht="21.95" customHeight="1" x14ac:dyDescent="0.25">
      <c r="B53" s="96"/>
      <c r="C53" s="431" t="s">
        <v>200</v>
      </c>
      <c r="D53" s="123"/>
      <c r="E53" s="123"/>
      <c r="F53" s="123"/>
      <c r="G53" s="235"/>
    </row>
    <row r="54" spans="2:7" ht="21.95" customHeight="1" x14ac:dyDescent="0.2">
      <c r="B54" s="96"/>
      <c r="C54" s="486" t="s">
        <v>583</v>
      </c>
      <c r="D54" s="123"/>
      <c r="E54" s="123">
        <v>1243</v>
      </c>
      <c r="F54" s="123">
        <v>1243</v>
      </c>
      <c r="G54" s="235">
        <f t="shared" ref="G54" si="3">+F54/E54*100</f>
        <v>100</v>
      </c>
    </row>
    <row r="55" spans="2:7" ht="21.95" customHeight="1" x14ac:dyDescent="0.25">
      <c r="B55" s="2664" t="s">
        <v>0</v>
      </c>
      <c r="C55" s="2665"/>
      <c r="D55" s="101">
        <f>SUM(D49:D53)</f>
        <v>33000</v>
      </c>
      <c r="E55" s="101">
        <f>SUM(E49:E54)</f>
        <v>35482</v>
      </c>
      <c r="F55" s="101">
        <f>SUM(F49:F54)</f>
        <v>35482</v>
      </c>
      <c r="G55" s="238">
        <f>+F55/E55*100</f>
        <v>100</v>
      </c>
    </row>
    <row r="56" spans="2:7" ht="21.95" customHeight="1" thickBot="1" x14ac:dyDescent="0.3">
      <c r="B56" s="2670" t="s">
        <v>1</v>
      </c>
      <c r="C56" s="2671"/>
      <c r="D56" s="130">
        <f>D48+D43+D55</f>
        <v>583000</v>
      </c>
      <c r="E56" s="130">
        <f>E48+E43+E55</f>
        <v>9577185</v>
      </c>
      <c r="F56" s="130">
        <f>F48+F43+F55</f>
        <v>672359</v>
      </c>
      <c r="G56" s="237">
        <f>+F56/E56*100</f>
        <v>7.0204240598881613</v>
      </c>
    </row>
    <row r="57" spans="2:7" ht="21.95" customHeight="1" x14ac:dyDescent="0.25">
      <c r="B57" s="160" t="s">
        <v>446</v>
      </c>
      <c r="C57" s="327"/>
      <c r="D57" s="186"/>
      <c r="E57" s="186"/>
      <c r="F57" s="186"/>
      <c r="G57" s="186"/>
    </row>
    <row r="58" spans="2:7" ht="21.95" customHeight="1" x14ac:dyDescent="0.25">
      <c r="B58" s="184"/>
      <c r="C58" s="92" t="s">
        <v>138</v>
      </c>
      <c r="D58" s="328"/>
      <c r="E58" s="328"/>
      <c r="F58" s="328"/>
      <c r="G58" s="329"/>
    </row>
    <row r="59" spans="2:7" ht="21.95" customHeight="1" x14ac:dyDescent="0.25">
      <c r="B59" s="184"/>
      <c r="C59" s="487" t="s">
        <v>515</v>
      </c>
      <c r="D59" s="123"/>
      <c r="E59" s="123">
        <v>34</v>
      </c>
      <c r="F59" s="123">
        <v>34</v>
      </c>
      <c r="G59" s="235">
        <f t="shared" ref="G59:G63" si="4">+F59/E59*100</f>
        <v>100</v>
      </c>
    </row>
    <row r="60" spans="2:7" ht="21.95" customHeight="1" x14ac:dyDescent="0.25">
      <c r="B60" s="184"/>
      <c r="C60" s="316" t="s">
        <v>447</v>
      </c>
      <c r="D60" s="123"/>
      <c r="E60" s="123">
        <v>2045</v>
      </c>
      <c r="F60" s="123">
        <v>2045</v>
      </c>
      <c r="G60" s="235">
        <f t="shared" si="4"/>
        <v>100</v>
      </c>
    </row>
    <row r="61" spans="2:7" ht="21.95" customHeight="1" x14ac:dyDescent="0.25">
      <c r="B61" s="184"/>
      <c r="C61" s="316" t="s">
        <v>386</v>
      </c>
      <c r="D61" s="182"/>
      <c r="E61" s="182"/>
      <c r="F61" s="182"/>
      <c r="G61" s="235"/>
    </row>
    <row r="62" spans="2:7" ht="21.95" customHeight="1" x14ac:dyDescent="0.25">
      <c r="B62" s="184"/>
      <c r="C62" s="316" t="s">
        <v>387</v>
      </c>
      <c r="D62" s="186"/>
      <c r="E62" s="337">
        <v>15000</v>
      </c>
      <c r="F62" s="337">
        <v>15000</v>
      </c>
      <c r="G62" s="235">
        <f t="shared" si="4"/>
        <v>100</v>
      </c>
    </row>
    <row r="63" spans="2:7" ht="21.95" customHeight="1" x14ac:dyDescent="0.25">
      <c r="B63" s="184"/>
      <c r="C63" s="316" t="s">
        <v>448</v>
      </c>
      <c r="D63" s="176"/>
      <c r="E63" s="176">
        <v>5977</v>
      </c>
      <c r="F63" s="176">
        <v>5977</v>
      </c>
      <c r="G63" s="235">
        <f t="shared" si="4"/>
        <v>100</v>
      </c>
    </row>
    <row r="64" spans="2:7" ht="21.95" customHeight="1" x14ac:dyDescent="0.25">
      <c r="B64" s="184"/>
      <c r="C64" s="316" t="s">
        <v>449</v>
      </c>
      <c r="D64" s="186"/>
      <c r="E64" s="337"/>
      <c r="F64" s="186"/>
      <c r="G64" s="235"/>
    </row>
    <row r="65" spans="2:7" ht="21.95" customHeight="1" x14ac:dyDescent="0.25">
      <c r="B65" s="184"/>
      <c r="C65" s="164" t="s">
        <v>78</v>
      </c>
      <c r="D65" s="176"/>
      <c r="E65" s="176"/>
      <c r="F65" s="176"/>
      <c r="G65" s="235"/>
    </row>
    <row r="66" spans="2:7" ht="21.95" customHeight="1" x14ac:dyDescent="0.25">
      <c r="B66" s="184"/>
      <c r="C66" s="164" t="s">
        <v>382</v>
      </c>
      <c r="D66" s="123">
        <v>1990</v>
      </c>
      <c r="E66" s="123">
        <v>5113</v>
      </c>
      <c r="F66" s="123">
        <v>5114</v>
      </c>
      <c r="G66" s="235">
        <f>+F66/E66*100</f>
        <v>100.0195579894387</v>
      </c>
    </row>
    <row r="67" spans="2:7" ht="21.95" customHeight="1" x14ac:dyDescent="0.25">
      <c r="B67" s="184"/>
      <c r="C67" s="316" t="s">
        <v>115</v>
      </c>
      <c r="D67" s="186"/>
      <c r="E67" s="337">
        <v>17</v>
      </c>
      <c r="F67" s="176">
        <v>17</v>
      </c>
      <c r="G67" s="235">
        <f t="shared" ref="G67:G68" si="5">+F67/E67*100</f>
        <v>100</v>
      </c>
    </row>
    <row r="68" spans="2:7" ht="21.95" customHeight="1" x14ac:dyDescent="0.25">
      <c r="B68" s="184"/>
      <c r="C68" s="164" t="s">
        <v>116</v>
      </c>
      <c r="D68" s="176"/>
      <c r="E68" s="176">
        <v>15</v>
      </c>
      <c r="F68" s="176">
        <v>15</v>
      </c>
      <c r="G68" s="235">
        <f t="shared" si="5"/>
        <v>100</v>
      </c>
    </row>
    <row r="69" spans="2:7" ht="21.95" customHeight="1" x14ac:dyDescent="0.25">
      <c r="B69" s="184"/>
      <c r="C69" s="163" t="s">
        <v>103</v>
      </c>
      <c r="D69" s="350"/>
      <c r="E69" s="350"/>
      <c r="F69" s="350"/>
      <c r="G69" s="329"/>
    </row>
    <row r="70" spans="2:7" ht="21.95" customHeight="1" x14ac:dyDescent="0.25">
      <c r="B70" s="184"/>
      <c r="C70" s="92" t="s">
        <v>75</v>
      </c>
      <c r="D70" s="183"/>
      <c r="E70" s="183">
        <v>45</v>
      </c>
      <c r="F70" s="183">
        <v>45</v>
      </c>
      <c r="G70" s="235">
        <f>+F70/E70*100</f>
        <v>100</v>
      </c>
    </row>
    <row r="71" spans="2:7" ht="21.95" customHeight="1" x14ac:dyDescent="0.25">
      <c r="B71" s="2664" t="s">
        <v>180</v>
      </c>
      <c r="C71" s="2665"/>
      <c r="D71" s="101">
        <f>SUM(D58:D70)</f>
        <v>1990</v>
      </c>
      <c r="E71" s="101">
        <f t="shared" ref="E71:F71" si="6">SUM(E58:E70)</f>
        <v>28246</v>
      </c>
      <c r="F71" s="101">
        <f t="shared" si="6"/>
        <v>28247</v>
      </c>
      <c r="G71" s="238">
        <f>+F71/E71*100</f>
        <v>100.00354032429371</v>
      </c>
    </row>
    <row r="72" spans="2:7" ht="21.95" customHeight="1" thickBot="1" x14ac:dyDescent="0.3">
      <c r="B72" s="2670" t="s">
        <v>1</v>
      </c>
      <c r="C72" s="2671"/>
      <c r="D72" s="130">
        <f>+D56+D71</f>
        <v>584990</v>
      </c>
      <c r="E72" s="130">
        <f>+E56+E71</f>
        <v>9605431</v>
      </c>
      <c r="F72" s="130">
        <f>+F56+F71</f>
        <v>700606</v>
      </c>
      <c r="G72" s="237">
        <f>+F72/E72*100</f>
        <v>7.2938528213882332</v>
      </c>
    </row>
    <row r="75" spans="2:7" x14ac:dyDescent="0.2">
      <c r="F75" s="181"/>
    </row>
    <row r="76" spans="2:7" x14ac:dyDescent="0.2">
      <c r="F76" s="181"/>
    </row>
    <row r="79" spans="2:7" x14ac:dyDescent="0.2">
      <c r="F79" s="181"/>
    </row>
    <row r="80" spans="2:7" x14ac:dyDescent="0.2">
      <c r="F80" s="181"/>
    </row>
    <row r="81" spans="3:7" x14ac:dyDescent="0.2">
      <c r="F81" s="181"/>
    </row>
    <row r="82" spans="3:7" x14ac:dyDescent="0.2">
      <c r="F82" s="181"/>
    </row>
    <row r="83" spans="3:7" x14ac:dyDescent="0.2">
      <c r="F83" s="181"/>
    </row>
    <row r="84" spans="3:7" x14ac:dyDescent="0.2">
      <c r="F84" s="181"/>
    </row>
    <row r="90" spans="3:7" ht="15.75" x14ac:dyDescent="0.25">
      <c r="C90" s="2668"/>
      <c r="D90" s="2668"/>
      <c r="E90" s="2668"/>
      <c r="F90" s="125"/>
      <c r="G90" s="125"/>
    </row>
    <row r="91" spans="3:7" ht="15.75" x14ac:dyDescent="0.25">
      <c r="C91" s="125"/>
      <c r="D91" s="380"/>
      <c r="E91" s="381"/>
      <c r="F91" s="125"/>
      <c r="G91" s="125"/>
    </row>
    <row r="92" spans="3:7" ht="15.75" x14ac:dyDescent="0.25">
      <c r="C92" s="125"/>
      <c r="D92" s="185"/>
      <c r="E92" s="2669"/>
      <c r="F92" s="2669"/>
      <c r="G92" s="124"/>
    </row>
    <row r="93" spans="3:7" ht="15.75" x14ac:dyDescent="0.25">
      <c r="C93" s="125"/>
      <c r="D93" s="174"/>
      <c r="E93" s="45"/>
      <c r="F93" s="45"/>
      <c r="G93" s="124"/>
    </row>
    <row r="94" spans="3:7" ht="15.75" x14ac:dyDescent="0.25">
      <c r="C94" s="382"/>
      <c r="D94" s="174"/>
      <c r="E94" s="272"/>
      <c r="F94" s="272"/>
      <c r="G94" s="272"/>
    </row>
    <row r="95" spans="3:7" x14ac:dyDescent="0.2">
      <c r="C95" s="383"/>
      <c r="D95" s="349"/>
      <c r="E95" s="384"/>
      <c r="F95" s="384"/>
      <c r="G95" s="384"/>
    </row>
    <row r="96" spans="3:7" x14ac:dyDescent="0.2">
      <c r="C96" s="61"/>
      <c r="D96" s="348"/>
      <c r="E96" s="385"/>
      <c r="F96" s="385"/>
      <c r="G96" s="385"/>
    </row>
    <row r="97" spans="3:7" x14ac:dyDescent="0.2">
      <c r="C97" s="61"/>
      <c r="D97" s="348"/>
      <c r="E97" s="385"/>
      <c r="F97" s="385"/>
      <c r="G97" s="385"/>
    </row>
    <row r="98" spans="3:7" x14ac:dyDescent="0.2">
      <c r="C98" s="61"/>
      <c r="D98" s="348"/>
      <c r="E98" s="385"/>
      <c r="F98" s="385"/>
      <c r="G98" s="385"/>
    </row>
  </sheetData>
  <mergeCells count="8">
    <mergeCell ref="B1:G1"/>
    <mergeCell ref="B55:C55"/>
    <mergeCell ref="D3:E3"/>
    <mergeCell ref="C90:E90"/>
    <mergeCell ref="E92:F92"/>
    <mergeCell ref="B71:C71"/>
    <mergeCell ref="B72:C72"/>
    <mergeCell ref="B56:C56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54" orientation="portrait" r:id="rId1"/>
  <headerFooter alignWithMargins="0">
    <oddHeader>&amp;R&amp;"Arial,Félkövér"&amp;14 17. melléklet a …../2018. (…….) önkormányzati rendelethez</oddHeader>
  </headerFooter>
  <rowBreaks count="1" manualBreakCount="1">
    <brk id="56" min="1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88"/>
  <sheetViews>
    <sheetView zoomScale="75" zoomScaleNormal="75" workbookViewId="0">
      <selection activeCell="F138" sqref="F138"/>
    </sheetView>
  </sheetViews>
  <sheetFormatPr defaultColWidth="10.6640625" defaultRowHeight="15" customHeight="1" x14ac:dyDescent="0.25"/>
  <cols>
    <col min="1" max="1" width="17.5" style="852" customWidth="1"/>
    <col min="2" max="2" width="5.6640625" style="37" customWidth="1"/>
    <col min="3" max="3" width="132.6640625" style="37" customWidth="1"/>
    <col min="4" max="4" width="24.83203125" style="37" customWidth="1"/>
    <col min="5" max="5" width="24.83203125" style="79" customWidth="1"/>
    <col min="6" max="6" width="24" style="79" customWidth="1"/>
    <col min="7" max="7" width="27.5" style="37" customWidth="1"/>
    <col min="8" max="8" width="10.6640625" style="37"/>
    <col min="9" max="9" width="17.5" style="37" bestFit="1" customWidth="1"/>
    <col min="10" max="16384" width="10.6640625" style="37"/>
  </cols>
  <sheetData>
    <row r="1" spans="1:7" ht="24" customHeight="1" x14ac:dyDescent="0.25">
      <c r="B1" s="2672"/>
      <c r="C1" s="2672"/>
      <c r="D1" s="2672"/>
      <c r="E1" s="2672"/>
      <c r="F1" s="2672"/>
      <c r="G1" s="2672"/>
    </row>
    <row r="2" spans="1:7" ht="24" customHeight="1" x14ac:dyDescent="0.3">
      <c r="A2" s="896"/>
      <c r="B2" s="2673" t="s">
        <v>404</v>
      </c>
      <c r="C2" s="2673"/>
      <c r="D2" s="2673"/>
      <c r="E2" s="2673"/>
      <c r="F2" s="2673"/>
      <c r="G2" s="2673"/>
    </row>
    <row r="3" spans="1:7" ht="24.75" customHeight="1" thickBot="1" x14ac:dyDescent="0.3">
      <c r="A3" s="896"/>
      <c r="B3" s="897" t="s">
        <v>97</v>
      </c>
      <c r="C3" s="899"/>
      <c r="D3" s="897"/>
      <c r="E3" s="898"/>
      <c r="F3" s="898"/>
      <c r="G3" s="900" t="s">
        <v>32</v>
      </c>
    </row>
    <row r="4" spans="1:7" ht="26.1" customHeight="1" x14ac:dyDescent="0.25">
      <c r="A4" s="896"/>
      <c r="B4" s="2674" t="s">
        <v>50</v>
      </c>
      <c r="C4" s="2675"/>
      <c r="D4" s="2676" t="s">
        <v>512</v>
      </c>
      <c r="E4" s="2677"/>
      <c r="F4" s="901" t="s">
        <v>662</v>
      </c>
      <c r="G4" s="902" t="s">
        <v>178</v>
      </c>
    </row>
    <row r="5" spans="1:7" ht="26.1" customHeight="1" thickBot="1" x14ac:dyDescent="0.3">
      <c r="A5" s="896"/>
      <c r="B5" s="903"/>
      <c r="C5" s="904"/>
      <c r="D5" s="905" t="s">
        <v>335</v>
      </c>
      <c r="E5" s="906" t="s">
        <v>176</v>
      </c>
      <c r="F5" s="907" t="s">
        <v>177</v>
      </c>
      <c r="G5" s="908" t="s">
        <v>179</v>
      </c>
    </row>
    <row r="6" spans="1:7" ht="26.1" customHeight="1" x14ac:dyDescent="0.25">
      <c r="A6" s="896"/>
      <c r="B6" s="909" t="s">
        <v>312</v>
      </c>
      <c r="C6" s="910" t="s">
        <v>150</v>
      </c>
      <c r="D6" s="911"/>
      <c r="E6" s="912"/>
      <c r="F6" s="912"/>
      <c r="G6" s="777"/>
    </row>
    <row r="7" spans="1:7" ht="26.1" customHeight="1" x14ac:dyDescent="0.25">
      <c r="A7" s="896"/>
      <c r="B7" s="913"/>
      <c r="C7" s="915" t="s">
        <v>634</v>
      </c>
      <c r="D7" s="781"/>
      <c r="E7" s="781">
        <v>6500</v>
      </c>
      <c r="F7" s="778">
        <v>6500</v>
      </c>
      <c r="G7" s="918">
        <f t="shared" ref="G7:G15" si="0">+F7/E7*100</f>
        <v>100</v>
      </c>
    </row>
    <row r="8" spans="1:7" ht="26.1" customHeight="1" x14ac:dyDescent="0.25">
      <c r="A8" s="896"/>
      <c r="B8" s="913"/>
      <c r="C8" s="915" t="s">
        <v>632</v>
      </c>
      <c r="D8" s="781"/>
      <c r="E8" s="781">
        <v>3500</v>
      </c>
      <c r="F8" s="778"/>
      <c r="G8" s="918">
        <f t="shared" si="0"/>
        <v>0</v>
      </c>
    </row>
    <row r="9" spans="1:7" ht="45.75" customHeight="1" x14ac:dyDescent="0.25">
      <c r="A9" s="896"/>
      <c r="B9" s="913"/>
      <c r="C9" s="919" t="s">
        <v>633</v>
      </c>
      <c r="D9" s="781"/>
      <c r="E9" s="781">
        <v>15000</v>
      </c>
      <c r="F9" s="778"/>
      <c r="G9" s="918">
        <f t="shared" si="0"/>
        <v>0</v>
      </c>
    </row>
    <row r="10" spans="1:7" ht="26.1" customHeight="1" x14ac:dyDescent="0.25">
      <c r="A10" s="896"/>
      <c r="B10" s="913"/>
      <c r="C10" s="920" t="s">
        <v>433</v>
      </c>
      <c r="D10" s="782">
        <v>8550</v>
      </c>
      <c r="E10" s="782">
        <v>8550</v>
      </c>
      <c r="F10" s="776">
        <v>8550</v>
      </c>
      <c r="G10" s="921">
        <f t="shared" si="0"/>
        <v>100</v>
      </c>
    </row>
    <row r="11" spans="1:7" ht="26.1" customHeight="1" x14ac:dyDescent="0.25">
      <c r="A11" s="896"/>
      <c r="B11" s="913"/>
      <c r="C11" s="917" t="s">
        <v>162</v>
      </c>
      <c r="D11" s="781">
        <v>50000</v>
      </c>
      <c r="E11" s="781">
        <v>50000</v>
      </c>
      <c r="F11" s="778">
        <v>50000</v>
      </c>
      <c r="G11" s="918">
        <f t="shared" si="0"/>
        <v>100</v>
      </c>
    </row>
    <row r="12" spans="1:7" ht="26.1" customHeight="1" x14ac:dyDescent="0.25">
      <c r="A12" s="896"/>
      <c r="B12" s="913"/>
      <c r="C12" s="917" t="s">
        <v>566</v>
      </c>
      <c r="D12" s="781">
        <v>79905</v>
      </c>
      <c r="E12" s="781">
        <v>79905</v>
      </c>
      <c r="F12" s="778"/>
      <c r="G12" s="918">
        <f t="shared" si="0"/>
        <v>0</v>
      </c>
    </row>
    <row r="13" spans="1:7" ht="26.1" customHeight="1" x14ac:dyDescent="0.25">
      <c r="A13" s="896"/>
      <c r="B13" s="913"/>
      <c r="C13" s="917" t="s">
        <v>635</v>
      </c>
      <c r="D13" s="781">
        <v>6000</v>
      </c>
      <c r="E13" s="781">
        <v>0</v>
      </c>
      <c r="F13" s="778"/>
      <c r="G13" s="918"/>
    </row>
    <row r="14" spans="1:7" ht="26.1" customHeight="1" x14ac:dyDescent="0.25">
      <c r="A14" s="896"/>
      <c r="B14" s="913"/>
      <c r="C14" s="920" t="s">
        <v>624</v>
      </c>
      <c r="D14" s="782"/>
      <c r="E14" s="782">
        <v>7500</v>
      </c>
      <c r="F14" s="776">
        <v>7500</v>
      </c>
      <c r="G14" s="918">
        <f t="shared" si="0"/>
        <v>100</v>
      </c>
    </row>
    <row r="15" spans="1:7" ht="26.1" customHeight="1" x14ac:dyDescent="0.25">
      <c r="A15" s="896"/>
      <c r="B15" s="922"/>
      <c r="C15" s="923" t="s">
        <v>319</v>
      </c>
      <c r="D15" s="924">
        <f>SUM(D7:D14)</f>
        <v>144455</v>
      </c>
      <c r="E15" s="924">
        <f>SUM(E7:E14)</f>
        <v>170955</v>
      </c>
      <c r="F15" s="924">
        <f>SUM(F7:F14)</f>
        <v>72550</v>
      </c>
      <c r="G15" s="925">
        <f t="shared" si="0"/>
        <v>42.438068497557836</v>
      </c>
    </row>
    <row r="16" spans="1:7" ht="26.1" customHeight="1" x14ac:dyDescent="0.25">
      <c r="A16" s="896"/>
      <c r="B16" s="926" t="s">
        <v>60</v>
      </c>
      <c r="C16" s="927" t="s">
        <v>59</v>
      </c>
      <c r="D16" s="928"/>
      <c r="E16" s="928"/>
      <c r="F16" s="928"/>
      <c r="G16" s="929"/>
    </row>
    <row r="17" spans="1:7" ht="26.1" customHeight="1" x14ac:dyDescent="0.25">
      <c r="A17" s="896"/>
      <c r="B17" s="847"/>
      <c r="C17" s="930" t="s">
        <v>565</v>
      </c>
      <c r="D17" s="776">
        <v>50000</v>
      </c>
      <c r="E17" s="776">
        <v>0</v>
      </c>
      <c r="F17" s="776"/>
      <c r="G17" s="779"/>
    </row>
    <row r="18" spans="1:7" ht="26.1" customHeight="1" x14ac:dyDescent="0.25">
      <c r="A18" s="896"/>
      <c r="B18" s="922"/>
      <c r="C18" s="923" t="s">
        <v>242</v>
      </c>
      <c r="D18" s="924">
        <f>SUM(D17:D17)</f>
        <v>50000</v>
      </c>
      <c r="E18" s="924">
        <f>SUM(E17:E17)</f>
        <v>0</v>
      </c>
      <c r="F18" s="924">
        <f>SUM(F17:F17)</f>
        <v>0</v>
      </c>
      <c r="G18" s="931"/>
    </row>
    <row r="19" spans="1:7" ht="26.1" customHeight="1" x14ac:dyDescent="0.25">
      <c r="A19" s="896"/>
      <c r="B19" s="926" t="s">
        <v>313</v>
      </c>
      <c r="C19" s="927" t="s">
        <v>311</v>
      </c>
      <c r="D19" s="911"/>
      <c r="E19" s="912"/>
      <c r="F19" s="912"/>
      <c r="G19" s="932"/>
    </row>
    <row r="20" spans="1:7" ht="26.1" customHeight="1" x14ac:dyDescent="0.25">
      <c r="A20" s="896"/>
      <c r="B20" s="913"/>
      <c r="C20" s="933" t="s">
        <v>94</v>
      </c>
      <c r="D20" s="934">
        <v>1357</v>
      </c>
      <c r="E20" s="934">
        <v>1357</v>
      </c>
      <c r="F20" s="914">
        <v>383</v>
      </c>
      <c r="G20" s="935">
        <f>+F20/E20*100</f>
        <v>28.224023581429623</v>
      </c>
    </row>
    <row r="21" spans="1:7" ht="26.1" customHeight="1" x14ac:dyDescent="0.25">
      <c r="A21" s="896"/>
      <c r="B21" s="913"/>
      <c r="C21" s="916" t="s">
        <v>243</v>
      </c>
      <c r="D21" s="936">
        <v>40000</v>
      </c>
      <c r="E21" s="936">
        <v>87163</v>
      </c>
      <c r="F21" s="778">
        <v>56335</v>
      </c>
      <c r="G21" s="779">
        <f>+F21/E21*100</f>
        <v>64.631781834035081</v>
      </c>
    </row>
    <row r="22" spans="1:7" ht="26.1" customHeight="1" x14ac:dyDescent="0.25">
      <c r="A22" s="896"/>
      <c r="B22" s="922"/>
      <c r="C22" s="923" t="s">
        <v>320</v>
      </c>
      <c r="D22" s="924">
        <f>SUM(D20:D21)</f>
        <v>41357</v>
      </c>
      <c r="E22" s="924">
        <f>SUM(E20:E21)</f>
        <v>88520</v>
      </c>
      <c r="F22" s="924">
        <f>SUM(F20:F21)</f>
        <v>56718</v>
      </c>
      <c r="G22" s="937">
        <f>+F22/E22*100</f>
        <v>64.073655671034786</v>
      </c>
    </row>
    <row r="23" spans="1:7" ht="26.1" customHeight="1" x14ac:dyDescent="0.25">
      <c r="A23" s="896"/>
      <c r="B23" s="847" t="s">
        <v>314</v>
      </c>
      <c r="C23" s="848" t="s">
        <v>315</v>
      </c>
      <c r="D23" s="911"/>
      <c r="E23" s="912"/>
      <c r="F23" s="912"/>
      <c r="G23" s="939"/>
    </row>
    <row r="24" spans="1:7" ht="26.1" customHeight="1" x14ac:dyDescent="0.25">
      <c r="A24" s="896"/>
      <c r="B24" s="913"/>
      <c r="C24" s="940" t="s">
        <v>224</v>
      </c>
      <c r="D24" s="934">
        <v>30000</v>
      </c>
      <c r="E24" s="934">
        <v>30444</v>
      </c>
      <c r="F24" s="778">
        <v>1377</v>
      </c>
      <c r="G24" s="779">
        <f>+F24/E24*100</f>
        <v>4.523058730784391</v>
      </c>
    </row>
    <row r="25" spans="1:7" ht="26.1" customHeight="1" x14ac:dyDescent="0.25">
      <c r="A25" s="896"/>
      <c r="B25" s="913"/>
      <c r="C25" s="940" t="s">
        <v>1730</v>
      </c>
      <c r="D25" s="934"/>
      <c r="E25" s="934">
        <v>72</v>
      </c>
      <c r="F25" s="778"/>
      <c r="G25" s="779">
        <f>+F25/E25*100</f>
        <v>0</v>
      </c>
    </row>
    <row r="26" spans="1:7" s="414" customFormat="1" ht="26.1" customHeight="1" x14ac:dyDescent="0.25">
      <c r="A26" s="896"/>
      <c r="B26" s="942"/>
      <c r="C26" s="940" t="s">
        <v>261</v>
      </c>
      <c r="D26" s="783"/>
      <c r="E26" s="783">
        <v>5003</v>
      </c>
      <c r="F26" s="778"/>
      <c r="G26" s="779">
        <f t="shared" ref="G26:G30" si="1">+F26/E26*100</f>
        <v>0</v>
      </c>
    </row>
    <row r="27" spans="1:7" s="414" customFormat="1" ht="26.1" customHeight="1" x14ac:dyDescent="0.25">
      <c r="A27" s="896"/>
      <c r="B27" s="942"/>
      <c r="C27" s="940" t="s">
        <v>682</v>
      </c>
      <c r="D27" s="783"/>
      <c r="E27" s="783">
        <v>229201</v>
      </c>
      <c r="F27" s="778">
        <v>180473</v>
      </c>
      <c r="G27" s="947">
        <f t="shared" si="1"/>
        <v>78.740057853150731</v>
      </c>
    </row>
    <row r="28" spans="1:7" s="38" customFormat="1" ht="26.1" customHeight="1" x14ac:dyDescent="0.25">
      <c r="A28" s="896"/>
      <c r="B28" s="942"/>
      <c r="C28" s="940" t="s">
        <v>452</v>
      </c>
      <c r="D28" s="781">
        <v>14499</v>
      </c>
      <c r="E28" s="781">
        <v>16364</v>
      </c>
      <c r="F28" s="778">
        <v>6864</v>
      </c>
      <c r="G28" s="947">
        <f t="shared" si="1"/>
        <v>41.945734539232461</v>
      </c>
    </row>
    <row r="29" spans="1:7" ht="26.1" customHeight="1" x14ac:dyDescent="0.25">
      <c r="A29" s="896"/>
      <c r="B29" s="913"/>
      <c r="C29" s="943" t="s">
        <v>241</v>
      </c>
      <c r="D29" s="944">
        <v>483333</v>
      </c>
      <c r="E29" s="944">
        <v>483334</v>
      </c>
      <c r="F29" s="776">
        <v>483334</v>
      </c>
      <c r="G29" s="935">
        <f t="shared" si="1"/>
        <v>100</v>
      </c>
    </row>
    <row r="30" spans="1:7" ht="26.1" customHeight="1" x14ac:dyDescent="0.25">
      <c r="A30" s="896"/>
      <c r="B30" s="922"/>
      <c r="C30" s="938" t="s">
        <v>321</v>
      </c>
      <c r="D30" s="924">
        <f>SUM(D24:D29)</f>
        <v>527832</v>
      </c>
      <c r="E30" s="924">
        <f>SUM(E24:E29)</f>
        <v>764418</v>
      </c>
      <c r="F30" s="924">
        <f>SUM(F24:F29)</f>
        <v>672048</v>
      </c>
      <c r="G30" s="937">
        <f t="shared" si="1"/>
        <v>87.916297104463794</v>
      </c>
    </row>
    <row r="31" spans="1:7" ht="26.1" customHeight="1" x14ac:dyDescent="0.25">
      <c r="A31" s="896"/>
      <c r="B31" s="847" t="s">
        <v>316</v>
      </c>
      <c r="C31" s="848" t="s">
        <v>322</v>
      </c>
      <c r="D31" s="911"/>
      <c r="E31" s="912"/>
      <c r="F31" s="776"/>
      <c r="G31" s="939"/>
    </row>
    <row r="32" spans="1:7" ht="26.1" customHeight="1" x14ac:dyDescent="0.3">
      <c r="A32" s="896"/>
      <c r="B32" s="945" t="s">
        <v>309</v>
      </c>
      <c r="C32" s="946"/>
      <c r="D32" s="911"/>
      <c r="E32" s="912"/>
      <c r="F32" s="776"/>
      <c r="G32" s="939"/>
    </row>
    <row r="33" spans="1:7" s="414" customFormat="1" ht="26.1" customHeight="1" x14ac:dyDescent="0.25">
      <c r="A33" s="896"/>
      <c r="B33" s="942"/>
      <c r="C33" s="916" t="s">
        <v>1731</v>
      </c>
      <c r="D33" s="781"/>
      <c r="E33" s="781">
        <v>1842</v>
      </c>
      <c r="F33" s="778"/>
      <c r="G33" s="947">
        <f t="shared" ref="G33:G36" si="2">+F33/E33*100</f>
        <v>0</v>
      </c>
    </row>
    <row r="34" spans="1:7" s="38" customFormat="1" ht="26.1" customHeight="1" x14ac:dyDescent="0.25">
      <c r="A34" s="896"/>
      <c r="B34" s="942"/>
      <c r="C34" s="916" t="s">
        <v>101</v>
      </c>
      <c r="D34" s="781"/>
      <c r="E34" s="781">
        <v>49</v>
      </c>
      <c r="F34" s="778"/>
      <c r="G34" s="948">
        <f t="shared" si="2"/>
        <v>0</v>
      </c>
    </row>
    <row r="35" spans="1:7" s="414" customFormat="1" ht="26.1" customHeight="1" x14ac:dyDescent="0.25">
      <c r="A35" s="896"/>
      <c r="B35" s="942"/>
      <c r="C35" s="916" t="s">
        <v>14</v>
      </c>
      <c r="D35" s="781"/>
      <c r="E35" s="781">
        <v>3920</v>
      </c>
      <c r="F35" s="778"/>
      <c r="G35" s="948">
        <f t="shared" si="2"/>
        <v>0</v>
      </c>
    </row>
    <row r="36" spans="1:7" ht="36.75" customHeight="1" x14ac:dyDescent="0.25">
      <c r="A36" s="950"/>
      <c r="B36" s="913"/>
      <c r="C36" s="916" t="s">
        <v>506</v>
      </c>
      <c r="D36" s="781"/>
      <c r="E36" s="781">
        <v>497156</v>
      </c>
      <c r="F36" s="778">
        <v>489958</v>
      </c>
      <c r="G36" s="948">
        <f t="shared" si="2"/>
        <v>98.552164712886906</v>
      </c>
    </row>
    <row r="37" spans="1:7" ht="26.1" customHeight="1" x14ac:dyDescent="0.3">
      <c r="A37" s="896"/>
      <c r="B37" s="945" t="s">
        <v>308</v>
      </c>
      <c r="C37" s="946"/>
      <c r="D37" s="936"/>
      <c r="E37" s="936"/>
      <c r="F37" s="951"/>
      <c r="G37" s="779"/>
    </row>
    <row r="38" spans="1:7" ht="26.1" customHeight="1" x14ac:dyDescent="0.25">
      <c r="A38" s="896"/>
      <c r="B38" s="913"/>
      <c r="C38" s="952" t="s">
        <v>1732</v>
      </c>
      <c r="D38" s="953">
        <v>500000</v>
      </c>
      <c r="E38" s="953">
        <v>760952</v>
      </c>
      <c r="F38" s="954">
        <v>331657</v>
      </c>
      <c r="G38" s="935">
        <f>+F38/E38*100</f>
        <v>43.584483646800329</v>
      </c>
    </row>
    <row r="39" spans="1:7" ht="46.5" customHeight="1" x14ac:dyDescent="0.25">
      <c r="A39" s="896"/>
      <c r="B39" s="913"/>
      <c r="C39" s="2456" t="s">
        <v>1733</v>
      </c>
      <c r="D39" s="953"/>
      <c r="E39" s="953">
        <v>75543</v>
      </c>
      <c r="F39" s="954"/>
      <c r="G39" s="935">
        <f t="shared" ref="G39:G51" si="3">+F39/E39*100</f>
        <v>0</v>
      </c>
    </row>
    <row r="40" spans="1:7" ht="26.1" customHeight="1" x14ac:dyDescent="0.25">
      <c r="A40" s="896"/>
      <c r="B40" s="913"/>
      <c r="C40" s="955" t="s">
        <v>567</v>
      </c>
      <c r="D40" s="953">
        <v>7000</v>
      </c>
      <c r="E40" s="953">
        <v>0</v>
      </c>
      <c r="F40" s="954"/>
      <c r="G40" s="935"/>
    </row>
    <row r="41" spans="1:7" ht="26.1" customHeight="1" x14ac:dyDescent="0.25">
      <c r="A41" s="896"/>
      <c r="B41" s="913"/>
      <c r="C41" s="955" t="s">
        <v>568</v>
      </c>
      <c r="D41" s="953">
        <v>60000</v>
      </c>
      <c r="E41" s="953">
        <v>0</v>
      </c>
      <c r="F41" s="954"/>
      <c r="G41" s="935"/>
    </row>
    <row r="42" spans="1:7" ht="26.1" customHeight="1" x14ac:dyDescent="0.25">
      <c r="A42" s="896"/>
      <c r="B42" s="913"/>
      <c r="C42" s="940" t="s">
        <v>163</v>
      </c>
      <c r="D42" s="958"/>
      <c r="E42" s="958">
        <v>3839</v>
      </c>
      <c r="F42" s="951"/>
      <c r="G42" s="935">
        <f t="shared" si="3"/>
        <v>0</v>
      </c>
    </row>
    <row r="43" spans="1:7" ht="26.1" customHeight="1" x14ac:dyDescent="0.25">
      <c r="A43" s="896"/>
      <c r="B43" s="913"/>
      <c r="C43" s="955" t="s">
        <v>623</v>
      </c>
      <c r="D43" s="958"/>
      <c r="E43" s="958">
        <v>11000</v>
      </c>
      <c r="F43" s="951">
        <v>8799</v>
      </c>
      <c r="G43" s="935">
        <f t="shared" si="3"/>
        <v>79.990909090909085</v>
      </c>
    </row>
    <row r="44" spans="1:7" ht="26.1" customHeight="1" x14ac:dyDescent="0.25">
      <c r="A44" s="896"/>
      <c r="B44" s="913"/>
      <c r="C44" s="780" t="s">
        <v>670</v>
      </c>
      <c r="D44" s="958"/>
      <c r="E44" s="958">
        <v>4407</v>
      </c>
      <c r="F44" s="951">
        <v>4407</v>
      </c>
      <c r="G44" s="935">
        <f t="shared" si="3"/>
        <v>100</v>
      </c>
    </row>
    <row r="45" spans="1:7" ht="26.1" customHeight="1" x14ac:dyDescent="0.25">
      <c r="A45" s="896"/>
      <c r="B45" s="913"/>
      <c r="C45" s="955" t="s">
        <v>435</v>
      </c>
      <c r="D45" s="958"/>
      <c r="E45" s="958">
        <v>25630</v>
      </c>
      <c r="F45" s="951">
        <v>25296</v>
      </c>
      <c r="G45" s="935">
        <f t="shared" si="3"/>
        <v>98.696839641045656</v>
      </c>
    </row>
    <row r="46" spans="1:7" ht="26.1" customHeight="1" x14ac:dyDescent="0.25">
      <c r="A46" s="896"/>
      <c r="B46" s="913"/>
      <c r="C46" s="940" t="s">
        <v>434</v>
      </c>
      <c r="D46" s="958"/>
      <c r="E46" s="958">
        <v>749</v>
      </c>
      <c r="F46" s="951"/>
      <c r="G46" s="935">
        <f t="shared" si="3"/>
        <v>0</v>
      </c>
    </row>
    <row r="47" spans="1:7" ht="26.1" customHeight="1" x14ac:dyDescent="0.25">
      <c r="A47" s="896"/>
      <c r="B47" s="913"/>
      <c r="C47" s="941" t="s">
        <v>569</v>
      </c>
      <c r="D47" s="953">
        <v>30000</v>
      </c>
      <c r="E47" s="953">
        <v>0</v>
      </c>
      <c r="F47" s="954"/>
      <c r="G47" s="935"/>
    </row>
    <row r="48" spans="1:7" ht="26.1" customHeight="1" x14ac:dyDescent="0.25">
      <c r="A48" s="896"/>
      <c r="B48" s="913"/>
      <c r="C48" s="941" t="s">
        <v>570</v>
      </c>
      <c r="D48" s="953">
        <v>7000</v>
      </c>
      <c r="E48" s="953">
        <v>7000</v>
      </c>
      <c r="F48" s="954">
        <v>5420</v>
      </c>
      <c r="G48" s="935">
        <f t="shared" si="3"/>
        <v>77.428571428571431</v>
      </c>
    </row>
    <row r="49" spans="1:7" ht="35.25" customHeight="1" x14ac:dyDescent="0.25">
      <c r="A49" s="896"/>
      <c r="B49" s="913"/>
      <c r="C49" s="957" t="s">
        <v>285</v>
      </c>
      <c r="D49" s="953"/>
      <c r="E49" s="953">
        <v>8000</v>
      </c>
      <c r="F49" s="954"/>
      <c r="G49" s="935">
        <f t="shared" si="3"/>
        <v>0</v>
      </c>
    </row>
    <row r="50" spans="1:7" ht="35.25" customHeight="1" x14ac:dyDescent="0.25">
      <c r="A50" s="896"/>
      <c r="B50" s="913"/>
      <c r="C50" s="957" t="s">
        <v>286</v>
      </c>
      <c r="D50" s="958"/>
      <c r="E50" s="958">
        <v>13819</v>
      </c>
      <c r="F50" s="951">
        <v>13819</v>
      </c>
      <c r="G50" s="779">
        <f t="shared" si="3"/>
        <v>100</v>
      </c>
    </row>
    <row r="51" spans="1:7" ht="35.25" customHeight="1" x14ac:dyDescent="0.25">
      <c r="A51" s="896"/>
      <c r="B51" s="913"/>
      <c r="C51" s="2017" t="s">
        <v>671</v>
      </c>
      <c r="D51" s="958"/>
      <c r="E51" s="958">
        <v>97000</v>
      </c>
      <c r="F51" s="951"/>
      <c r="G51" s="779">
        <f t="shared" si="3"/>
        <v>0</v>
      </c>
    </row>
    <row r="52" spans="1:7" ht="26.1" customHeight="1" x14ac:dyDescent="0.3">
      <c r="A52" s="896"/>
      <c r="B52" s="945" t="s">
        <v>310</v>
      </c>
      <c r="C52" s="956"/>
      <c r="D52" s="989"/>
      <c r="E52" s="989"/>
      <c r="F52" s="954"/>
      <c r="G52" s="935"/>
    </row>
    <row r="53" spans="1:7" ht="26.1" customHeight="1" x14ac:dyDescent="0.25">
      <c r="A53" s="896"/>
      <c r="B53" s="913"/>
      <c r="C53" s="959" t="s">
        <v>189</v>
      </c>
      <c r="D53" s="781">
        <v>105000</v>
      </c>
      <c r="E53" s="781">
        <v>162202</v>
      </c>
      <c r="F53" s="778">
        <v>83746</v>
      </c>
      <c r="G53" s="935">
        <f t="shared" ref="G53:G64" si="4">+F53/E53*100</f>
        <v>51.630682728942922</v>
      </c>
    </row>
    <row r="54" spans="1:7" s="38" customFormat="1" ht="40.5" customHeight="1" x14ac:dyDescent="0.25">
      <c r="A54" s="896"/>
      <c r="B54" s="942"/>
      <c r="C54" s="960" t="s">
        <v>164</v>
      </c>
      <c r="D54" s="782"/>
      <c r="E54" s="782">
        <v>15323</v>
      </c>
      <c r="F54" s="776">
        <v>12822</v>
      </c>
      <c r="G54" s="935">
        <f t="shared" si="4"/>
        <v>83.678130914311822</v>
      </c>
    </row>
    <row r="55" spans="1:7" s="38" customFormat="1" ht="26.1" customHeight="1" x14ac:dyDescent="0.25">
      <c r="A55" s="896"/>
      <c r="B55" s="942"/>
      <c r="C55" s="959" t="s">
        <v>165</v>
      </c>
      <c r="D55" s="781"/>
      <c r="E55" s="781">
        <v>10286</v>
      </c>
      <c r="F55" s="778">
        <v>10156</v>
      </c>
      <c r="G55" s="935">
        <f t="shared" si="4"/>
        <v>98.736146218160599</v>
      </c>
    </row>
    <row r="56" spans="1:7" s="38" customFormat="1" ht="26.1" customHeight="1" x14ac:dyDescent="0.25">
      <c r="A56" s="896"/>
      <c r="B56" s="942"/>
      <c r="C56" s="785" t="s">
        <v>436</v>
      </c>
      <c r="D56" s="783"/>
      <c r="E56" s="783">
        <v>5378</v>
      </c>
      <c r="F56" s="914">
        <v>4277</v>
      </c>
      <c r="G56" s="779">
        <f t="shared" si="4"/>
        <v>79.527705466716242</v>
      </c>
    </row>
    <row r="57" spans="1:7" s="38" customFormat="1" ht="26.1" customHeight="1" x14ac:dyDescent="0.25">
      <c r="A57" s="896"/>
      <c r="B57" s="942"/>
      <c r="C57" s="786" t="s">
        <v>287</v>
      </c>
      <c r="D57" s="783"/>
      <c r="E57" s="783">
        <v>3824</v>
      </c>
      <c r="F57" s="914">
        <v>3205</v>
      </c>
      <c r="G57" s="779">
        <f t="shared" si="4"/>
        <v>83.812761506276146</v>
      </c>
    </row>
    <row r="58" spans="1:7" s="38" customFormat="1" ht="26.1" customHeight="1" x14ac:dyDescent="0.25">
      <c r="A58" s="896"/>
      <c r="B58" s="942"/>
      <c r="C58" s="786" t="s">
        <v>571</v>
      </c>
      <c r="D58" s="783">
        <v>50800</v>
      </c>
      <c r="E58" s="783">
        <v>0</v>
      </c>
      <c r="F58" s="914"/>
      <c r="G58" s="779"/>
    </row>
    <row r="59" spans="1:7" s="38" customFormat="1" ht="26.1" customHeight="1" x14ac:dyDescent="0.25">
      <c r="A59" s="896"/>
      <c r="B59" s="942"/>
      <c r="C59" s="786" t="s">
        <v>572</v>
      </c>
      <c r="D59" s="783">
        <v>80640</v>
      </c>
      <c r="E59" s="783">
        <v>0</v>
      </c>
      <c r="F59" s="914"/>
      <c r="G59" s="779"/>
    </row>
    <row r="60" spans="1:7" s="38" customFormat="1" ht="26.1" customHeight="1" x14ac:dyDescent="0.25">
      <c r="A60" s="896"/>
      <c r="B60" s="942"/>
      <c r="C60" s="786" t="s">
        <v>573</v>
      </c>
      <c r="D60" s="783">
        <v>2500</v>
      </c>
      <c r="E60" s="783">
        <v>3202</v>
      </c>
      <c r="F60" s="914">
        <v>3202</v>
      </c>
      <c r="G60" s="779">
        <f t="shared" si="4"/>
        <v>100</v>
      </c>
    </row>
    <row r="61" spans="1:7" s="38" customFormat="1" ht="26.1" customHeight="1" x14ac:dyDescent="0.25">
      <c r="A61" s="896"/>
      <c r="B61" s="942"/>
      <c r="C61" s="786" t="s">
        <v>1734</v>
      </c>
      <c r="D61" s="783"/>
      <c r="E61" s="783">
        <v>14647</v>
      </c>
      <c r="F61" s="914">
        <v>14647</v>
      </c>
      <c r="G61" s="779">
        <f t="shared" si="4"/>
        <v>100</v>
      </c>
    </row>
    <row r="62" spans="1:7" s="949" customFormat="1" ht="26.1" customHeight="1" x14ac:dyDescent="0.25">
      <c r="A62" s="896"/>
      <c r="B62" s="942"/>
      <c r="C62" s="786" t="s">
        <v>608</v>
      </c>
      <c r="D62" s="781"/>
      <c r="E62" s="781">
        <v>2210</v>
      </c>
      <c r="F62" s="778">
        <v>2210</v>
      </c>
      <c r="G62" s="779">
        <f t="shared" si="4"/>
        <v>100</v>
      </c>
    </row>
    <row r="63" spans="1:7" s="38" customFormat="1" ht="46.5" customHeight="1" x14ac:dyDescent="0.25">
      <c r="A63" s="896"/>
      <c r="B63" s="942"/>
      <c r="C63" s="2457" t="s">
        <v>619</v>
      </c>
      <c r="D63" s="783"/>
      <c r="E63" s="783">
        <v>10651</v>
      </c>
      <c r="F63" s="914">
        <v>9967</v>
      </c>
      <c r="G63" s="779">
        <f t="shared" si="4"/>
        <v>93.578067787062253</v>
      </c>
    </row>
    <row r="64" spans="1:7" s="38" customFormat="1" ht="26.1" customHeight="1" x14ac:dyDescent="0.25">
      <c r="A64" s="896"/>
      <c r="B64" s="942"/>
      <c r="C64" s="2457" t="s">
        <v>635</v>
      </c>
      <c r="D64" s="783"/>
      <c r="E64" s="783">
        <v>6000</v>
      </c>
      <c r="F64" s="914">
        <v>5995</v>
      </c>
      <c r="G64" s="779">
        <f t="shared" si="4"/>
        <v>99.916666666666671</v>
      </c>
    </row>
    <row r="65" spans="1:7" ht="43.5" customHeight="1" x14ac:dyDescent="0.25">
      <c r="A65" s="961"/>
      <c r="B65" s="942"/>
      <c r="C65" s="919" t="s">
        <v>1735</v>
      </c>
      <c r="D65" s="781"/>
      <c r="E65" s="781">
        <v>18422</v>
      </c>
      <c r="F65" s="962"/>
      <c r="G65" s="779">
        <f>+F65/E65*100</f>
        <v>0</v>
      </c>
    </row>
    <row r="66" spans="1:7" ht="26.1" customHeight="1" x14ac:dyDescent="0.25">
      <c r="A66" s="896"/>
      <c r="B66" s="963" t="s">
        <v>352</v>
      </c>
      <c r="C66" s="959"/>
      <c r="D66" s="964"/>
      <c r="E66" s="964"/>
      <c r="F66" s="778"/>
      <c r="G66" s="779"/>
    </row>
    <row r="67" spans="1:7" ht="26.1" customHeight="1" x14ac:dyDescent="0.25">
      <c r="A67" s="896"/>
      <c r="B67" s="913"/>
      <c r="C67" s="959" t="s">
        <v>453</v>
      </c>
      <c r="D67" s="781"/>
      <c r="E67" s="781">
        <v>7650</v>
      </c>
      <c r="F67" s="778">
        <v>310</v>
      </c>
      <c r="G67" s="935">
        <f>+F67/E67*100</f>
        <v>4.0522875816993462</v>
      </c>
    </row>
    <row r="68" spans="1:7" ht="26.1" customHeight="1" x14ac:dyDescent="0.25">
      <c r="A68" s="896"/>
      <c r="B68" s="913"/>
      <c r="C68" s="851" t="s">
        <v>437</v>
      </c>
      <c r="D68" s="781"/>
      <c r="E68" s="781">
        <v>1073</v>
      </c>
      <c r="F68" s="778"/>
      <c r="G68" s="935">
        <f>+F68/E68*100</f>
        <v>0</v>
      </c>
    </row>
    <row r="69" spans="1:7" ht="26.1" customHeight="1" x14ac:dyDescent="0.25">
      <c r="A69" s="896"/>
      <c r="B69" s="963" t="s">
        <v>35</v>
      </c>
      <c r="C69" s="963"/>
      <c r="D69" s="914"/>
      <c r="E69" s="914"/>
      <c r="F69" s="778"/>
      <c r="G69" s="948"/>
    </row>
    <row r="70" spans="1:7" ht="26.1" customHeight="1" x14ac:dyDescent="0.25">
      <c r="A70" s="896"/>
      <c r="B70" s="963"/>
      <c r="C70" s="959" t="s">
        <v>167</v>
      </c>
      <c r="D70" s="914"/>
      <c r="E70" s="914">
        <v>37557</v>
      </c>
      <c r="F70" s="778">
        <v>37157</v>
      </c>
      <c r="G70" s="948">
        <f t="shared" ref="G70:G73" si="5">+F70/E70*100</f>
        <v>98.934952205980238</v>
      </c>
    </row>
    <row r="71" spans="1:7" ht="26.1" customHeight="1" x14ac:dyDescent="0.25">
      <c r="A71" s="896"/>
      <c r="B71" s="963"/>
      <c r="C71" s="959" t="s">
        <v>574</v>
      </c>
      <c r="D71" s="914">
        <v>4500</v>
      </c>
      <c r="E71" s="914">
        <v>0</v>
      </c>
      <c r="F71" s="778"/>
      <c r="G71" s="948"/>
    </row>
    <row r="72" spans="1:7" ht="26.1" customHeight="1" x14ac:dyDescent="0.25">
      <c r="A72" s="896"/>
      <c r="B72" s="963"/>
      <c r="C72" s="966" t="s">
        <v>609</v>
      </c>
      <c r="D72" s="914">
        <v>4500</v>
      </c>
      <c r="E72" s="914">
        <v>237</v>
      </c>
      <c r="F72" s="778"/>
      <c r="G72" s="948">
        <f t="shared" si="5"/>
        <v>0</v>
      </c>
    </row>
    <row r="73" spans="1:7" ht="26.1" customHeight="1" x14ac:dyDescent="0.25">
      <c r="A73" s="896"/>
      <c r="B73" s="963"/>
      <c r="C73" s="965" t="s">
        <v>168</v>
      </c>
      <c r="D73" s="914"/>
      <c r="E73" s="914">
        <v>1538</v>
      </c>
      <c r="F73" s="778"/>
      <c r="G73" s="948">
        <f t="shared" si="5"/>
        <v>0</v>
      </c>
    </row>
    <row r="74" spans="1:7" s="414" customFormat="1" ht="26.1" customHeight="1" x14ac:dyDescent="0.25">
      <c r="A74" s="896"/>
      <c r="B74" s="942"/>
      <c r="C74" s="919" t="s">
        <v>575</v>
      </c>
      <c r="D74" s="781">
        <v>35000</v>
      </c>
      <c r="E74" s="781">
        <v>0</v>
      </c>
      <c r="F74" s="778"/>
      <c r="G74" s="948"/>
    </row>
    <row r="75" spans="1:7" s="414" customFormat="1" ht="26.1" customHeight="1" x14ac:dyDescent="0.25">
      <c r="A75" s="896"/>
      <c r="B75" s="942"/>
      <c r="C75" s="966" t="s">
        <v>636</v>
      </c>
      <c r="D75" s="783"/>
      <c r="E75" s="783">
        <v>6300</v>
      </c>
      <c r="F75" s="914"/>
      <c r="G75" s="948">
        <f>+F75/E75*100</f>
        <v>0</v>
      </c>
    </row>
    <row r="76" spans="1:7" ht="26.1" customHeight="1" x14ac:dyDescent="0.25">
      <c r="A76" s="896"/>
      <c r="B76" s="967" t="s">
        <v>61</v>
      </c>
      <c r="C76" s="968"/>
      <c r="D76" s="783"/>
      <c r="E76" s="783"/>
      <c r="F76" s="914"/>
      <c r="G76" s="935"/>
    </row>
    <row r="77" spans="1:7" ht="26.1" customHeight="1" x14ac:dyDescent="0.25">
      <c r="A77" s="896"/>
      <c r="B77" s="963"/>
      <c r="C77" s="1005" t="s">
        <v>439</v>
      </c>
      <c r="D77" s="914"/>
      <c r="E77" s="914">
        <v>4838</v>
      </c>
      <c r="F77" s="778">
        <v>3162</v>
      </c>
      <c r="G77" s="948">
        <f>+F77/E77*100</f>
        <v>65.357585779247614</v>
      </c>
    </row>
    <row r="78" spans="1:7" ht="26.1" customHeight="1" x14ac:dyDescent="0.25">
      <c r="A78" s="896"/>
      <c r="B78" s="963"/>
      <c r="C78" s="959" t="s">
        <v>438</v>
      </c>
      <c r="D78" s="914"/>
      <c r="E78" s="914">
        <v>11161</v>
      </c>
      <c r="F78" s="778">
        <v>159</v>
      </c>
      <c r="G78" s="948">
        <f t="shared" ref="G78:G120" si="6">+F78/E78*100</f>
        <v>1.4246035301496283</v>
      </c>
    </row>
    <row r="79" spans="1:7" s="414" customFormat="1" ht="36.75" customHeight="1" x14ac:dyDescent="0.25">
      <c r="A79" s="950"/>
      <c r="B79" s="942"/>
      <c r="C79" s="970" t="s">
        <v>508</v>
      </c>
      <c r="D79" s="914">
        <v>2243347</v>
      </c>
      <c r="E79" s="914">
        <f>1784763+1582</f>
        <v>1786345</v>
      </c>
      <c r="F79" s="969">
        <v>1786343</v>
      </c>
      <c r="G79" s="935">
        <f t="shared" si="6"/>
        <v>99.999888039544444</v>
      </c>
    </row>
    <row r="80" spans="1:7" s="414" customFormat="1" ht="36.75" customHeight="1" x14ac:dyDescent="0.25">
      <c r="A80" s="950"/>
      <c r="B80" s="942"/>
      <c r="C80" s="970" t="s">
        <v>620</v>
      </c>
      <c r="D80" s="914"/>
      <c r="E80" s="914">
        <v>438385</v>
      </c>
      <c r="F80" s="969"/>
      <c r="G80" s="935">
        <f t="shared" si="6"/>
        <v>0</v>
      </c>
    </row>
    <row r="81" spans="1:7" s="38" customFormat="1" ht="25.5" customHeight="1" x14ac:dyDescent="0.25">
      <c r="A81" s="896"/>
      <c r="B81" s="942"/>
      <c r="C81" s="996" t="s">
        <v>23</v>
      </c>
      <c r="D81" s="914"/>
      <c r="E81" s="914">
        <v>6884</v>
      </c>
      <c r="F81" s="914">
        <v>6884</v>
      </c>
      <c r="G81" s="948">
        <f t="shared" si="6"/>
        <v>100</v>
      </c>
    </row>
    <row r="82" spans="1:7" ht="35.25" customHeight="1" x14ac:dyDescent="0.25">
      <c r="A82" s="896"/>
      <c r="B82" s="942"/>
      <c r="C82" s="970" t="s">
        <v>675</v>
      </c>
      <c r="D82" s="914"/>
      <c r="E82" s="914">
        <v>267970</v>
      </c>
      <c r="F82" s="914"/>
      <c r="G82" s="935"/>
    </row>
    <row r="83" spans="1:7" ht="45.75" customHeight="1" x14ac:dyDescent="0.25">
      <c r="A83" s="896"/>
      <c r="B83" s="942"/>
      <c r="C83" s="970" t="s">
        <v>679</v>
      </c>
      <c r="D83" s="914"/>
      <c r="E83" s="914">
        <v>195011</v>
      </c>
      <c r="F83" s="914"/>
      <c r="G83" s="935"/>
    </row>
    <row r="84" spans="1:7" s="1011" customFormat="1" ht="35.25" customHeight="1" x14ac:dyDescent="0.25">
      <c r="A84" s="1006"/>
      <c r="B84" s="1007"/>
      <c r="C84" s="1008" t="s">
        <v>680</v>
      </c>
      <c r="D84" s="1009"/>
      <c r="E84" s="1009">
        <v>94500</v>
      </c>
      <c r="F84" s="1009"/>
      <c r="G84" s="1010"/>
    </row>
    <row r="85" spans="1:7" ht="25.5" customHeight="1" x14ac:dyDescent="0.25">
      <c r="A85" s="896"/>
      <c r="B85" s="942"/>
      <c r="C85" s="971" t="s">
        <v>676</v>
      </c>
      <c r="D85" s="914">
        <v>500000</v>
      </c>
      <c r="E85" s="914">
        <v>500000</v>
      </c>
      <c r="F85" s="914">
        <v>203</v>
      </c>
      <c r="G85" s="935">
        <f>+F85/E85*100</f>
        <v>4.0599999999999997E-2</v>
      </c>
    </row>
    <row r="86" spans="1:7" ht="35.25" customHeight="1" x14ac:dyDescent="0.25">
      <c r="A86" s="896"/>
      <c r="B86" s="942"/>
      <c r="C86" s="970" t="s">
        <v>677</v>
      </c>
      <c r="D86" s="914">
        <v>188976</v>
      </c>
      <c r="E86" s="914">
        <v>188976</v>
      </c>
      <c r="F86" s="914">
        <v>82310</v>
      </c>
      <c r="G86" s="935">
        <f t="shared" si="6"/>
        <v>43.555795444924222</v>
      </c>
    </row>
    <row r="87" spans="1:7" ht="48.75" customHeight="1" x14ac:dyDescent="0.25">
      <c r="A87" s="896"/>
      <c r="B87" s="942"/>
      <c r="C87" s="971" t="s">
        <v>678</v>
      </c>
      <c r="D87" s="914"/>
      <c r="E87" s="914">
        <v>1500000</v>
      </c>
      <c r="F87" s="969">
        <v>119933</v>
      </c>
      <c r="G87" s="935">
        <f t="shared" si="6"/>
        <v>7.9955333333333334</v>
      </c>
    </row>
    <row r="88" spans="1:7" s="38" customFormat="1" ht="25.5" customHeight="1" x14ac:dyDescent="0.25">
      <c r="A88" s="896"/>
      <c r="B88" s="942"/>
      <c r="C88" s="970" t="s">
        <v>225</v>
      </c>
      <c r="D88" s="778"/>
      <c r="E88" s="778">
        <v>46079</v>
      </c>
      <c r="F88" s="962">
        <f>16487-198+100</f>
        <v>16389</v>
      </c>
      <c r="G88" s="935">
        <f t="shared" si="6"/>
        <v>35.567178107163784</v>
      </c>
    </row>
    <row r="89" spans="1:7" ht="25.5" customHeight="1" x14ac:dyDescent="0.25">
      <c r="A89" s="896"/>
      <c r="B89" s="942"/>
      <c r="C89" s="970" t="s">
        <v>146</v>
      </c>
      <c r="D89" s="778"/>
      <c r="E89" s="778">
        <v>6332</v>
      </c>
      <c r="F89" s="962"/>
      <c r="G89" s="935">
        <f t="shared" si="6"/>
        <v>0</v>
      </c>
    </row>
    <row r="90" spans="1:7" s="38" customFormat="1" ht="25.5" customHeight="1" x14ac:dyDescent="0.25">
      <c r="A90" s="896"/>
      <c r="B90" s="942"/>
      <c r="C90" s="916" t="s">
        <v>166</v>
      </c>
      <c r="D90" s="776"/>
      <c r="E90" s="776">
        <v>2909</v>
      </c>
      <c r="F90" s="973">
        <v>2909</v>
      </c>
      <c r="G90" s="948">
        <f t="shared" si="6"/>
        <v>100</v>
      </c>
    </row>
    <row r="91" spans="1:7" ht="25.5" customHeight="1" x14ac:dyDescent="0.25">
      <c r="A91" s="896"/>
      <c r="B91" s="942"/>
      <c r="C91" s="919" t="s">
        <v>288</v>
      </c>
      <c r="D91" s="778"/>
      <c r="E91" s="778">
        <v>27000</v>
      </c>
      <c r="F91" s="962">
        <v>1796</v>
      </c>
      <c r="G91" s="935">
        <f t="shared" si="6"/>
        <v>6.6518518518518519</v>
      </c>
    </row>
    <row r="92" spans="1:7" ht="25.5" customHeight="1" x14ac:dyDescent="0.25">
      <c r="A92" s="896"/>
      <c r="B92" s="942"/>
      <c r="C92" s="916" t="s">
        <v>511</v>
      </c>
      <c r="D92" s="781">
        <v>58081</v>
      </c>
      <c r="E92" s="781">
        <v>58081</v>
      </c>
      <c r="F92" s="962"/>
      <c r="G92" s="935">
        <f t="shared" si="6"/>
        <v>0</v>
      </c>
    </row>
    <row r="93" spans="1:7" ht="25.5" customHeight="1" x14ac:dyDescent="0.25">
      <c r="A93" s="961"/>
      <c r="B93" s="942"/>
      <c r="C93" s="919" t="s">
        <v>482</v>
      </c>
      <c r="D93" s="781">
        <v>444600</v>
      </c>
      <c r="E93" s="781">
        <v>509187</v>
      </c>
      <c r="F93" s="962">
        <v>53483</v>
      </c>
      <c r="G93" s="935">
        <f t="shared" si="6"/>
        <v>10.503606729944009</v>
      </c>
    </row>
    <row r="94" spans="1:7" ht="25.5" customHeight="1" x14ac:dyDescent="0.25">
      <c r="A94" s="896"/>
      <c r="B94" s="942"/>
      <c r="C94" s="919" t="s">
        <v>649</v>
      </c>
      <c r="D94" s="778">
        <v>18999</v>
      </c>
      <c r="E94" s="778">
        <v>19638</v>
      </c>
      <c r="F94" s="962">
        <v>908</v>
      </c>
      <c r="G94" s="935">
        <f t="shared" si="6"/>
        <v>4.6236887666768514</v>
      </c>
    </row>
    <row r="95" spans="1:7" ht="25.5" customHeight="1" x14ac:dyDescent="0.25">
      <c r="A95" s="961"/>
      <c r="B95" s="942"/>
      <c r="C95" s="970" t="s">
        <v>485</v>
      </c>
      <c r="D95" s="781">
        <v>1312225</v>
      </c>
      <c r="E95" s="781">
        <v>1312225</v>
      </c>
      <c r="F95" s="962">
        <v>42020</v>
      </c>
      <c r="G95" s="935">
        <f t="shared" si="6"/>
        <v>3.2021947455657376</v>
      </c>
    </row>
    <row r="96" spans="1:7" ht="25.5" customHeight="1" x14ac:dyDescent="0.25">
      <c r="A96" s="896"/>
      <c r="B96" s="942"/>
      <c r="C96" s="970" t="s">
        <v>639</v>
      </c>
      <c r="D96" s="781">
        <v>288775</v>
      </c>
      <c r="E96" s="781">
        <v>288775</v>
      </c>
      <c r="F96" s="962"/>
      <c r="G96" s="935">
        <f t="shared" si="6"/>
        <v>0</v>
      </c>
    </row>
    <row r="97" spans="1:7" ht="25.5" customHeight="1" x14ac:dyDescent="0.25">
      <c r="A97" s="961"/>
      <c r="B97" s="942"/>
      <c r="C97" s="970" t="s">
        <v>660</v>
      </c>
      <c r="D97" s="781"/>
      <c r="E97" s="781">
        <v>1420000</v>
      </c>
      <c r="F97" s="962">
        <v>0</v>
      </c>
      <c r="G97" s="935">
        <f t="shared" si="6"/>
        <v>0</v>
      </c>
    </row>
    <row r="98" spans="1:7" ht="25.5" customHeight="1" x14ac:dyDescent="0.25">
      <c r="A98" s="961"/>
      <c r="B98" s="942"/>
      <c r="C98" s="970" t="s">
        <v>661</v>
      </c>
      <c r="D98" s="781"/>
      <c r="E98" s="781">
        <v>1128180</v>
      </c>
      <c r="F98" s="962">
        <v>0</v>
      </c>
      <c r="G98" s="935">
        <f t="shared" si="6"/>
        <v>0</v>
      </c>
    </row>
    <row r="99" spans="1:7" ht="25.5" customHeight="1" x14ac:dyDescent="0.25">
      <c r="A99" s="961"/>
      <c r="B99" s="942"/>
      <c r="C99" s="970" t="s">
        <v>659</v>
      </c>
      <c r="D99" s="781"/>
      <c r="E99" s="781">
        <v>460000</v>
      </c>
      <c r="F99" s="962">
        <v>0</v>
      </c>
      <c r="G99" s="935">
        <f t="shared" si="6"/>
        <v>0</v>
      </c>
    </row>
    <row r="100" spans="1:7" ht="25.5" customHeight="1" x14ac:dyDescent="0.25">
      <c r="A100" s="961"/>
      <c r="B100" s="942"/>
      <c r="C100" s="972" t="s">
        <v>475</v>
      </c>
      <c r="D100" s="782">
        <v>724668</v>
      </c>
      <c r="E100" s="782">
        <v>723868</v>
      </c>
      <c r="F100" s="973">
        <v>45750</v>
      </c>
      <c r="G100" s="935">
        <f t="shared" si="6"/>
        <v>6.3202130775224212</v>
      </c>
    </row>
    <row r="101" spans="1:7" ht="26.25" customHeight="1" x14ac:dyDescent="0.25">
      <c r="A101" s="896"/>
      <c r="B101" s="942"/>
      <c r="C101" s="966" t="s">
        <v>638</v>
      </c>
      <c r="D101" s="781">
        <v>167457</v>
      </c>
      <c r="E101" s="781">
        <v>167457</v>
      </c>
      <c r="F101" s="962"/>
      <c r="G101" s="935">
        <f t="shared" si="6"/>
        <v>0</v>
      </c>
    </row>
    <row r="102" spans="1:7" ht="25.5" customHeight="1" x14ac:dyDescent="0.25">
      <c r="A102" s="961"/>
      <c r="B102" s="942"/>
      <c r="C102" s="972" t="s">
        <v>484</v>
      </c>
      <c r="D102" s="781">
        <v>554178</v>
      </c>
      <c r="E102" s="781">
        <v>449271</v>
      </c>
      <c r="F102" s="962">
        <v>19737</v>
      </c>
      <c r="G102" s="935">
        <f t="shared" si="6"/>
        <v>4.3931168492958594</v>
      </c>
    </row>
    <row r="103" spans="1:7" ht="25.5" customHeight="1" x14ac:dyDescent="0.25">
      <c r="A103" s="896"/>
      <c r="B103" s="942"/>
      <c r="C103" s="972" t="s">
        <v>637</v>
      </c>
      <c r="D103" s="781"/>
      <c r="E103" s="781">
        <v>102789</v>
      </c>
      <c r="F103" s="962"/>
      <c r="G103" s="935">
        <f t="shared" si="6"/>
        <v>0</v>
      </c>
    </row>
    <row r="104" spans="1:7" ht="26.25" customHeight="1" x14ac:dyDescent="0.25">
      <c r="A104" s="896"/>
      <c r="B104" s="942"/>
      <c r="C104" s="972" t="s">
        <v>650</v>
      </c>
      <c r="D104" s="781">
        <v>17000</v>
      </c>
      <c r="E104" s="781">
        <v>17000</v>
      </c>
      <c r="F104" s="962"/>
      <c r="G104" s="935">
        <f t="shared" si="6"/>
        <v>0</v>
      </c>
    </row>
    <row r="105" spans="1:7" ht="39.75" customHeight="1" x14ac:dyDescent="0.25">
      <c r="A105" s="961"/>
      <c r="B105" s="942"/>
      <c r="C105" s="966" t="s">
        <v>472</v>
      </c>
      <c r="D105" s="781">
        <v>141802</v>
      </c>
      <c r="E105" s="781">
        <v>141802</v>
      </c>
      <c r="F105" s="962">
        <f>5842-100</f>
        <v>5742</v>
      </c>
      <c r="G105" s="935">
        <f t="shared" si="6"/>
        <v>4.049308190293508</v>
      </c>
    </row>
    <row r="106" spans="1:7" ht="25.5" customHeight="1" x14ac:dyDescent="0.25">
      <c r="A106" s="961"/>
      <c r="B106" s="942"/>
      <c r="C106" s="966" t="s">
        <v>471</v>
      </c>
      <c r="D106" s="781">
        <v>131000</v>
      </c>
      <c r="E106" s="781">
        <v>130047</v>
      </c>
      <c r="F106" s="962">
        <f>6182-200</f>
        <v>5982</v>
      </c>
      <c r="G106" s="935">
        <f t="shared" si="6"/>
        <v>4.5998754296523563</v>
      </c>
    </row>
    <row r="107" spans="1:7" ht="45" customHeight="1" x14ac:dyDescent="0.25">
      <c r="A107" s="896"/>
      <c r="B107" s="942"/>
      <c r="C107" s="966" t="s">
        <v>640</v>
      </c>
      <c r="D107" s="781">
        <v>28000</v>
      </c>
      <c r="E107" s="781">
        <v>28953</v>
      </c>
      <c r="F107" s="962"/>
      <c r="G107" s="935">
        <f t="shared" si="6"/>
        <v>0</v>
      </c>
    </row>
    <row r="108" spans="1:7" ht="36" x14ac:dyDescent="0.25">
      <c r="A108" s="896"/>
      <c r="B108" s="942"/>
      <c r="C108" s="966" t="s">
        <v>651</v>
      </c>
      <c r="D108" s="781"/>
      <c r="E108" s="781">
        <v>13673</v>
      </c>
      <c r="F108" s="962">
        <v>200</v>
      </c>
      <c r="G108" s="935">
        <f t="shared" si="6"/>
        <v>1.462736780516346</v>
      </c>
    </row>
    <row r="109" spans="1:7" ht="45" customHeight="1" x14ac:dyDescent="0.25">
      <c r="A109" s="896"/>
      <c r="B109" s="942"/>
      <c r="C109" s="966" t="s">
        <v>673</v>
      </c>
      <c r="D109" s="781"/>
      <c r="E109" s="781">
        <v>3648</v>
      </c>
      <c r="F109" s="962"/>
      <c r="G109" s="935">
        <f t="shared" si="6"/>
        <v>0</v>
      </c>
    </row>
    <row r="110" spans="1:7" ht="25.5" customHeight="1" x14ac:dyDescent="0.25">
      <c r="A110" s="961"/>
      <c r="B110" s="942"/>
      <c r="C110" s="966" t="s">
        <v>497</v>
      </c>
      <c r="D110" s="781">
        <v>248741</v>
      </c>
      <c r="E110" s="781">
        <v>247735</v>
      </c>
      <c r="F110" s="962">
        <v>7925</v>
      </c>
      <c r="G110" s="935">
        <f t="shared" si="6"/>
        <v>3.1989827840232508</v>
      </c>
    </row>
    <row r="111" spans="1:7" ht="26.25" customHeight="1" x14ac:dyDescent="0.25">
      <c r="A111" s="896"/>
      <c r="B111" s="942"/>
      <c r="C111" s="966" t="s">
        <v>652</v>
      </c>
      <c r="D111" s="781">
        <v>5858</v>
      </c>
      <c r="E111" s="781">
        <v>5858</v>
      </c>
      <c r="F111" s="962"/>
      <c r="G111" s="935">
        <f t="shared" si="6"/>
        <v>0</v>
      </c>
    </row>
    <row r="112" spans="1:7" ht="30.75" customHeight="1" x14ac:dyDescent="0.25">
      <c r="A112" s="961"/>
      <c r="B112" s="942"/>
      <c r="C112" s="784" t="s">
        <v>489</v>
      </c>
      <c r="D112" s="781">
        <v>768937</v>
      </c>
      <c r="E112" s="781">
        <v>745125</v>
      </c>
      <c r="F112" s="962">
        <v>29363</v>
      </c>
      <c r="G112" s="935">
        <f t="shared" si="6"/>
        <v>3.9406810937762118</v>
      </c>
    </row>
    <row r="113" spans="1:7" ht="47.25" customHeight="1" x14ac:dyDescent="0.25">
      <c r="A113" s="896"/>
      <c r="B113" s="942"/>
      <c r="C113" s="966" t="s">
        <v>505</v>
      </c>
      <c r="D113" s="781">
        <v>183158</v>
      </c>
      <c r="E113" s="781">
        <v>183158</v>
      </c>
      <c r="F113" s="962"/>
      <c r="G113" s="935">
        <f t="shared" si="6"/>
        <v>0</v>
      </c>
    </row>
    <row r="114" spans="1:7" ht="42" customHeight="1" x14ac:dyDescent="0.25">
      <c r="A114" s="896"/>
      <c r="B114" s="942"/>
      <c r="C114" s="966" t="s">
        <v>581</v>
      </c>
      <c r="D114" s="781"/>
      <c r="E114" s="781">
        <v>9375</v>
      </c>
      <c r="F114" s="962">
        <v>9375</v>
      </c>
      <c r="G114" s="779">
        <f t="shared" si="6"/>
        <v>100</v>
      </c>
    </row>
    <row r="115" spans="1:7" ht="48" customHeight="1" x14ac:dyDescent="0.25">
      <c r="A115" s="896"/>
      <c r="B115" s="942"/>
      <c r="C115" s="966" t="s">
        <v>641</v>
      </c>
      <c r="D115" s="782">
        <v>56600</v>
      </c>
      <c r="E115" s="782">
        <v>182078</v>
      </c>
      <c r="F115" s="973">
        <v>11011</v>
      </c>
      <c r="G115" s="935">
        <f t="shared" si="6"/>
        <v>6.0474082536055977</v>
      </c>
    </row>
    <row r="116" spans="1:7" ht="42" customHeight="1" x14ac:dyDescent="0.25">
      <c r="A116" s="896"/>
      <c r="B116" s="942"/>
      <c r="C116" s="966" t="s">
        <v>672</v>
      </c>
      <c r="D116" s="781"/>
      <c r="E116" s="781">
        <v>45732</v>
      </c>
      <c r="F116" s="962"/>
      <c r="G116" s="779"/>
    </row>
    <row r="117" spans="1:7" ht="42.75" customHeight="1" x14ac:dyDescent="0.25">
      <c r="A117" s="896"/>
      <c r="B117" s="942"/>
      <c r="C117" s="966" t="s">
        <v>674</v>
      </c>
      <c r="D117" s="781"/>
      <c r="E117" s="781">
        <v>56630</v>
      </c>
      <c r="F117" s="962"/>
      <c r="G117" s="935">
        <f t="shared" si="6"/>
        <v>0</v>
      </c>
    </row>
    <row r="118" spans="1:7" ht="25.5" customHeight="1" x14ac:dyDescent="0.25">
      <c r="A118" s="961"/>
      <c r="B118" s="942"/>
      <c r="C118" s="966" t="s">
        <v>478</v>
      </c>
      <c r="D118" s="781">
        <v>919535</v>
      </c>
      <c r="E118" s="781">
        <v>918535</v>
      </c>
      <c r="F118" s="962">
        <v>52532</v>
      </c>
      <c r="G118" s="935">
        <f t="shared" si="6"/>
        <v>5.719107056345158</v>
      </c>
    </row>
    <row r="119" spans="1:7" ht="25.5" customHeight="1" x14ac:dyDescent="0.25">
      <c r="A119" s="896"/>
      <c r="B119" s="942"/>
      <c r="C119" s="966" t="s">
        <v>642</v>
      </c>
      <c r="D119" s="781">
        <v>206590</v>
      </c>
      <c r="E119" s="781">
        <v>206590</v>
      </c>
      <c r="F119" s="962"/>
      <c r="G119" s="935">
        <f t="shared" si="6"/>
        <v>0</v>
      </c>
    </row>
    <row r="120" spans="1:7" ht="26.25" customHeight="1" x14ac:dyDescent="0.25">
      <c r="A120" s="896"/>
      <c r="B120" s="942"/>
      <c r="C120" s="966" t="s">
        <v>653</v>
      </c>
      <c r="D120" s="781"/>
      <c r="E120" s="781">
        <v>4136</v>
      </c>
      <c r="F120" s="962">
        <v>4136</v>
      </c>
      <c r="G120" s="935">
        <f t="shared" si="6"/>
        <v>100</v>
      </c>
    </row>
    <row r="121" spans="1:7" ht="30.75" customHeight="1" x14ac:dyDescent="0.25">
      <c r="A121" s="961"/>
      <c r="B121" s="942"/>
      <c r="C121" s="970" t="s">
        <v>490</v>
      </c>
      <c r="D121" s="782">
        <v>649479</v>
      </c>
      <c r="E121" s="782">
        <v>541155</v>
      </c>
      <c r="F121" s="973">
        <v>49971</v>
      </c>
      <c r="G121" s="935">
        <f t="shared" ref="G121:G138" si="7">+F121/E121*100</f>
        <v>9.2341380935221888</v>
      </c>
    </row>
    <row r="122" spans="1:7" ht="47.25" customHeight="1" x14ac:dyDescent="0.25">
      <c r="A122" s="896"/>
      <c r="B122" s="942"/>
      <c r="C122" s="966" t="s">
        <v>643</v>
      </c>
      <c r="D122" s="781">
        <v>144780</v>
      </c>
      <c r="E122" s="781">
        <v>253104</v>
      </c>
      <c r="F122" s="962"/>
      <c r="G122" s="935">
        <f t="shared" si="7"/>
        <v>0</v>
      </c>
    </row>
    <row r="123" spans="1:7" ht="25.5" customHeight="1" x14ac:dyDescent="0.25">
      <c r="A123" s="961"/>
      <c r="B123" s="942"/>
      <c r="C123" s="966" t="s">
        <v>474</v>
      </c>
      <c r="D123" s="783">
        <v>989625</v>
      </c>
      <c r="E123" s="783">
        <v>988675</v>
      </c>
      <c r="F123" s="969">
        <v>10289</v>
      </c>
      <c r="G123" s="935">
        <f t="shared" si="7"/>
        <v>1.0406857663033859</v>
      </c>
    </row>
    <row r="124" spans="1:7" ht="25.5" customHeight="1" x14ac:dyDescent="0.25">
      <c r="A124" s="961"/>
      <c r="B124" s="942"/>
      <c r="C124" s="966" t="s">
        <v>498</v>
      </c>
      <c r="D124" s="783">
        <v>630510</v>
      </c>
      <c r="E124" s="783">
        <v>300600</v>
      </c>
      <c r="F124" s="969">
        <v>300600</v>
      </c>
      <c r="G124" s="935">
        <f t="shared" si="7"/>
        <v>100</v>
      </c>
    </row>
    <row r="125" spans="1:7" ht="25.5" customHeight="1" x14ac:dyDescent="0.25">
      <c r="A125" s="961"/>
      <c r="B125" s="942"/>
      <c r="C125" s="916" t="s">
        <v>644</v>
      </c>
      <c r="D125" s="783">
        <v>16368</v>
      </c>
      <c r="E125" s="783">
        <v>32537</v>
      </c>
      <c r="F125" s="969">
        <v>32537</v>
      </c>
      <c r="G125" s="935">
        <f t="shared" si="7"/>
        <v>100</v>
      </c>
    </row>
    <row r="126" spans="1:7" ht="25.5" customHeight="1" x14ac:dyDescent="0.25">
      <c r="A126" s="961"/>
      <c r="B126" s="942"/>
      <c r="C126" s="784" t="s">
        <v>493</v>
      </c>
      <c r="D126" s="783">
        <v>294058</v>
      </c>
      <c r="E126" s="783">
        <v>292766</v>
      </c>
      <c r="F126" s="969">
        <v>17792</v>
      </c>
      <c r="G126" s="935">
        <f t="shared" si="7"/>
        <v>6.0772084190104039</v>
      </c>
    </row>
    <row r="127" spans="1:7" ht="26.25" customHeight="1" x14ac:dyDescent="0.25">
      <c r="A127" s="896"/>
      <c r="B127" s="942"/>
      <c r="C127" s="784" t="s">
        <v>654</v>
      </c>
      <c r="D127" s="781"/>
      <c r="E127" s="781">
        <v>11</v>
      </c>
      <c r="F127" s="962"/>
      <c r="G127" s="935">
        <f t="shared" si="7"/>
        <v>0</v>
      </c>
    </row>
    <row r="128" spans="1:7" ht="25.5" customHeight="1" x14ac:dyDescent="0.25">
      <c r="A128" s="961"/>
      <c r="B128" s="942"/>
      <c r="C128" s="784" t="s">
        <v>479</v>
      </c>
      <c r="D128" s="783">
        <v>296128</v>
      </c>
      <c r="E128" s="783">
        <v>239240</v>
      </c>
      <c r="F128" s="969">
        <v>68924</v>
      </c>
      <c r="G128" s="935">
        <f t="shared" si="7"/>
        <v>28.809563618124063</v>
      </c>
    </row>
    <row r="129" spans="1:9" ht="26.25" customHeight="1" x14ac:dyDescent="0.25">
      <c r="A129" s="896"/>
      <c r="B129" s="942"/>
      <c r="C129" s="784" t="s">
        <v>645</v>
      </c>
      <c r="D129" s="781"/>
      <c r="E129" s="781">
        <v>55596</v>
      </c>
      <c r="F129" s="962"/>
      <c r="G129" s="935">
        <f t="shared" si="7"/>
        <v>0</v>
      </c>
    </row>
    <row r="130" spans="1:9" ht="25.5" customHeight="1" x14ac:dyDescent="0.25">
      <c r="A130" s="961"/>
      <c r="B130" s="942"/>
      <c r="C130" s="966" t="s">
        <v>481</v>
      </c>
      <c r="D130" s="783">
        <v>294312</v>
      </c>
      <c r="E130" s="783">
        <v>293020</v>
      </c>
      <c r="F130" s="969">
        <v>17995</v>
      </c>
      <c r="G130" s="935">
        <f t="shared" si="7"/>
        <v>6.1412190294177877</v>
      </c>
    </row>
    <row r="131" spans="1:9" ht="26.25" customHeight="1" x14ac:dyDescent="0.25">
      <c r="A131" s="896"/>
      <c r="B131" s="942"/>
      <c r="C131" s="966" t="s">
        <v>655</v>
      </c>
      <c r="D131" s="781"/>
      <c r="E131" s="781">
        <v>4565</v>
      </c>
      <c r="F131" s="962"/>
      <c r="G131" s="935">
        <f t="shared" si="7"/>
        <v>0</v>
      </c>
    </row>
    <row r="132" spans="1:9" ht="25.5" customHeight="1" x14ac:dyDescent="0.25">
      <c r="A132" s="961"/>
      <c r="B132" s="942"/>
      <c r="C132" s="784" t="s">
        <v>491</v>
      </c>
      <c r="D132" s="781">
        <v>182993</v>
      </c>
      <c r="E132" s="781">
        <v>182209</v>
      </c>
      <c r="F132" s="962">
        <v>12036</v>
      </c>
      <c r="G132" s="935">
        <f t="shared" si="7"/>
        <v>6.6056012600914329</v>
      </c>
    </row>
    <row r="133" spans="1:9" ht="36" x14ac:dyDescent="0.25">
      <c r="A133" s="896"/>
      <c r="B133" s="942"/>
      <c r="C133" s="784" t="s">
        <v>656</v>
      </c>
      <c r="D133" s="781"/>
      <c r="E133" s="1909">
        <v>3670</v>
      </c>
      <c r="F133" s="962"/>
      <c r="G133" s="935">
        <f t="shared" si="7"/>
        <v>0</v>
      </c>
    </row>
    <row r="134" spans="1:9" ht="25.5" customHeight="1" x14ac:dyDescent="0.25">
      <c r="A134" s="961"/>
      <c r="B134" s="942"/>
      <c r="C134" s="970" t="s">
        <v>473</v>
      </c>
      <c r="D134" s="782">
        <v>562957</v>
      </c>
      <c r="E134" s="782">
        <v>560969</v>
      </c>
      <c r="F134" s="973">
        <v>24933</v>
      </c>
      <c r="G134" s="935">
        <f t="shared" si="7"/>
        <v>4.4446306302130774</v>
      </c>
    </row>
    <row r="135" spans="1:9" ht="25.5" customHeight="1" x14ac:dyDescent="0.25">
      <c r="A135" s="896"/>
      <c r="B135" s="942"/>
      <c r="C135" s="966" t="s">
        <v>646</v>
      </c>
      <c r="D135" s="781">
        <v>124004</v>
      </c>
      <c r="E135" s="781">
        <v>124004</v>
      </c>
      <c r="F135" s="962"/>
      <c r="G135" s="935">
        <f t="shared" si="7"/>
        <v>0</v>
      </c>
    </row>
    <row r="136" spans="1:9" ht="25.5" customHeight="1" x14ac:dyDescent="0.25">
      <c r="A136" s="896"/>
      <c r="B136" s="942"/>
      <c r="C136" s="966" t="s">
        <v>657</v>
      </c>
      <c r="D136" s="781"/>
      <c r="E136" s="1909">
        <v>82785</v>
      </c>
      <c r="F136" s="962"/>
      <c r="G136" s="935">
        <f t="shared" si="7"/>
        <v>0</v>
      </c>
    </row>
    <row r="137" spans="1:9" ht="25.5" customHeight="1" x14ac:dyDescent="0.25">
      <c r="A137" s="961"/>
      <c r="B137" s="942"/>
      <c r="C137" s="966" t="s">
        <v>495</v>
      </c>
      <c r="D137" s="781">
        <v>69604</v>
      </c>
      <c r="E137" s="781">
        <v>69279</v>
      </c>
      <c r="F137" s="962">
        <v>4567</v>
      </c>
      <c r="G137" s="935">
        <f t="shared" si="7"/>
        <v>6.5921852220730672</v>
      </c>
    </row>
    <row r="138" spans="1:9" ht="25.5" customHeight="1" x14ac:dyDescent="0.25">
      <c r="A138" s="961"/>
      <c r="B138" s="942"/>
      <c r="C138" s="784" t="s">
        <v>499</v>
      </c>
      <c r="D138" s="782">
        <v>376215</v>
      </c>
      <c r="E138" s="782">
        <v>373990</v>
      </c>
      <c r="F138" s="973">
        <f>16876+133+14+14+37+1</f>
        <v>17075</v>
      </c>
      <c r="G138" s="935">
        <f t="shared" si="7"/>
        <v>4.565630097061419</v>
      </c>
    </row>
    <row r="139" spans="1:9" ht="26.1" customHeight="1" x14ac:dyDescent="0.25">
      <c r="A139" s="896"/>
      <c r="B139" s="922"/>
      <c r="C139" s="938" t="s">
        <v>68</v>
      </c>
      <c r="D139" s="974">
        <f>SUM(D33:D138)</f>
        <v>14726500</v>
      </c>
      <c r="E139" s="974">
        <f>SUM(E33:E138)</f>
        <v>20871517</v>
      </c>
      <c r="F139" s="974">
        <f>SUM(F33:F138)</f>
        <v>3932021</v>
      </c>
      <c r="G139" s="975">
        <f>+F139/E139*100</f>
        <v>18.839172064014324</v>
      </c>
      <c r="I139" s="79"/>
    </row>
    <row r="140" spans="1:9" ht="26.1" customHeight="1" x14ac:dyDescent="0.25">
      <c r="A140" s="896"/>
      <c r="B140" s="847" t="s">
        <v>317</v>
      </c>
      <c r="C140" s="848" t="s">
        <v>26</v>
      </c>
      <c r="D140" s="846"/>
      <c r="E140" s="912"/>
      <c r="F140" s="912"/>
      <c r="G140" s="777"/>
    </row>
    <row r="141" spans="1:9" ht="26.1" customHeight="1" x14ac:dyDescent="0.25">
      <c r="A141" s="896"/>
      <c r="B141" s="847"/>
      <c r="C141" s="851" t="s">
        <v>578</v>
      </c>
      <c r="D141" s="778">
        <v>1395</v>
      </c>
      <c r="E141" s="778">
        <v>0</v>
      </c>
      <c r="F141" s="951"/>
      <c r="G141" s="779"/>
    </row>
    <row r="142" spans="1:9" ht="26.1" customHeight="1" x14ac:dyDescent="0.25">
      <c r="A142" s="896"/>
      <c r="B142" s="847"/>
      <c r="C142" s="851" t="s">
        <v>579</v>
      </c>
      <c r="D142" s="778">
        <v>3565</v>
      </c>
      <c r="E142" s="778">
        <v>0</v>
      </c>
      <c r="F142" s="951"/>
      <c r="G142" s="777"/>
    </row>
    <row r="143" spans="1:9" s="850" customFormat="1" ht="26.1" customHeight="1" x14ac:dyDescent="0.25">
      <c r="A143" s="976"/>
      <c r="B143" s="847"/>
      <c r="C143" s="848" t="s">
        <v>576</v>
      </c>
      <c r="D143" s="846">
        <f>SUM(D141:D142)</f>
        <v>4960</v>
      </c>
      <c r="E143" s="846">
        <f t="shared" ref="E143:F143" si="8">SUM(E141:E142)</f>
        <v>0</v>
      </c>
      <c r="F143" s="846">
        <f t="shared" si="8"/>
        <v>0</v>
      </c>
      <c r="G143" s="849"/>
    </row>
    <row r="144" spans="1:9" s="413" customFormat="1" ht="26.1" customHeight="1" thickBot="1" x14ac:dyDescent="0.3">
      <c r="A144" s="896"/>
      <c r="B144" s="977" t="s">
        <v>1736</v>
      </c>
      <c r="C144" s="978" t="s">
        <v>100</v>
      </c>
      <c r="D144" s="979">
        <v>20000</v>
      </c>
      <c r="E144" s="979">
        <v>38807</v>
      </c>
      <c r="F144" s="979">
        <v>22702</v>
      </c>
      <c r="G144" s="980">
        <f>+F144/E144*100</f>
        <v>58.499755198804337</v>
      </c>
    </row>
    <row r="145" spans="1:7" ht="26.1" customHeight="1" thickBot="1" x14ac:dyDescent="0.3">
      <c r="A145" s="896"/>
      <c r="B145" s="981"/>
      <c r="C145" s="982" t="s">
        <v>265</v>
      </c>
      <c r="D145" s="983">
        <f>D15+D16+D22+D30+D139+D144+D18+D140+D143</f>
        <v>15515104</v>
      </c>
      <c r="E145" s="983">
        <f t="shared" ref="E145:F145" si="9">E15+E16+E22+E30+E139+E144+E18+E140+E143</f>
        <v>21934217</v>
      </c>
      <c r="F145" s="983">
        <f t="shared" si="9"/>
        <v>4756039</v>
      </c>
      <c r="G145" s="984">
        <f>+F145/E145*100</f>
        <v>21.683194800160862</v>
      </c>
    </row>
    <row r="146" spans="1:7" ht="30.75" customHeight="1" x14ac:dyDescent="0.25">
      <c r="A146" s="896"/>
      <c r="B146" s="985"/>
      <c r="C146" s="985"/>
      <c r="D146" s="986"/>
      <c r="E146" s="987"/>
      <c r="F146" s="987"/>
      <c r="G146" s="985"/>
    </row>
    <row r="147" spans="1:7" ht="15" customHeight="1" x14ac:dyDescent="0.25">
      <c r="A147" s="896"/>
      <c r="B147" s="985"/>
      <c r="C147" s="985"/>
      <c r="D147" s="986"/>
      <c r="E147" s="987"/>
      <c r="F147" s="987"/>
      <c r="G147" s="985"/>
    </row>
    <row r="148" spans="1:7" ht="15" customHeight="1" x14ac:dyDescent="0.25">
      <c r="A148" s="896"/>
      <c r="B148" s="985"/>
      <c r="C148" s="985"/>
      <c r="D148" s="986"/>
      <c r="E148" s="987"/>
      <c r="F148" s="987"/>
      <c r="G148" s="985"/>
    </row>
    <row r="149" spans="1:7" ht="15" customHeight="1" x14ac:dyDescent="0.25">
      <c r="A149" s="896"/>
      <c r="B149" s="985"/>
      <c r="C149" s="985"/>
      <c r="D149" s="986"/>
      <c r="E149" s="987"/>
      <c r="F149" s="987"/>
      <c r="G149" s="985"/>
    </row>
    <row r="150" spans="1:7" ht="15" customHeight="1" x14ac:dyDescent="0.25">
      <c r="A150" s="896"/>
      <c r="B150" s="985"/>
      <c r="C150" s="985"/>
      <c r="D150" s="986"/>
      <c r="E150" s="987"/>
      <c r="F150" s="987"/>
      <c r="G150" s="985"/>
    </row>
    <row r="151" spans="1:7" ht="15" customHeight="1" x14ac:dyDescent="0.25">
      <c r="A151" s="896"/>
      <c r="B151" s="985"/>
      <c r="C151" s="985"/>
      <c r="D151" s="986"/>
      <c r="E151" s="987"/>
      <c r="F151" s="987"/>
      <c r="G151" s="985"/>
    </row>
    <row r="152" spans="1:7" ht="15" customHeight="1" x14ac:dyDescent="0.25">
      <c r="A152" s="896"/>
      <c r="B152" s="985"/>
      <c r="C152" s="985"/>
      <c r="D152" s="986"/>
      <c r="E152" s="987"/>
      <c r="F152" s="987"/>
      <c r="G152" s="985"/>
    </row>
    <row r="153" spans="1:7" ht="15" customHeight="1" x14ac:dyDescent="0.25">
      <c r="A153" s="896"/>
      <c r="B153" s="985"/>
      <c r="C153" s="985"/>
      <c r="D153" s="986"/>
      <c r="E153" s="987"/>
      <c r="F153" s="987"/>
      <c r="G153" s="985"/>
    </row>
    <row r="154" spans="1:7" ht="15" customHeight="1" x14ac:dyDescent="0.25">
      <c r="A154" s="896"/>
      <c r="B154" s="985"/>
      <c r="C154" s="985"/>
      <c r="D154" s="986"/>
      <c r="E154" s="987"/>
      <c r="F154" s="987"/>
      <c r="G154" s="985"/>
    </row>
    <row r="155" spans="1:7" ht="15" customHeight="1" x14ac:dyDescent="0.25">
      <c r="A155" s="896"/>
      <c r="B155" s="985"/>
      <c r="C155" s="985"/>
      <c r="D155" s="986"/>
      <c r="E155" s="987"/>
      <c r="F155" s="987"/>
      <c r="G155" s="985"/>
    </row>
    <row r="156" spans="1:7" ht="15" customHeight="1" x14ac:dyDescent="0.25">
      <c r="A156" s="896"/>
      <c r="B156" s="985"/>
      <c r="C156" s="985"/>
      <c r="D156" s="986"/>
      <c r="E156" s="987"/>
      <c r="F156" s="987"/>
      <c r="G156" s="985"/>
    </row>
    <row r="157" spans="1:7" ht="15" customHeight="1" x14ac:dyDescent="0.25">
      <c r="D157" s="38"/>
    </row>
    <row r="158" spans="1:7" ht="15" customHeight="1" x14ac:dyDescent="0.25">
      <c r="D158" s="38"/>
    </row>
    <row r="159" spans="1:7" ht="15" customHeight="1" x14ac:dyDescent="0.25">
      <c r="D159" s="38"/>
    </row>
    <row r="160" spans="1:7" ht="15" customHeight="1" x14ac:dyDescent="0.25">
      <c r="D160" s="38"/>
    </row>
    <row r="161" spans="1:7" ht="15" customHeight="1" x14ac:dyDescent="0.25">
      <c r="D161" s="38"/>
    </row>
    <row r="162" spans="1:7" s="79" customFormat="1" ht="15" customHeight="1" x14ac:dyDescent="0.25">
      <c r="A162" s="852"/>
      <c r="B162" s="37"/>
      <c r="C162" s="37"/>
      <c r="D162" s="38"/>
      <c r="G162" s="37"/>
    </row>
    <row r="163" spans="1:7" s="79" customFormat="1" ht="15" customHeight="1" x14ac:dyDescent="0.25">
      <c r="A163" s="852"/>
      <c r="B163" s="37"/>
      <c r="C163" s="37"/>
      <c r="D163" s="38"/>
      <c r="G163" s="37"/>
    </row>
    <row r="164" spans="1:7" s="79" customFormat="1" ht="15" customHeight="1" x14ac:dyDescent="0.25">
      <c r="A164" s="852"/>
      <c r="B164" s="37"/>
      <c r="C164" s="37"/>
      <c r="D164" s="38"/>
      <c r="G164" s="37"/>
    </row>
    <row r="165" spans="1:7" s="79" customFormat="1" ht="15" customHeight="1" x14ac:dyDescent="0.25">
      <c r="A165" s="852"/>
      <c r="B165" s="37"/>
      <c r="C165" s="37"/>
      <c r="D165" s="38"/>
      <c r="G165" s="37"/>
    </row>
    <row r="166" spans="1:7" s="79" customFormat="1" ht="15" customHeight="1" x14ac:dyDescent="0.25">
      <c r="A166" s="852"/>
      <c r="B166" s="37"/>
      <c r="C166" s="37"/>
      <c r="D166" s="38"/>
      <c r="G166" s="37"/>
    </row>
    <row r="167" spans="1:7" s="79" customFormat="1" ht="15" customHeight="1" x14ac:dyDescent="0.25">
      <c r="A167" s="852"/>
      <c r="B167" s="37"/>
      <c r="C167" s="37"/>
      <c r="D167" s="38"/>
      <c r="G167" s="37"/>
    </row>
    <row r="168" spans="1:7" s="79" customFormat="1" ht="15" customHeight="1" x14ac:dyDescent="0.25">
      <c r="A168" s="852"/>
      <c r="B168" s="37"/>
      <c r="C168" s="37"/>
      <c r="D168" s="38"/>
      <c r="G168" s="37"/>
    </row>
    <row r="169" spans="1:7" s="79" customFormat="1" ht="15" customHeight="1" x14ac:dyDescent="0.25">
      <c r="A169" s="852"/>
      <c r="B169" s="37"/>
      <c r="C169" s="37"/>
      <c r="D169" s="38"/>
      <c r="G169" s="37"/>
    </row>
    <row r="170" spans="1:7" s="79" customFormat="1" ht="15" customHeight="1" x14ac:dyDescent="0.25">
      <c r="A170" s="852"/>
      <c r="B170" s="37"/>
      <c r="C170" s="37"/>
      <c r="D170" s="38"/>
      <c r="G170" s="37"/>
    </row>
    <row r="171" spans="1:7" s="79" customFormat="1" ht="15" customHeight="1" x14ac:dyDescent="0.25">
      <c r="A171" s="852"/>
      <c r="B171" s="37"/>
      <c r="C171" s="37"/>
      <c r="D171" s="38"/>
      <c r="G171" s="37"/>
    </row>
    <row r="172" spans="1:7" s="79" customFormat="1" ht="15" customHeight="1" x14ac:dyDescent="0.25">
      <c r="A172" s="852"/>
      <c r="B172" s="37"/>
      <c r="C172" s="37"/>
      <c r="D172" s="38"/>
      <c r="G172" s="37"/>
    </row>
    <row r="173" spans="1:7" s="79" customFormat="1" ht="15" customHeight="1" x14ac:dyDescent="0.25">
      <c r="A173" s="852"/>
      <c r="B173" s="37"/>
      <c r="C173" s="37"/>
      <c r="D173" s="38"/>
      <c r="G173" s="37"/>
    </row>
    <row r="174" spans="1:7" s="79" customFormat="1" ht="15" customHeight="1" x14ac:dyDescent="0.25">
      <c r="A174" s="852"/>
      <c r="B174" s="37"/>
      <c r="C174" s="37"/>
      <c r="D174" s="38"/>
      <c r="G174" s="37"/>
    </row>
    <row r="175" spans="1:7" s="79" customFormat="1" ht="15" customHeight="1" x14ac:dyDescent="0.25">
      <c r="A175" s="852"/>
      <c r="B175" s="37"/>
      <c r="C175" s="37"/>
      <c r="D175" s="38"/>
      <c r="G175" s="37"/>
    </row>
    <row r="176" spans="1:7" s="79" customFormat="1" ht="15" customHeight="1" x14ac:dyDescent="0.25">
      <c r="A176" s="852"/>
      <c r="B176" s="37"/>
      <c r="C176" s="37"/>
      <c r="D176" s="38"/>
      <c r="G176" s="37"/>
    </row>
    <row r="177" spans="1:7" s="79" customFormat="1" ht="15" customHeight="1" x14ac:dyDescent="0.25">
      <c r="A177" s="852"/>
      <c r="B177" s="37"/>
      <c r="C177" s="37"/>
      <c r="D177" s="38"/>
      <c r="G177" s="37"/>
    </row>
    <row r="178" spans="1:7" s="79" customFormat="1" ht="15" customHeight="1" x14ac:dyDescent="0.25">
      <c r="A178" s="852"/>
      <c r="B178" s="37"/>
      <c r="C178" s="37"/>
      <c r="D178" s="38"/>
      <c r="G178" s="37"/>
    </row>
    <row r="179" spans="1:7" s="79" customFormat="1" ht="15" customHeight="1" x14ac:dyDescent="0.25">
      <c r="A179" s="852"/>
      <c r="B179" s="37"/>
      <c r="C179" s="37"/>
      <c r="D179" s="38"/>
      <c r="G179" s="37"/>
    </row>
    <row r="180" spans="1:7" s="79" customFormat="1" ht="15" customHeight="1" x14ac:dyDescent="0.25">
      <c r="A180" s="852"/>
      <c r="B180" s="37"/>
      <c r="C180" s="37"/>
      <c r="D180" s="38"/>
      <c r="G180" s="37"/>
    </row>
    <row r="181" spans="1:7" s="79" customFormat="1" ht="15" customHeight="1" x14ac:dyDescent="0.25">
      <c r="A181" s="852"/>
      <c r="B181" s="37"/>
      <c r="C181" s="37"/>
      <c r="D181" s="38"/>
      <c r="G181" s="37"/>
    </row>
    <row r="182" spans="1:7" s="79" customFormat="1" ht="15" customHeight="1" x14ac:dyDescent="0.25">
      <c r="A182" s="852"/>
      <c r="B182" s="37"/>
      <c r="C182" s="37"/>
      <c r="D182" s="38"/>
      <c r="G182" s="37"/>
    </row>
    <row r="183" spans="1:7" s="79" customFormat="1" ht="15" customHeight="1" x14ac:dyDescent="0.25">
      <c r="A183" s="852"/>
      <c r="B183" s="37"/>
      <c r="C183" s="37"/>
      <c r="D183" s="38"/>
      <c r="G183" s="37"/>
    </row>
    <row r="184" spans="1:7" s="79" customFormat="1" ht="15" customHeight="1" x14ac:dyDescent="0.25">
      <c r="A184" s="852"/>
      <c r="B184" s="37"/>
      <c r="C184" s="37"/>
      <c r="D184" s="38"/>
      <c r="G184" s="37"/>
    </row>
    <row r="185" spans="1:7" s="79" customFormat="1" ht="15" customHeight="1" x14ac:dyDescent="0.25">
      <c r="A185" s="852"/>
      <c r="B185" s="37"/>
      <c r="C185" s="37"/>
      <c r="D185" s="38"/>
      <c r="G185" s="37"/>
    </row>
    <row r="186" spans="1:7" s="79" customFormat="1" ht="15" customHeight="1" x14ac:dyDescent="0.25">
      <c r="A186" s="852"/>
      <c r="B186" s="37"/>
      <c r="C186" s="37"/>
      <c r="D186" s="38"/>
      <c r="G186" s="37"/>
    </row>
    <row r="187" spans="1:7" s="79" customFormat="1" ht="15" customHeight="1" x14ac:dyDescent="0.25">
      <c r="A187" s="852"/>
      <c r="B187" s="37"/>
      <c r="C187" s="37"/>
      <c r="D187" s="38"/>
      <c r="G187" s="37"/>
    </row>
    <row r="188" spans="1:7" s="79" customFormat="1" ht="15" customHeight="1" x14ac:dyDescent="0.25">
      <c r="A188" s="852"/>
      <c r="B188" s="37"/>
      <c r="C188" s="37"/>
      <c r="D188" s="38"/>
      <c r="G188" s="37"/>
    </row>
    <row r="189" spans="1:7" s="79" customFormat="1" ht="15" customHeight="1" x14ac:dyDescent="0.25">
      <c r="A189" s="852"/>
      <c r="B189" s="37"/>
      <c r="C189" s="37"/>
      <c r="D189" s="38"/>
      <c r="G189" s="37"/>
    </row>
    <row r="190" spans="1:7" s="79" customFormat="1" ht="15" customHeight="1" x14ac:dyDescent="0.25">
      <c r="A190" s="852"/>
      <c r="B190" s="37"/>
      <c r="C190" s="37"/>
      <c r="D190" s="38"/>
      <c r="G190" s="37"/>
    </row>
    <row r="191" spans="1:7" s="79" customFormat="1" ht="15" customHeight="1" x14ac:dyDescent="0.25">
      <c r="A191" s="852"/>
      <c r="B191" s="37"/>
      <c r="C191" s="37"/>
      <c r="D191" s="38"/>
      <c r="G191" s="37"/>
    </row>
    <row r="192" spans="1:7" s="79" customFormat="1" ht="15" customHeight="1" x14ac:dyDescent="0.25">
      <c r="A192" s="852"/>
      <c r="B192" s="37"/>
      <c r="C192" s="37"/>
      <c r="D192" s="38"/>
      <c r="G192" s="37"/>
    </row>
    <row r="193" spans="1:7" s="79" customFormat="1" ht="15" customHeight="1" x14ac:dyDescent="0.25">
      <c r="A193" s="852"/>
      <c r="B193" s="37"/>
      <c r="C193" s="37"/>
      <c r="D193" s="38"/>
      <c r="G193" s="37"/>
    </row>
    <row r="194" spans="1:7" s="79" customFormat="1" ht="15" customHeight="1" x14ac:dyDescent="0.25">
      <c r="A194" s="852"/>
      <c r="B194" s="37"/>
      <c r="C194" s="37"/>
      <c r="D194" s="38"/>
      <c r="G194" s="37"/>
    </row>
    <row r="195" spans="1:7" s="79" customFormat="1" ht="15" customHeight="1" x14ac:dyDescent="0.25">
      <c r="A195" s="852"/>
      <c r="B195" s="37"/>
      <c r="C195" s="37"/>
      <c r="D195" s="38"/>
      <c r="G195" s="37"/>
    </row>
    <row r="196" spans="1:7" s="79" customFormat="1" ht="15" customHeight="1" x14ac:dyDescent="0.25">
      <c r="A196" s="852"/>
      <c r="B196" s="37"/>
      <c r="C196" s="37"/>
      <c r="D196" s="38"/>
      <c r="G196" s="37"/>
    </row>
    <row r="197" spans="1:7" s="79" customFormat="1" ht="15" customHeight="1" x14ac:dyDescent="0.25">
      <c r="A197" s="852"/>
      <c r="B197" s="37"/>
      <c r="C197" s="37"/>
      <c r="D197" s="38"/>
      <c r="G197" s="37"/>
    </row>
    <row r="198" spans="1:7" s="79" customFormat="1" ht="15" customHeight="1" x14ac:dyDescent="0.25">
      <c r="A198" s="852"/>
      <c r="B198" s="37"/>
      <c r="C198" s="37"/>
      <c r="D198" s="38"/>
      <c r="G198" s="37"/>
    </row>
    <row r="199" spans="1:7" s="79" customFormat="1" ht="15" customHeight="1" x14ac:dyDescent="0.25">
      <c r="A199" s="852"/>
      <c r="B199" s="37"/>
      <c r="C199" s="37"/>
      <c r="D199" s="38"/>
      <c r="G199" s="37"/>
    </row>
    <row r="200" spans="1:7" s="79" customFormat="1" ht="15" customHeight="1" x14ac:dyDescent="0.25">
      <c r="A200" s="852"/>
      <c r="B200" s="37"/>
      <c r="C200" s="37"/>
      <c r="D200" s="38"/>
      <c r="G200" s="37"/>
    </row>
    <row r="201" spans="1:7" s="79" customFormat="1" ht="15" customHeight="1" x14ac:dyDescent="0.25">
      <c r="A201" s="852"/>
      <c r="B201" s="37"/>
      <c r="C201" s="37"/>
      <c r="D201" s="38"/>
      <c r="G201" s="37"/>
    </row>
    <row r="202" spans="1:7" s="79" customFormat="1" ht="15" customHeight="1" x14ac:dyDescent="0.25">
      <c r="A202" s="852"/>
      <c r="B202" s="37"/>
      <c r="C202" s="37"/>
      <c r="D202" s="38"/>
      <c r="G202" s="37"/>
    </row>
    <row r="203" spans="1:7" s="79" customFormat="1" ht="15" customHeight="1" x14ac:dyDescent="0.25">
      <c r="A203" s="852"/>
      <c r="B203" s="37"/>
      <c r="C203" s="37"/>
      <c r="D203" s="38"/>
      <c r="G203" s="37"/>
    </row>
    <row r="204" spans="1:7" s="79" customFormat="1" ht="15" customHeight="1" x14ac:dyDescent="0.25">
      <c r="A204" s="852"/>
      <c r="B204" s="37"/>
      <c r="C204" s="37"/>
      <c r="D204" s="38"/>
      <c r="G204" s="37"/>
    </row>
    <row r="205" spans="1:7" s="79" customFormat="1" ht="15" customHeight="1" x14ac:dyDescent="0.25">
      <c r="A205" s="852"/>
      <c r="B205" s="37"/>
      <c r="C205" s="37"/>
      <c r="D205" s="38"/>
      <c r="G205" s="37"/>
    </row>
    <row r="206" spans="1:7" s="79" customFormat="1" ht="15" customHeight="1" x14ac:dyDescent="0.25">
      <c r="A206" s="852"/>
      <c r="B206" s="37"/>
      <c r="C206" s="37"/>
      <c r="D206" s="38"/>
      <c r="G206" s="37"/>
    </row>
    <row r="207" spans="1:7" s="79" customFormat="1" ht="15" customHeight="1" x14ac:dyDescent="0.25">
      <c r="A207" s="852"/>
      <c r="B207" s="37"/>
      <c r="C207" s="37"/>
      <c r="D207" s="38"/>
      <c r="G207" s="37"/>
    </row>
    <row r="208" spans="1:7" s="79" customFormat="1" ht="15" customHeight="1" x14ac:dyDescent="0.25">
      <c r="A208" s="852"/>
      <c r="B208" s="37"/>
      <c r="C208" s="37"/>
      <c r="D208" s="38"/>
      <c r="G208" s="37"/>
    </row>
    <row r="209" spans="1:7" s="79" customFormat="1" ht="15" customHeight="1" x14ac:dyDescent="0.25">
      <c r="A209" s="852"/>
      <c r="B209" s="37"/>
      <c r="C209" s="37"/>
      <c r="D209" s="38"/>
      <c r="G209" s="37"/>
    </row>
    <row r="210" spans="1:7" s="79" customFormat="1" ht="15" customHeight="1" x14ac:dyDescent="0.25">
      <c r="A210" s="852"/>
      <c r="B210" s="37"/>
      <c r="C210" s="37"/>
      <c r="D210" s="38"/>
      <c r="G210" s="37"/>
    </row>
    <row r="211" spans="1:7" s="79" customFormat="1" ht="15" customHeight="1" x14ac:dyDescent="0.25">
      <c r="A211" s="852"/>
      <c r="B211" s="37"/>
      <c r="C211" s="37"/>
      <c r="D211" s="38"/>
      <c r="G211" s="37"/>
    </row>
    <row r="212" spans="1:7" s="79" customFormat="1" ht="15" customHeight="1" x14ac:dyDescent="0.25">
      <c r="A212" s="852"/>
      <c r="B212" s="37"/>
      <c r="C212" s="37"/>
      <c r="D212" s="38"/>
      <c r="G212" s="37"/>
    </row>
    <row r="213" spans="1:7" s="79" customFormat="1" ht="15" customHeight="1" x14ac:dyDescent="0.25">
      <c r="A213" s="852"/>
      <c r="B213" s="37"/>
      <c r="C213" s="37"/>
      <c r="D213" s="38"/>
      <c r="G213" s="37"/>
    </row>
    <row r="214" spans="1:7" s="79" customFormat="1" ht="15" customHeight="1" x14ac:dyDescent="0.25">
      <c r="A214" s="852"/>
      <c r="B214" s="37"/>
      <c r="C214" s="37"/>
      <c r="D214" s="38"/>
      <c r="G214" s="37"/>
    </row>
    <row r="215" spans="1:7" s="79" customFormat="1" ht="15" customHeight="1" x14ac:dyDescent="0.25">
      <c r="A215" s="852"/>
      <c r="B215" s="37"/>
      <c r="C215" s="37"/>
      <c r="D215" s="38"/>
      <c r="G215" s="37"/>
    </row>
    <row r="216" spans="1:7" s="79" customFormat="1" ht="15" customHeight="1" x14ac:dyDescent="0.25">
      <c r="A216" s="852"/>
      <c r="B216" s="37"/>
      <c r="C216" s="37"/>
      <c r="D216" s="38"/>
      <c r="G216" s="37"/>
    </row>
    <row r="217" spans="1:7" s="79" customFormat="1" ht="15" customHeight="1" x14ac:dyDescent="0.25">
      <c r="A217" s="852"/>
      <c r="B217" s="37"/>
      <c r="C217" s="37"/>
      <c r="D217" s="38"/>
      <c r="G217" s="37"/>
    </row>
    <row r="218" spans="1:7" s="79" customFormat="1" ht="15" customHeight="1" x14ac:dyDescent="0.25">
      <c r="A218" s="852"/>
      <c r="B218" s="37"/>
      <c r="C218" s="37"/>
      <c r="D218" s="38"/>
      <c r="G218" s="37"/>
    </row>
    <row r="219" spans="1:7" s="79" customFormat="1" ht="15" customHeight="1" x14ac:dyDescent="0.25">
      <c r="A219" s="852"/>
      <c r="B219" s="37"/>
      <c r="C219" s="37"/>
      <c r="D219" s="38"/>
      <c r="G219" s="37"/>
    </row>
    <row r="220" spans="1:7" s="79" customFormat="1" ht="15" customHeight="1" x14ac:dyDescent="0.25">
      <c r="A220" s="852"/>
      <c r="B220" s="37"/>
      <c r="C220" s="37"/>
      <c r="D220" s="38"/>
      <c r="G220" s="37"/>
    </row>
    <row r="221" spans="1:7" s="79" customFormat="1" ht="15" customHeight="1" x14ac:dyDescent="0.25">
      <c r="A221" s="852"/>
      <c r="B221" s="37"/>
      <c r="C221" s="37"/>
      <c r="D221" s="38"/>
      <c r="G221" s="37"/>
    </row>
    <row r="222" spans="1:7" s="79" customFormat="1" ht="15" customHeight="1" x14ac:dyDescent="0.25">
      <c r="A222" s="852"/>
      <c r="B222" s="37"/>
      <c r="C222" s="37"/>
      <c r="D222" s="38"/>
      <c r="G222" s="37"/>
    </row>
    <row r="223" spans="1:7" s="79" customFormat="1" ht="15" customHeight="1" x14ac:dyDescent="0.25">
      <c r="A223" s="852"/>
      <c r="B223" s="37"/>
      <c r="C223" s="37"/>
      <c r="D223" s="38"/>
      <c r="G223" s="37"/>
    </row>
    <row r="224" spans="1:7" s="79" customFormat="1" ht="15" customHeight="1" x14ac:dyDescent="0.25">
      <c r="A224" s="852"/>
      <c r="B224" s="37"/>
      <c r="C224" s="37"/>
      <c r="D224" s="38"/>
      <c r="G224" s="37"/>
    </row>
    <row r="225" spans="1:7" s="79" customFormat="1" ht="15" customHeight="1" x14ac:dyDescent="0.25">
      <c r="A225" s="852"/>
      <c r="B225" s="37"/>
      <c r="C225" s="37"/>
      <c r="D225" s="38"/>
      <c r="G225" s="37"/>
    </row>
    <row r="226" spans="1:7" s="79" customFormat="1" ht="15" customHeight="1" x14ac:dyDescent="0.25">
      <c r="A226" s="852"/>
      <c r="B226" s="37"/>
      <c r="C226" s="37"/>
      <c r="D226" s="38"/>
      <c r="G226" s="37"/>
    </row>
    <row r="227" spans="1:7" s="79" customFormat="1" ht="15" customHeight="1" x14ac:dyDescent="0.25">
      <c r="A227" s="852"/>
      <c r="B227" s="37"/>
      <c r="C227" s="37"/>
      <c r="D227" s="38"/>
      <c r="G227" s="37"/>
    </row>
    <row r="228" spans="1:7" s="79" customFormat="1" ht="15" customHeight="1" x14ac:dyDescent="0.25">
      <c r="A228" s="852"/>
      <c r="B228" s="37"/>
      <c r="C228" s="37"/>
      <c r="D228" s="38"/>
      <c r="G228" s="37"/>
    </row>
    <row r="229" spans="1:7" s="79" customFormat="1" ht="15" customHeight="1" x14ac:dyDescent="0.25">
      <c r="A229" s="852"/>
      <c r="B229" s="37"/>
      <c r="C229" s="37"/>
      <c r="D229" s="38"/>
      <c r="G229" s="37"/>
    </row>
    <row r="230" spans="1:7" s="79" customFormat="1" ht="15" customHeight="1" x14ac:dyDescent="0.25">
      <c r="A230" s="852"/>
      <c r="B230" s="37"/>
      <c r="C230" s="37"/>
      <c r="D230" s="38"/>
      <c r="G230" s="37"/>
    </row>
    <row r="231" spans="1:7" s="79" customFormat="1" ht="15" customHeight="1" x14ac:dyDescent="0.25">
      <c r="A231" s="852"/>
      <c r="B231" s="37"/>
      <c r="C231" s="37"/>
      <c r="D231" s="38"/>
      <c r="G231" s="37"/>
    </row>
    <row r="232" spans="1:7" s="79" customFormat="1" ht="15" customHeight="1" x14ac:dyDescent="0.25">
      <c r="A232" s="852"/>
      <c r="B232" s="37"/>
      <c r="C232" s="37"/>
      <c r="D232" s="38"/>
      <c r="G232" s="37"/>
    </row>
    <row r="233" spans="1:7" s="79" customFormat="1" ht="15" customHeight="1" x14ac:dyDescent="0.25">
      <c r="A233" s="852"/>
      <c r="B233" s="37"/>
      <c r="C233" s="37"/>
      <c r="D233" s="38"/>
      <c r="G233" s="37"/>
    </row>
    <row r="234" spans="1:7" s="79" customFormat="1" ht="15" customHeight="1" x14ac:dyDescent="0.25">
      <c r="A234" s="852"/>
      <c r="B234" s="37"/>
      <c r="C234" s="37"/>
      <c r="D234" s="38"/>
      <c r="G234" s="37"/>
    </row>
    <row r="235" spans="1:7" s="79" customFormat="1" ht="15" customHeight="1" x14ac:dyDescent="0.25">
      <c r="A235" s="852"/>
      <c r="B235" s="37"/>
      <c r="C235" s="37"/>
      <c r="D235" s="38"/>
      <c r="G235" s="37"/>
    </row>
    <row r="236" spans="1:7" s="79" customFormat="1" ht="15" customHeight="1" x14ac:dyDescent="0.25">
      <c r="A236" s="852"/>
      <c r="B236" s="37"/>
      <c r="C236" s="37"/>
      <c r="D236" s="38"/>
      <c r="G236" s="37"/>
    </row>
    <row r="237" spans="1:7" s="79" customFormat="1" ht="15" customHeight="1" x14ac:dyDescent="0.25">
      <c r="A237" s="852"/>
      <c r="B237" s="37"/>
      <c r="C237" s="37"/>
      <c r="D237" s="38"/>
      <c r="G237" s="37"/>
    </row>
    <row r="238" spans="1:7" s="79" customFormat="1" ht="15" customHeight="1" x14ac:dyDescent="0.25">
      <c r="A238" s="852"/>
      <c r="B238" s="37"/>
      <c r="C238" s="37"/>
      <c r="D238" s="38"/>
      <c r="G238" s="37"/>
    </row>
    <row r="239" spans="1:7" s="79" customFormat="1" ht="15" customHeight="1" x14ac:dyDescent="0.25">
      <c r="A239" s="852"/>
      <c r="B239" s="37"/>
      <c r="C239" s="37"/>
      <c r="D239" s="38"/>
      <c r="G239" s="37"/>
    </row>
    <row r="240" spans="1:7" s="79" customFormat="1" ht="15" customHeight="1" x14ac:dyDescent="0.25">
      <c r="A240" s="852"/>
      <c r="B240" s="37"/>
      <c r="C240" s="37"/>
      <c r="D240" s="38"/>
      <c r="G240" s="37"/>
    </row>
    <row r="241" spans="1:7" s="79" customFormat="1" ht="15" customHeight="1" x14ac:dyDescent="0.25">
      <c r="A241" s="852"/>
      <c r="B241" s="37"/>
      <c r="C241" s="37"/>
      <c r="D241" s="38"/>
      <c r="G241" s="37"/>
    </row>
    <row r="242" spans="1:7" s="79" customFormat="1" ht="15" customHeight="1" x14ac:dyDescent="0.25">
      <c r="A242" s="852"/>
      <c r="B242" s="37"/>
      <c r="C242" s="37"/>
      <c r="D242" s="38"/>
      <c r="G242" s="37"/>
    </row>
    <row r="243" spans="1:7" s="79" customFormat="1" ht="15" customHeight="1" x14ac:dyDescent="0.25">
      <c r="A243" s="852"/>
      <c r="B243" s="37"/>
      <c r="C243" s="37"/>
      <c r="D243" s="38"/>
      <c r="G243" s="37"/>
    </row>
    <row r="244" spans="1:7" s="79" customFormat="1" ht="15" customHeight="1" x14ac:dyDescent="0.25">
      <c r="A244" s="852"/>
      <c r="B244" s="37"/>
      <c r="C244" s="37"/>
      <c r="D244" s="38"/>
      <c r="G244" s="37"/>
    </row>
    <row r="245" spans="1:7" s="79" customFormat="1" ht="15" customHeight="1" x14ac:dyDescent="0.25">
      <c r="A245" s="852"/>
      <c r="B245" s="37"/>
      <c r="C245" s="37"/>
      <c r="D245" s="38"/>
      <c r="G245" s="37"/>
    </row>
    <row r="246" spans="1:7" s="79" customFormat="1" ht="15" customHeight="1" x14ac:dyDescent="0.25">
      <c r="A246" s="852"/>
      <c r="B246" s="37"/>
      <c r="C246" s="37"/>
      <c r="D246" s="38"/>
      <c r="G246" s="37"/>
    </row>
    <row r="247" spans="1:7" s="79" customFormat="1" ht="15" customHeight="1" x14ac:dyDescent="0.25">
      <c r="A247" s="852"/>
      <c r="B247" s="37"/>
      <c r="C247" s="37"/>
      <c r="D247" s="38"/>
      <c r="G247" s="37"/>
    </row>
    <row r="248" spans="1:7" s="79" customFormat="1" ht="15" customHeight="1" x14ac:dyDescent="0.25">
      <c r="A248" s="852"/>
      <c r="B248" s="37"/>
      <c r="C248" s="37"/>
      <c r="D248" s="38"/>
      <c r="G248" s="37"/>
    </row>
    <row r="249" spans="1:7" s="79" customFormat="1" ht="15" customHeight="1" x14ac:dyDescent="0.25">
      <c r="A249" s="852"/>
      <c r="B249" s="37"/>
      <c r="C249" s="37"/>
      <c r="D249" s="38"/>
      <c r="G249" s="37"/>
    </row>
    <row r="250" spans="1:7" s="79" customFormat="1" ht="15" customHeight="1" x14ac:dyDescent="0.25">
      <c r="A250" s="852"/>
      <c r="B250" s="37"/>
      <c r="C250" s="37"/>
      <c r="D250" s="38"/>
      <c r="G250" s="37"/>
    </row>
    <row r="251" spans="1:7" s="79" customFormat="1" ht="15" customHeight="1" x14ac:dyDescent="0.25">
      <c r="A251" s="852"/>
      <c r="B251" s="37"/>
      <c r="C251" s="37"/>
      <c r="D251" s="38"/>
      <c r="G251" s="37"/>
    </row>
    <row r="252" spans="1:7" s="79" customFormat="1" ht="15" customHeight="1" x14ac:dyDescent="0.25">
      <c r="A252" s="852"/>
      <c r="B252" s="37"/>
      <c r="C252" s="37"/>
      <c r="D252" s="38"/>
      <c r="G252" s="37"/>
    </row>
    <row r="253" spans="1:7" s="79" customFormat="1" ht="15" customHeight="1" x14ac:dyDescent="0.25">
      <c r="A253" s="852"/>
      <c r="B253" s="37"/>
      <c r="C253" s="37"/>
      <c r="D253" s="38"/>
      <c r="G253" s="37"/>
    </row>
    <row r="254" spans="1:7" s="79" customFormat="1" ht="15" customHeight="1" x14ac:dyDescent="0.25">
      <c r="A254" s="852"/>
      <c r="B254" s="37"/>
      <c r="C254" s="37"/>
      <c r="D254" s="38"/>
      <c r="G254" s="37"/>
    </row>
    <row r="255" spans="1:7" s="79" customFormat="1" ht="15" customHeight="1" x14ac:dyDescent="0.25">
      <c r="A255" s="852"/>
      <c r="B255" s="37"/>
      <c r="C255" s="37"/>
      <c r="D255" s="38"/>
      <c r="G255" s="37"/>
    </row>
    <row r="256" spans="1:7" s="79" customFormat="1" ht="15" customHeight="1" x14ac:dyDescent="0.25">
      <c r="A256" s="852"/>
      <c r="B256" s="37"/>
      <c r="C256" s="37"/>
      <c r="D256" s="38"/>
      <c r="G256" s="37"/>
    </row>
    <row r="257" spans="1:7" s="79" customFormat="1" ht="15" customHeight="1" x14ac:dyDescent="0.25">
      <c r="A257" s="852"/>
      <c r="B257" s="37"/>
      <c r="C257" s="37"/>
      <c r="D257" s="38"/>
      <c r="G257" s="37"/>
    </row>
    <row r="258" spans="1:7" s="79" customFormat="1" ht="15" customHeight="1" x14ac:dyDescent="0.25">
      <c r="A258" s="852"/>
      <c r="B258" s="37"/>
      <c r="C258" s="37"/>
      <c r="D258" s="38"/>
      <c r="G258" s="37"/>
    </row>
    <row r="259" spans="1:7" s="79" customFormat="1" ht="15" customHeight="1" x14ac:dyDescent="0.25">
      <c r="A259" s="852"/>
      <c r="B259" s="37"/>
      <c r="C259" s="37"/>
      <c r="D259" s="38"/>
      <c r="G259" s="37"/>
    </row>
    <row r="260" spans="1:7" s="79" customFormat="1" ht="15" customHeight="1" x14ac:dyDescent="0.25">
      <c r="A260" s="852"/>
      <c r="B260" s="37"/>
      <c r="C260" s="37"/>
      <c r="D260" s="38"/>
      <c r="G260" s="37"/>
    </row>
    <row r="261" spans="1:7" s="79" customFormat="1" ht="15" customHeight="1" x14ac:dyDescent="0.25">
      <c r="A261" s="852"/>
      <c r="B261" s="37"/>
      <c r="C261" s="37"/>
      <c r="D261" s="38"/>
      <c r="G261" s="37"/>
    </row>
    <row r="262" spans="1:7" s="79" customFormat="1" ht="15" customHeight="1" x14ac:dyDescent="0.25">
      <c r="A262" s="852"/>
      <c r="B262" s="37"/>
      <c r="C262" s="37"/>
      <c r="D262" s="38"/>
      <c r="G262" s="37"/>
    </row>
    <row r="263" spans="1:7" s="79" customFormat="1" ht="15" customHeight="1" x14ac:dyDescent="0.25">
      <c r="A263" s="852"/>
      <c r="B263" s="37"/>
      <c r="C263" s="37"/>
      <c r="D263" s="38"/>
      <c r="G263" s="37"/>
    </row>
    <row r="264" spans="1:7" s="79" customFormat="1" ht="15" customHeight="1" x14ac:dyDescent="0.25">
      <c r="A264" s="852"/>
      <c r="B264" s="37"/>
      <c r="C264" s="37"/>
      <c r="D264" s="38"/>
      <c r="G264" s="37"/>
    </row>
    <row r="265" spans="1:7" s="79" customFormat="1" ht="15" customHeight="1" x14ac:dyDescent="0.25">
      <c r="A265" s="852"/>
      <c r="B265" s="37"/>
      <c r="C265" s="37"/>
      <c r="D265" s="38"/>
      <c r="G265" s="37"/>
    </row>
    <row r="266" spans="1:7" s="79" customFormat="1" ht="15" customHeight="1" x14ac:dyDescent="0.25">
      <c r="A266" s="852"/>
      <c r="B266" s="37"/>
      <c r="C266" s="37"/>
      <c r="D266" s="38"/>
      <c r="G266" s="37"/>
    </row>
    <row r="267" spans="1:7" s="79" customFormat="1" ht="15" customHeight="1" x14ac:dyDescent="0.25">
      <c r="A267" s="852"/>
      <c r="B267" s="37"/>
      <c r="C267" s="37"/>
      <c r="D267" s="38"/>
      <c r="G267" s="37"/>
    </row>
    <row r="268" spans="1:7" s="79" customFormat="1" ht="15" customHeight="1" x14ac:dyDescent="0.25">
      <c r="A268" s="852"/>
      <c r="B268" s="37"/>
      <c r="C268" s="37"/>
      <c r="D268" s="38"/>
      <c r="G268" s="37"/>
    </row>
    <row r="269" spans="1:7" s="79" customFormat="1" ht="15" customHeight="1" x14ac:dyDescent="0.25">
      <c r="A269" s="852"/>
      <c r="B269" s="37"/>
      <c r="C269" s="37"/>
      <c r="D269" s="38"/>
      <c r="G269" s="37"/>
    </row>
    <row r="270" spans="1:7" s="79" customFormat="1" ht="15" customHeight="1" x14ac:dyDescent="0.25">
      <c r="A270" s="852"/>
      <c r="B270" s="37"/>
      <c r="C270" s="37"/>
      <c r="D270" s="38"/>
      <c r="G270" s="37"/>
    </row>
    <row r="271" spans="1:7" s="79" customFormat="1" ht="15" customHeight="1" x14ac:dyDescent="0.25">
      <c r="A271" s="852"/>
      <c r="B271" s="37"/>
      <c r="C271" s="37"/>
      <c r="D271" s="38"/>
      <c r="G271" s="37"/>
    </row>
    <row r="272" spans="1:7" s="79" customFormat="1" ht="15" customHeight="1" x14ac:dyDescent="0.25">
      <c r="A272" s="852"/>
      <c r="B272" s="37"/>
      <c r="C272" s="37"/>
      <c r="D272" s="38"/>
      <c r="G272" s="37"/>
    </row>
    <row r="273" spans="1:7" s="79" customFormat="1" ht="15" customHeight="1" x14ac:dyDescent="0.25">
      <c r="A273" s="852"/>
      <c r="B273" s="37"/>
      <c r="C273" s="37"/>
      <c r="D273" s="38"/>
      <c r="G273" s="37"/>
    </row>
    <row r="274" spans="1:7" s="79" customFormat="1" ht="15" customHeight="1" x14ac:dyDescent="0.25">
      <c r="A274" s="852"/>
      <c r="B274" s="37"/>
      <c r="C274" s="37"/>
      <c r="D274" s="38"/>
      <c r="G274" s="37"/>
    </row>
    <row r="275" spans="1:7" s="79" customFormat="1" ht="15" customHeight="1" x14ac:dyDescent="0.25">
      <c r="A275" s="852"/>
      <c r="B275" s="37"/>
      <c r="C275" s="37"/>
      <c r="D275" s="38"/>
      <c r="G275" s="37"/>
    </row>
    <row r="276" spans="1:7" s="79" customFormat="1" ht="15" customHeight="1" x14ac:dyDescent="0.25">
      <c r="A276" s="852"/>
      <c r="B276" s="37"/>
      <c r="C276" s="37"/>
      <c r="D276" s="38"/>
      <c r="G276" s="37"/>
    </row>
    <row r="277" spans="1:7" s="79" customFormat="1" ht="15" customHeight="1" x14ac:dyDescent="0.25">
      <c r="A277" s="852"/>
      <c r="B277" s="37"/>
      <c r="C277" s="37"/>
      <c r="D277" s="38"/>
      <c r="G277" s="37"/>
    </row>
    <row r="278" spans="1:7" s="79" customFormat="1" ht="15" customHeight="1" x14ac:dyDescent="0.25">
      <c r="A278" s="852"/>
      <c r="B278" s="37"/>
      <c r="C278" s="37"/>
      <c r="D278" s="38"/>
      <c r="G278" s="37"/>
    </row>
    <row r="279" spans="1:7" s="79" customFormat="1" ht="15" customHeight="1" x14ac:dyDescent="0.25">
      <c r="A279" s="852"/>
      <c r="B279" s="37"/>
      <c r="C279" s="37"/>
      <c r="D279" s="38"/>
      <c r="G279" s="37"/>
    </row>
    <row r="280" spans="1:7" s="79" customFormat="1" ht="15" customHeight="1" x14ac:dyDescent="0.25">
      <c r="A280" s="852"/>
      <c r="B280" s="37"/>
      <c r="C280" s="37"/>
      <c r="D280" s="38"/>
      <c r="G280" s="37"/>
    </row>
    <row r="281" spans="1:7" s="79" customFormat="1" ht="15" customHeight="1" x14ac:dyDescent="0.25">
      <c r="A281" s="852"/>
      <c r="B281" s="37"/>
      <c r="C281" s="37"/>
      <c r="D281" s="38"/>
      <c r="G281" s="37"/>
    </row>
    <row r="282" spans="1:7" s="79" customFormat="1" ht="15" customHeight="1" x14ac:dyDescent="0.25">
      <c r="A282" s="852"/>
      <c r="B282" s="37"/>
      <c r="C282" s="37"/>
      <c r="D282" s="38"/>
      <c r="G282" s="37"/>
    </row>
    <row r="283" spans="1:7" s="79" customFormat="1" ht="15" customHeight="1" x14ac:dyDescent="0.25">
      <c r="A283" s="852"/>
      <c r="B283" s="37"/>
      <c r="C283" s="37"/>
      <c r="D283" s="38"/>
      <c r="G283" s="37"/>
    </row>
    <row r="284" spans="1:7" s="79" customFormat="1" ht="15" customHeight="1" x14ac:dyDescent="0.25">
      <c r="A284" s="852"/>
      <c r="B284" s="37"/>
      <c r="C284" s="37"/>
      <c r="D284" s="38"/>
      <c r="G284" s="37"/>
    </row>
    <row r="285" spans="1:7" s="79" customFormat="1" ht="15" customHeight="1" x14ac:dyDescent="0.25">
      <c r="A285" s="852"/>
      <c r="B285" s="37"/>
      <c r="C285" s="37"/>
      <c r="D285" s="38"/>
      <c r="G285" s="37"/>
    </row>
    <row r="286" spans="1:7" s="79" customFormat="1" ht="15" customHeight="1" x14ac:dyDescent="0.25">
      <c r="A286" s="852"/>
      <c r="B286" s="37"/>
      <c r="C286" s="37"/>
      <c r="D286" s="38"/>
      <c r="G286" s="37"/>
    </row>
    <row r="287" spans="1:7" s="79" customFormat="1" ht="15" customHeight="1" x14ac:dyDescent="0.25">
      <c r="A287" s="852"/>
      <c r="B287" s="37"/>
      <c r="C287" s="37"/>
      <c r="D287" s="38"/>
      <c r="G287" s="37"/>
    </row>
    <row r="288" spans="1:7" s="79" customFormat="1" ht="15" customHeight="1" x14ac:dyDescent="0.25">
      <c r="A288" s="852"/>
      <c r="B288" s="37"/>
      <c r="C288" s="37"/>
      <c r="D288" s="38"/>
      <c r="G288" s="37"/>
    </row>
    <row r="289" spans="1:7" s="79" customFormat="1" ht="15" customHeight="1" x14ac:dyDescent="0.25">
      <c r="A289" s="852"/>
      <c r="B289" s="37"/>
      <c r="C289" s="37"/>
      <c r="D289" s="38"/>
      <c r="G289" s="37"/>
    </row>
    <row r="290" spans="1:7" s="79" customFormat="1" ht="15" customHeight="1" x14ac:dyDescent="0.25">
      <c r="A290" s="852"/>
      <c r="B290" s="37"/>
      <c r="C290" s="37"/>
      <c r="D290" s="38"/>
      <c r="G290" s="37"/>
    </row>
    <row r="291" spans="1:7" s="79" customFormat="1" ht="15" customHeight="1" x14ac:dyDescent="0.25">
      <c r="A291" s="852"/>
      <c r="B291" s="37"/>
      <c r="C291" s="37"/>
      <c r="D291" s="38"/>
      <c r="G291" s="37"/>
    </row>
    <row r="292" spans="1:7" s="79" customFormat="1" ht="15" customHeight="1" x14ac:dyDescent="0.25">
      <c r="A292" s="852"/>
      <c r="B292" s="37"/>
      <c r="C292" s="37"/>
      <c r="D292" s="38"/>
      <c r="G292" s="37"/>
    </row>
    <row r="293" spans="1:7" s="79" customFormat="1" ht="15" customHeight="1" x14ac:dyDescent="0.25">
      <c r="A293" s="852"/>
      <c r="B293" s="37"/>
      <c r="C293" s="37"/>
      <c r="D293" s="38"/>
      <c r="G293" s="37"/>
    </row>
    <row r="294" spans="1:7" s="79" customFormat="1" ht="15" customHeight="1" x14ac:dyDescent="0.25">
      <c r="A294" s="852"/>
      <c r="B294" s="37"/>
      <c r="C294" s="37"/>
      <c r="D294" s="38"/>
      <c r="G294" s="37"/>
    </row>
    <row r="295" spans="1:7" s="79" customFormat="1" ht="15" customHeight="1" x14ac:dyDescent="0.25">
      <c r="A295" s="852"/>
      <c r="B295" s="37"/>
      <c r="C295" s="37"/>
      <c r="D295" s="38"/>
      <c r="G295" s="37"/>
    </row>
    <row r="296" spans="1:7" s="79" customFormat="1" ht="15" customHeight="1" x14ac:dyDescent="0.25">
      <c r="A296" s="852"/>
      <c r="B296" s="37"/>
      <c r="C296" s="37"/>
      <c r="D296" s="38"/>
      <c r="G296" s="37"/>
    </row>
    <row r="297" spans="1:7" s="79" customFormat="1" ht="15" customHeight="1" x14ac:dyDescent="0.25">
      <c r="A297" s="852"/>
      <c r="B297" s="37"/>
      <c r="C297" s="37"/>
      <c r="D297" s="38"/>
      <c r="G297" s="37"/>
    </row>
    <row r="298" spans="1:7" s="79" customFormat="1" ht="15" customHeight="1" x14ac:dyDescent="0.25">
      <c r="A298" s="852"/>
      <c r="B298" s="37"/>
      <c r="C298" s="37"/>
      <c r="D298" s="38"/>
      <c r="G298" s="37"/>
    </row>
    <row r="299" spans="1:7" s="79" customFormat="1" ht="15" customHeight="1" x14ac:dyDescent="0.25">
      <c r="A299" s="852"/>
      <c r="B299" s="37"/>
      <c r="C299" s="37"/>
      <c r="D299" s="38"/>
      <c r="G299" s="37"/>
    </row>
    <row r="300" spans="1:7" s="79" customFormat="1" ht="15" customHeight="1" x14ac:dyDescent="0.25">
      <c r="A300" s="852"/>
      <c r="B300" s="37"/>
      <c r="C300" s="37"/>
      <c r="D300" s="38"/>
      <c r="G300" s="37"/>
    </row>
    <row r="301" spans="1:7" s="79" customFormat="1" ht="15" customHeight="1" x14ac:dyDescent="0.25">
      <c r="A301" s="852"/>
      <c r="B301" s="37"/>
      <c r="C301" s="37"/>
      <c r="D301" s="38"/>
      <c r="G301" s="37"/>
    </row>
    <row r="302" spans="1:7" s="79" customFormat="1" ht="15" customHeight="1" x14ac:dyDescent="0.25">
      <c r="A302" s="852"/>
      <c r="B302" s="37"/>
      <c r="C302" s="37"/>
      <c r="D302" s="38"/>
      <c r="G302" s="37"/>
    </row>
    <row r="303" spans="1:7" s="79" customFormat="1" ht="15" customHeight="1" x14ac:dyDescent="0.25">
      <c r="A303" s="852"/>
      <c r="B303" s="37"/>
      <c r="C303" s="37"/>
      <c r="D303" s="38"/>
      <c r="G303" s="37"/>
    </row>
    <row r="304" spans="1:7" s="79" customFormat="1" ht="15" customHeight="1" x14ac:dyDescent="0.25">
      <c r="A304" s="852"/>
      <c r="B304" s="37"/>
      <c r="C304" s="37"/>
      <c r="D304" s="38"/>
      <c r="G304" s="37"/>
    </row>
    <row r="305" spans="1:7" s="79" customFormat="1" ht="15" customHeight="1" x14ac:dyDescent="0.25">
      <c r="A305" s="852"/>
      <c r="B305" s="37"/>
      <c r="C305" s="37"/>
      <c r="D305" s="38"/>
      <c r="G305" s="37"/>
    </row>
    <row r="306" spans="1:7" s="79" customFormat="1" ht="15" customHeight="1" x14ac:dyDescent="0.25">
      <c r="A306" s="852"/>
      <c r="B306" s="37"/>
      <c r="C306" s="37"/>
      <c r="D306" s="38"/>
      <c r="G306" s="37"/>
    </row>
    <row r="307" spans="1:7" s="79" customFormat="1" ht="15" customHeight="1" x14ac:dyDescent="0.25">
      <c r="A307" s="852"/>
      <c r="B307" s="37"/>
      <c r="C307" s="37"/>
      <c r="D307" s="38"/>
      <c r="G307" s="37"/>
    </row>
    <row r="308" spans="1:7" s="79" customFormat="1" ht="15" customHeight="1" x14ac:dyDescent="0.25">
      <c r="A308" s="852"/>
      <c r="B308" s="37"/>
      <c r="C308" s="37"/>
      <c r="D308" s="38"/>
      <c r="G308" s="37"/>
    </row>
    <row r="309" spans="1:7" s="79" customFormat="1" ht="15" customHeight="1" x14ac:dyDescent="0.25">
      <c r="A309" s="852"/>
      <c r="B309" s="37"/>
      <c r="C309" s="37"/>
      <c r="D309" s="38"/>
      <c r="G309" s="37"/>
    </row>
    <row r="310" spans="1:7" s="79" customFormat="1" ht="15" customHeight="1" x14ac:dyDescent="0.25">
      <c r="A310" s="852"/>
      <c r="B310" s="37"/>
      <c r="C310" s="37"/>
      <c r="D310" s="38"/>
      <c r="G310" s="37"/>
    </row>
    <row r="311" spans="1:7" s="79" customFormat="1" ht="15" customHeight="1" x14ac:dyDescent="0.25">
      <c r="A311" s="852"/>
      <c r="B311" s="37"/>
      <c r="C311" s="37"/>
      <c r="D311" s="38"/>
      <c r="G311" s="37"/>
    </row>
    <row r="312" spans="1:7" s="79" customFormat="1" ht="15" customHeight="1" x14ac:dyDescent="0.25">
      <c r="A312" s="852"/>
      <c r="B312" s="37"/>
      <c r="C312" s="37"/>
      <c r="D312" s="38"/>
      <c r="G312" s="37"/>
    </row>
    <row r="313" spans="1:7" s="79" customFormat="1" ht="15" customHeight="1" x14ac:dyDescent="0.25">
      <c r="A313" s="852"/>
      <c r="B313" s="37"/>
      <c r="C313" s="37"/>
      <c r="D313" s="38"/>
      <c r="G313" s="37"/>
    </row>
    <row r="314" spans="1:7" s="79" customFormat="1" ht="15" customHeight="1" x14ac:dyDescent="0.25">
      <c r="A314" s="852"/>
      <c r="B314" s="37"/>
      <c r="C314" s="37"/>
      <c r="D314" s="38"/>
      <c r="G314" s="37"/>
    </row>
    <row r="315" spans="1:7" s="79" customFormat="1" ht="15" customHeight="1" x14ac:dyDescent="0.25">
      <c r="A315" s="852"/>
      <c r="B315" s="37"/>
      <c r="C315" s="37"/>
      <c r="D315" s="38"/>
      <c r="G315" s="37"/>
    </row>
    <row r="316" spans="1:7" s="79" customFormat="1" ht="15" customHeight="1" x14ac:dyDescent="0.25">
      <c r="A316" s="852"/>
      <c r="B316" s="37"/>
      <c r="C316" s="37"/>
      <c r="D316" s="38"/>
      <c r="G316" s="37"/>
    </row>
    <row r="317" spans="1:7" s="79" customFormat="1" ht="15" customHeight="1" x14ac:dyDescent="0.25">
      <c r="A317" s="852"/>
      <c r="B317" s="37"/>
      <c r="C317" s="37"/>
      <c r="D317" s="38"/>
      <c r="G317" s="37"/>
    </row>
    <row r="318" spans="1:7" s="79" customFormat="1" ht="15" customHeight="1" x14ac:dyDescent="0.25">
      <c r="A318" s="852"/>
      <c r="B318" s="37"/>
      <c r="C318" s="37"/>
      <c r="D318" s="38"/>
      <c r="G318" s="37"/>
    </row>
    <row r="319" spans="1:7" s="79" customFormat="1" ht="15" customHeight="1" x14ac:dyDescent="0.25">
      <c r="A319" s="852"/>
      <c r="B319" s="37"/>
      <c r="C319" s="37"/>
      <c r="D319" s="38"/>
      <c r="G319" s="37"/>
    </row>
    <row r="320" spans="1:7" s="79" customFormat="1" ht="15" customHeight="1" x14ac:dyDescent="0.25">
      <c r="A320" s="852"/>
      <c r="B320" s="37"/>
      <c r="C320" s="37"/>
      <c r="D320" s="38"/>
      <c r="G320" s="37"/>
    </row>
    <row r="321" spans="1:7" s="79" customFormat="1" ht="15" customHeight="1" x14ac:dyDescent="0.25">
      <c r="A321" s="852"/>
      <c r="B321" s="37"/>
      <c r="C321" s="37"/>
      <c r="D321" s="38"/>
      <c r="G321" s="37"/>
    </row>
    <row r="322" spans="1:7" s="79" customFormat="1" ht="15" customHeight="1" x14ac:dyDescent="0.25">
      <c r="A322" s="852"/>
      <c r="B322" s="37"/>
      <c r="C322" s="37"/>
      <c r="D322" s="38"/>
      <c r="G322" s="37"/>
    </row>
    <row r="323" spans="1:7" s="79" customFormat="1" ht="15" customHeight="1" x14ac:dyDescent="0.25">
      <c r="A323" s="852"/>
      <c r="B323" s="37"/>
      <c r="C323" s="37"/>
      <c r="D323" s="38"/>
      <c r="G323" s="37"/>
    </row>
    <row r="324" spans="1:7" s="79" customFormat="1" ht="15" customHeight="1" x14ac:dyDescent="0.25">
      <c r="A324" s="852"/>
      <c r="B324" s="37"/>
      <c r="C324" s="37"/>
      <c r="D324" s="38"/>
      <c r="G324" s="37"/>
    </row>
    <row r="325" spans="1:7" s="79" customFormat="1" ht="15" customHeight="1" x14ac:dyDescent="0.25">
      <c r="A325" s="852"/>
      <c r="B325" s="37"/>
      <c r="C325" s="37"/>
      <c r="D325" s="38"/>
      <c r="G325" s="37"/>
    </row>
    <row r="326" spans="1:7" s="79" customFormat="1" ht="15" customHeight="1" x14ac:dyDescent="0.25">
      <c r="A326" s="852"/>
      <c r="B326" s="37"/>
      <c r="C326" s="37"/>
      <c r="D326" s="38"/>
      <c r="G326" s="37"/>
    </row>
    <row r="327" spans="1:7" s="79" customFormat="1" ht="15" customHeight="1" x14ac:dyDescent="0.25">
      <c r="A327" s="852"/>
      <c r="B327" s="37"/>
      <c r="C327" s="37"/>
      <c r="D327" s="38"/>
      <c r="G327" s="37"/>
    </row>
    <row r="328" spans="1:7" s="79" customFormat="1" ht="15" customHeight="1" x14ac:dyDescent="0.25">
      <c r="A328" s="852"/>
      <c r="B328" s="37"/>
      <c r="C328" s="37"/>
      <c r="D328" s="38"/>
      <c r="G328" s="37"/>
    </row>
    <row r="329" spans="1:7" s="79" customFormat="1" ht="15" customHeight="1" x14ac:dyDescent="0.25">
      <c r="A329" s="852"/>
      <c r="B329" s="37"/>
      <c r="C329" s="37"/>
      <c r="D329" s="38"/>
      <c r="G329" s="37"/>
    </row>
    <row r="330" spans="1:7" s="79" customFormat="1" ht="15" customHeight="1" x14ac:dyDescent="0.25">
      <c r="A330" s="852"/>
      <c r="B330" s="37"/>
      <c r="C330" s="37"/>
      <c r="D330" s="38"/>
      <c r="G330" s="37"/>
    </row>
    <row r="331" spans="1:7" s="79" customFormat="1" ht="15" customHeight="1" x14ac:dyDescent="0.25">
      <c r="A331" s="852"/>
      <c r="B331" s="37"/>
      <c r="C331" s="37"/>
      <c r="D331" s="38"/>
      <c r="G331" s="37"/>
    </row>
    <row r="332" spans="1:7" s="79" customFormat="1" ht="15" customHeight="1" x14ac:dyDescent="0.25">
      <c r="A332" s="852"/>
      <c r="B332" s="37"/>
      <c r="C332" s="37"/>
      <c r="D332" s="38"/>
      <c r="G332" s="37"/>
    </row>
    <row r="333" spans="1:7" s="79" customFormat="1" ht="15" customHeight="1" x14ac:dyDescent="0.25">
      <c r="A333" s="852"/>
      <c r="B333" s="37"/>
      <c r="C333" s="37"/>
      <c r="D333" s="38"/>
      <c r="G333" s="37"/>
    </row>
    <row r="334" spans="1:7" s="79" customFormat="1" ht="15" customHeight="1" x14ac:dyDescent="0.25">
      <c r="A334" s="852"/>
      <c r="B334" s="37"/>
      <c r="C334" s="37"/>
      <c r="D334" s="38"/>
      <c r="G334" s="37"/>
    </row>
    <row r="335" spans="1:7" s="79" customFormat="1" ht="15" customHeight="1" x14ac:dyDescent="0.25">
      <c r="A335" s="852"/>
      <c r="B335" s="37"/>
      <c r="C335" s="37"/>
      <c r="D335" s="38"/>
      <c r="G335" s="37"/>
    </row>
    <row r="336" spans="1:7" s="79" customFormat="1" ht="15" customHeight="1" x14ac:dyDescent="0.25">
      <c r="A336" s="852"/>
      <c r="B336" s="37"/>
      <c r="C336" s="37"/>
      <c r="D336" s="38"/>
      <c r="G336" s="37"/>
    </row>
    <row r="337" spans="1:7" s="79" customFormat="1" ht="15" customHeight="1" x14ac:dyDescent="0.25">
      <c r="A337" s="852"/>
      <c r="B337" s="37"/>
      <c r="C337" s="37"/>
      <c r="D337" s="38"/>
      <c r="G337" s="37"/>
    </row>
    <row r="338" spans="1:7" s="79" customFormat="1" ht="15" customHeight="1" x14ac:dyDescent="0.25">
      <c r="A338" s="852"/>
      <c r="B338" s="37"/>
      <c r="C338" s="37"/>
      <c r="D338" s="38"/>
      <c r="G338" s="37"/>
    </row>
    <row r="339" spans="1:7" s="79" customFormat="1" ht="15" customHeight="1" x14ac:dyDescent="0.25">
      <c r="A339" s="852"/>
      <c r="B339" s="37"/>
      <c r="C339" s="37"/>
      <c r="D339" s="38"/>
      <c r="G339" s="37"/>
    </row>
    <row r="340" spans="1:7" s="79" customFormat="1" ht="15" customHeight="1" x14ac:dyDescent="0.25">
      <c r="A340" s="852"/>
      <c r="B340" s="37"/>
      <c r="C340" s="37"/>
      <c r="D340" s="38"/>
      <c r="G340" s="37"/>
    </row>
    <row r="341" spans="1:7" s="79" customFormat="1" ht="15" customHeight="1" x14ac:dyDescent="0.25">
      <c r="A341" s="852"/>
      <c r="B341" s="37"/>
      <c r="C341" s="37"/>
      <c r="D341" s="38"/>
      <c r="G341" s="37"/>
    </row>
    <row r="342" spans="1:7" s="79" customFormat="1" ht="15" customHeight="1" x14ac:dyDescent="0.25">
      <c r="A342" s="852"/>
      <c r="B342" s="37"/>
      <c r="C342" s="37"/>
      <c r="D342" s="38"/>
      <c r="G342" s="37"/>
    </row>
    <row r="343" spans="1:7" s="79" customFormat="1" ht="15" customHeight="1" x14ac:dyDescent="0.25">
      <c r="A343" s="852"/>
      <c r="B343" s="37"/>
      <c r="C343" s="37"/>
      <c r="D343" s="38"/>
      <c r="G343" s="37"/>
    </row>
    <row r="344" spans="1:7" s="79" customFormat="1" ht="15" customHeight="1" x14ac:dyDescent="0.25">
      <c r="A344" s="852"/>
      <c r="B344" s="37"/>
      <c r="C344" s="37"/>
      <c r="D344" s="38"/>
      <c r="G344" s="37"/>
    </row>
    <row r="345" spans="1:7" s="79" customFormat="1" ht="15" customHeight="1" x14ac:dyDescent="0.25">
      <c r="A345" s="852"/>
      <c r="B345" s="37"/>
      <c r="C345" s="37"/>
      <c r="D345" s="38"/>
      <c r="G345" s="37"/>
    </row>
    <row r="346" spans="1:7" s="79" customFormat="1" ht="15" customHeight="1" x14ac:dyDescent="0.25">
      <c r="A346" s="852"/>
      <c r="B346" s="37"/>
      <c r="C346" s="37"/>
      <c r="D346" s="38"/>
      <c r="G346" s="37"/>
    </row>
    <row r="347" spans="1:7" s="79" customFormat="1" ht="15" customHeight="1" x14ac:dyDescent="0.25">
      <c r="A347" s="852"/>
      <c r="B347" s="37"/>
      <c r="C347" s="37"/>
      <c r="D347" s="38"/>
      <c r="G347" s="37"/>
    </row>
    <row r="348" spans="1:7" s="79" customFormat="1" ht="15" customHeight="1" x14ac:dyDescent="0.25">
      <c r="A348" s="852"/>
      <c r="B348" s="37"/>
      <c r="C348" s="37"/>
      <c r="D348" s="38"/>
      <c r="G348" s="37"/>
    </row>
    <row r="349" spans="1:7" s="79" customFormat="1" ht="15" customHeight="1" x14ac:dyDescent="0.25">
      <c r="A349" s="852"/>
      <c r="B349" s="37"/>
      <c r="C349" s="37"/>
      <c r="D349" s="38"/>
      <c r="G349" s="37"/>
    </row>
    <row r="350" spans="1:7" s="79" customFormat="1" ht="15" customHeight="1" x14ac:dyDescent="0.25">
      <c r="A350" s="852"/>
      <c r="B350" s="37"/>
      <c r="C350" s="37"/>
      <c r="D350" s="38"/>
      <c r="G350" s="37"/>
    </row>
    <row r="351" spans="1:7" s="79" customFormat="1" ht="15" customHeight="1" x14ac:dyDescent="0.25">
      <c r="A351" s="852"/>
      <c r="B351" s="37"/>
      <c r="C351" s="37"/>
      <c r="D351" s="38"/>
      <c r="G351" s="37"/>
    </row>
    <row r="352" spans="1:7" s="79" customFormat="1" ht="15" customHeight="1" x14ac:dyDescent="0.25">
      <c r="A352" s="852"/>
      <c r="B352" s="37"/>
      <c r="C352" s="37"/>
      <c r="D352" s="38"/>
      <c r="G352" s="37"/>
    </row>
    <row r="353" spans="1:7" s="79" customFormat="1" ht="15" customHeight="1" x14ac:dyDescent="0.25">
      <c r="A353" s="852"/>
      <c r="B353" s="37"/>
      <c r="C353" s="37"/>
      <c r="D353" s="38"/>
      <c r="G353" s="37"/>
    </row>
    <row r="354" spans="1:7" s="79" customFormat="1" ht="15" customHeight="1" x14ac:dyDescent="0.25">
      <c r="A354" s="852"/>
      <c r="B354" s="37"/>
      <c r="C354" s="37"/>
      <c r="D354" s="38"/>
      <c r="G354" s="37"/>
    </row>
    <row r="355" spans="1:7" s="79" customFormat="1" ht="15" customHeight="1" x14ac:dyDescent="0.25">
      <c r="A355" s="852"/>
      <c r="B355" s="37"/>
      <c r="C355" s="37"/>
      <c r="D355" s="38"/>
      <c r="G355" s="37"/>
    </row>
    <row r="356" spans="1:7" s="79" customFormat="1" ht="15" customHeight="1" x14ac:dyDescent="0.25">
      <c r="A356" s="852"/>
      <c r="B356" s="37"/>
      <c r="C356" s="37"/>
      <c r="D356" s="38"/>
      <c r="G356" s="37"/>
    </row>
    <row r="357" spans="1:7" s="79" customFormat="1" ht="15" customHeight="1" x14ac:dyDescent="0.25">
      <c r="A357" s="852"/>
      <c r="B357" s="37"/>
      <c r="C357" s="37"/>
      <c r="D357" s="38"/>
      <c r="G357" s="37"/>
    </row>
    <row r="358" spans="1:7" s="79" customFormat="1" ht="15" customHeight="1" x14ac:dyDescent="0.25">
      <c r="A358" s="852"/>
      <c r="B358" s="37"/>
      <c r="C358" s="37"/>
      <c r="D358" s="38"/>
      <c r="G358" s="37"/>
    </row>
    <row r="359" spans="1:7" s="79" customFormat="1" ht="15" customHeight="1" x14ac:dyDescent="0.25">
      <c r="A359" s="852"/>
      <c r="B359" s="37"/>
      <c r="C359" s="37"/>
      <c r="D359" s="38"/>
      <c r="G359" s="37"/>
    </row>
    <row r="360" spans="1:7" s="79" customFormat="1" ht="15" customHeight="1" x14ac:dyDescent="0.25">
      <c r="A360" s="852"/>
      <c r="B360" s="37"/>
      <c r="C360" s="37"/>
      <c r="D360" s="38"/>
      <c r="G360" s="37"/>
    </row>
    <row r="361" spans="1:7" s="79" customFormat="1" ht="15" customHeight="1" x14ac:dyDescent="0.25">
      <c r="A361" s="852"/>
      <c r="B361" s="37"/>
      <c r="C361" s="37"/>
      <c r="D361" s="38"/>
      <c r="G361" s="37"/>
    </row>
    <row r="362" spans="1:7" s="79" customFormat="1" ht="15" customHeight="1" x14ac:dyDescent="0.25">
      <c r="A362" s="852"/>
      <c r="B362" s="37"/>
      <c r="C362" s="37"/>
      <c r="D362" s="38"/>
      <c r="G362" s="37"/>
    </row>
    <row r="363" spans="1:7" s="79" customFormat="1" ht="15" customHeight="1" x14ac:dyDescent="0.25">
      <c r="A363" s="852"/>
      <c r="B363" s="37"/>
      <c r="C363" s="37"/>
      <c r="D363" s="38"/>
      <c r="G363" s="37"/>
    </row>
    <row r="364" spans="1:7" s="79" customFormat="1" ht="15" customHeight="1" x14ac:dyDescent="0.25">
      <c r="A364" s="852"/>
      <c r="B364" s="37"/>
      <c r="C364" s="37"/>
      <c r="D364" s="38"/>
      <c r="G364" s="37"/>
    </row>
    <row r="365" spans="1:7" s="79" customFormat="1" ht="15" customHeight="1" x14ac:dyDescent="0.25">
      <c r="A365" s="852"/>
      <c r="B365" s="37"/>
      <c r="C365" s="37"/>
      <c r="D365" s="38"/>
      <c r="G365" s="37"/>
    </row>
    <row r="366" spans="1:7" s="79" customFormat="1" ht="15" customHeight="1" x14ac:dyDescent="0.25">
      <c r="A366" s="852"/>
      <c r="B366" s="37"/>
      <c r="C366" s="37"/>
      <c r="D366" s="38"/>
      <c r="G366" s="37"/>
    </row>
    <row r="367" spans="1:7" s="79" customFormat="1" ht="15" customHeight="1" x14ac:dyDescent="0.25">
      <c r="A367" s="852"/>
      <c r="B367" s="37"/>
      <c r="C367" s="37"/>
      <c r="D367" s="38"/>
      <c r="G367" s="37"/>
    </row>
    <row r="368" spans="1:7" s="79" customFormat="1" ht="15" customHeight="1" x14ac:dyDescent="0.25">
      <c r="A368" s="852"/>
      <c r="B368" s="37"/>
      <c r="C368" s="37"/>
      <c r="D368" s="38"/>
      <c r="G368" s="37"/>
    </row>
    <row r="369" spans="1:7" s="79" customFormat="1" ht="15" customHeight="1" x14ac:dyDescent="0.25">
      <c r="A369" s="852"/>
      <c r="B369" s="37"/>
      <c r="C369" s="37"/>
      <c r="D369" s="38"/>
      <c r="G369" s="37"/>
    </row>
    <row r="370" spans="1:7" s="79" customFormat="1" ht="15" customHeight="1" x14ac:dyDescent="0.25">
      <c r="A370" s="852"/>
      <c r="B370" s="37"/>
      <c r="C370" s="37"/>
      <c r="D370" s="38"/>
      <c r="G370" s="37"/>
    </row>
    <row r="371" spans="1:7" s="79" customFormat="1" ht="15" customHeight="1" x14ac:dyDescent="0.25">
      <c r="A371" s="852"/>
      <c r="B371" s="37"/>
      <c r="C371" s="37"/>
      <c r="D371" s="38"/>
      <c r="G371" s="37"/>
    </row>
    <row r="372" spans="1:7" s="79" customFormat="1" ht="15" customHeight="1" x14ac:dyDescent="0.25">
      <c r="A372" s="852"/>
      <c r="B372" s="37"/>
      <c r="C372" s="37"/>
      <c r="D372" s="38"/>
      <c r="G372" s="37"/>
    </row>
    <row r="373" spans="1:7" s="79" customFormat="1" ht="15" customHeight="1" x14ac:dyDescent="0.25">
      <c r="A373" s="852"/>
      <c r="B373" s="37"/>
      <c r="C373" s="37"/>
      <c r="D373" s="38"/>
      <c r="G373" s="37"/>
    </row>
    <row r="374" spans="1:7" s="79" customFormat="1" ht="15" customHeight="1" x14ac:dyDescent="0.25">
      <c r="A374" s="852"/>
      <c r="B374" s="37"/>
      <c r="C374" s="37"/>
      <c r="D374" s="38"/>
      <c r="G374" s="37"/>
    </row>
    <row r="375" spans="1:7" s="79" customFormat="1" ht="15" customHeight="1" x14ac:dyDescent="0.25">
      <c r="A375" s="852"/>
      <c r="B375" s="37"/>
      <c r="C375" s="37"/>
      <c r="D375" s="38"/>
      <c r="G375" s="37"/>
    </row>
    <row r="376" spans="1:7" s="79" customFormat="1" ht="15" customHeight="1" x14ac:dyDescent="0.25">
      <c r="A376" s="852"/>
      <c r="B376" s="37"/>
      <c r="C376" s="37"/>
      <c r="D376" s="38"/>
      <c r="G376" s="37"/>
    </row>
    <row r="377" spans="1:7" s="79" customFormat="1" ht="15" customHeight="1" x14ac:dyDescent="0.25">
      <c r="A377" s="852"/>
      <c r="B377" s="37"/>
      <c r="C377" s="37"/>
      <c r="D377" s="38"/>
      <c r="G377" s="37"/>
    </row>
    <row r="378" spans="1:7" s="79" customFormat="1" ht="15" customHeight="1" x14ac:dyDescent="0.25">
      <c r="A378" s="852"/>
      <c r="B378" s="37"/>
      <c r="C378" s="37"/>
      <c r="D378" s="38"/>
      <c r="G378" s="37"/>
    </row>
    <row r="379" spans="1:7" s="79" customFormat="1" ht="15" customHeight="1" x14ac:dyDescent="0.25">
      <c r="A379" s="852"/>
      <c r="B379" s="37"/>
      <c r="C379" s="37"/>
      <c r="D379" s="38"/>
      <c r="G379" s="37"/>
    </row>
    <row r="380" spans="1:7" s="79" customFormat="1" ht="15" customHeight="1" x14ac:dyDescent="0.25">
      <c r="A380" s="852"/>
      <c r="B380" s="37"/>
      <c r="C380" s="37"/>
      <c r="D380" s="38"/>
      <c r="G380" s="37"/>
    </row>
    <row r="381" spans="1:7" s="79" customFormat="1" ht="15" customHeight="1" x14ac:dyDescent="0.25">
      <c r="A381" s="852"/>
      <c r="B381" s="37"/>
      <c r="C381" s="37"/>
      <c r="D381" s="38"/>
      <c r="G381" s="37"/>
    </row>
    <row r="382" spans="1:7" s="79" customFormat="1" ht="15" customHeight="1" x14ac:dyDescent="0.25">
      <c r="A382" s="852"/>
      <c r="B382" s="37"/>
      <c r="C382" s="37"/>
      <c r="D382" s="38"/>
      <c r="G382" s="37"/>
    </row>
    <row r="383" spans="1:7" s="79" customFormat="1" ht="15" customHeight="1" x14ac:dyDescent="0.25">
      <c r="A383" s="852"/>
      <c r="B383" s="37"/>
      <c r="C383" s="37"/>
      <c r="D383" s="38"/>
      <c r="G383" s="37"/>
    </row>
    <row r="384" spans="1:7" s="79" customFormat="1" ht="15" customHeight="1" x14ac:dyDescent="0.25">
      <c r="A384" s="852"/>
      <c r="B384" s="37"/>
      <c r="C384" s="37"/>
      <c r="D384" s="38"/>
      <c r="G384" s="37"/>
    </row>
    <row r="385" spans="1:7" s="79" customFormat="1" ht="15" customHeight="1" x14ac:dyDescent="0.25">
      <c r="A385" s="852"/>
      <c r="B385" s="37"/>
      <c r="C385" s="37"/>
      <c r="D385" s="38"/>
      <c r="G385" s="37"/>
    </row>
    <row r="386" spans="1:7" s="79" customFormat="1" ht="15" customHeight="1" x14ac:dyDescent="0.25">
      <c r="A386" s="852"/>
      <c r="B386" s="37"/>
      <c r="C386" s="37"/>
      <c r="D386" s="38"/>
      <c r="G386" s="37"/>
    </row>
    <row r="387" spans="1:7" s="79" customFormat="1" ht="15" customHeight="1" x14ac:dyDescent="0.25">
      <c r="A387" s="852"/>
      <c r="B387" s="37"/>
      <c r="C387" s="37"/>
      <c r="D387" s="38"/>
      <c r="G387" s="37"/>
    </row>
    <row r="388" spans="1:7" s="79" customFormat="1" ht="15" customHeight="1" x14ac:dyDescent="0.25">
      <c r="A388" s="852"/>
      <c r="B388" s="37"/>
      <c r="C388" s="37"/>
      <c r="D388" s="38"/>
      <c r="G388" s="37"/>
    </row>
    <row r="389" spans="1:7" s="79" customFormat="1" ht="15" customHeight="1" x14ac:dyDescent="0.25">
      <c r="A389" s="852"/>
      <c r="B389" s="37"/>
      <c r="C389" s="37"/>
      <c r="D389" s="38"/>
      <c r="G389" s="37"/>
    </row>
    <row r="390" spans="1:7" s="79" customFormat="1" ht="15" customHeight="1" x14ac:dyDescent="0.25">
      <c r="A390" s="852"/>
      <c r="B390" s="37"/>
      <c r="C390" s="37"/>
      <c r="D390" s="38"/>
      <c r="G390" s="37"/>
    </row>
    <row r="391" spans="1:7" s="79" customFormat="1" ht="15" customHeight="1" x14ac:dyDescent="0.25">
      <c r="A391" s="852"/>
      <c r="B391" s="37"/>
      <c r="C391" s="37"/>
      <c r="D391" s="38"/>
      <c r="G391" s="37"/>
    </row>
    <row r="392" spans="1:7" s="79" customFormat="1" ht="15" customHeight="1" x14ac:dyDescent="0.25">
      <c r="A392" s="852"/>
      <c r="B392" s="37"/>
      <c r="C392" s="37"/>
      <c r="D392" s="38"/>
      <c r="G392" s="37"/>
    </row>
    <row r="393" spans="1:7" s="79" customFormat="1" ht="15" customHeight="1" x14ac:dyDescent="0.25">
      <c r="A393" s="852"/>
      <c r="B393" s="37"/>
      <c r="C393" s="37"/>
      <c r="D393" s="38"/>
      <c r="G393" s="37"/>
    </row>
    <row r="394" spans="1:7" s="79" customFormat="1" ht="15" customHeight="1" x14ac:dyDescent="0.25">
      <c r="A394" s="852"/>
      <c r="B394" s="37"/>
      <c r="C394" s="37"/>
      <c r="D394" s="38"/>
      <c r="G394" s="37"/>
    </row>
    <row r="395" spans="1:7" s="79" customFormat="1" ht="15" customHeight="1" x14ac:dyDescent="0.25">
      <c r="A395" s="852"/>
      <c r="B395" s="37"/>
      <c r="C395" s="37"/>
      <c r="D395" s="38"/>
      <c r="G395" s="37"/>
    </row>
    <row r="396" spans="1:7" s="79" customFormat="1" ht="15" customHeight="1" x14ac:dyDescent="0.25">
      <c r="A396" s="852"/>
      <c r="B396" s="37"/>
      <c r="C396" s="37"/>
      <c r="D396" s="38"/>
      <c r="G396" s="37"/>
    </row>
    <row r="397" spans="1:7" s="79" customFormat="1" ht="15" customHeight="1" x14ac:dyDescent="0.25">
      <c r="A397" s="852"/>
      <c r="B397" s="37"/>
      <c r="C397" s="37"/>
      <c r="D397" s="38"/>
      <c r="G397" s="37"/>
    </row>
    <row r="398" spans="1:7" s="79" customFormat="1" ht="15" customHeight="1" x14ac:dyDescent="0.25">
      <c r="A398" s="852"/>
      <c r="B398" s="37"/>
      <c r="C398" s="37"/>
      <c r="D398" s="38"/>
      <c r="G398" s="37"/>
    </row>
    <row r="399" spans="1:7" s="79" customFormat="1" ht="15" customHeight="1" x14ac:dyDescent="0.25">
      <c r="A399" s="852"/>
      <c r="B399" s="37"/>
      <c r="C399" s="37"/>
      <c r="D399" s="38"/>
      <c r="G399" s="37"/>
    </row>
    <row r="400" spans="1:7" s="79" customFormat="1" ht="15" customHeight="1" x14ac:dyDescent="0.25">
      <c r="A400" s="852"/>
      <c r="B400" s="37"/>
      <c r="C400" s="37"/>
      <c r="D400" s="38"/>
      <c r="G400" s="37"/>
    </row>
    <row r="401" spans="1:7" s="79" customFormat="1" ht="15" customHeight="1" x14ac:dyDescent="0.25">
      <c r="A401" s="852"/>
      <c r="B401" s="37"/>
      <c r="C401" s="37"/>
      <c r="D401" s="38"/>
      <c r="G401" s="37"/>
    </row>
    <row r="402" spans="1:7" s="79" customFormat="1" ht="15" customHeight="1" x14ac:dyDescent="0.25">
      <c r="A402" s="852"/>
      <c r="B402" s="37"/>
      <c r="C402" s="37"/>
      <c r="D402" s="38"/>
      <c r="G402" s="37"/>
    </row>
    <row r="403" spans="1:7" s="79" customFormat="1" ht="15" customHeight="1" x14ac:dyDescent="0.25">
      <c r="A403" s="852"/>
      <c r="B403" s="37"/>
      <c r="C403" s="37"/>
      <c r="D403" s="38"/>
      <c r="G403" s="37"/>
    </row>
    <row r="404" spans="1:7" s="79" customFormat="1" ht="15" customHeight="1" x14ac:dyDescent="0.25">
      <c r="A404" s="852"/>
      <c r="B404" s="37"/>
      <c r="C404" s="37"/>
      <c r="D404" s="38"/>
      <c r="G404" s="37"/>
    </row>
    <row r="405" spans="1:7" s="79" customFormat="1" ht="15" customHeight="1" x14ac:dyDescent="0.25">
      <c r="A405" s="852"/>
      <c r="B405" s="37"/>
      <c r="C405" s="37"/>
      <c r="D405" s="38"/>
      <c r="G405" s="37"/>
    </row>
    <row r="406" spans="1:7" s="79" customFormat="1" ht="15" customHeight="1" x14ac:dyDescent="0.25">
      <c r="A406" s="852"/>
      <c r="B406" s="37"/>
      <c r="C406" s="37"/>
      <c r="D406" s="38"/>
      <c r="G406" s="37"/>
    </row>
    <row r="407" spans="1:7" s="79" customFormat="1" ht="15" customHeight="1" x14ac:dyDescent="0.25">
      <c r="A407" s="852"/>
      <c r="B407" s="37"/>
      <c r="C407" s="37"/>
      <c r="D407" s="38"/>
      <c r="G407" s="37"/>
    </row>
    <row r="408" spans="1:7" s="79" customFormat="1" ht="15" customHeight="1" x14ac:dyDescent="0.25">
      <c r="A408" s="852"/>
      <c r="B408" s="37"/>
      <c r="C408" s="37"/>
      <c r="D408" s="38"/>
      <c r="G408" s="37"/>
    </row>
    <row r="409" spans="1:7" s="79" customFormat="1" ht="15" customHeight="1" x14ac:dyDescent="0.25">
      <c r="A409" s="852"/>
      <c r="B409" s="37"/>
      <c r="C409" s="37"/>
      <c r="D409" s="38"/>
      <c r="G409" s="37"/>
    </row>
    <row r="410" spans="1:7" s="79" customFormat="1" ht="15" customHeight="1" x14ac:dyDescent="0.25">
      <c r="A410" s="852"/>
      <c r="B410" s="37"/>
      <c r="C410" s="37"/>
      <c r="D410" s="38"/>
      <c r="G410" s="37"/>
    </row>
    <row r="411" spans="1:7" s="79" customFormat="1" ht="15" customHeight="1" x14ac:dyDescent="0.25">
      <c r="A411" s="852"/>
      <c r="B411" s="37"/>
      <c r="C411" s="37"/>
      <c r="D411" s="38"/>
      <c r="G411" s="37"/>
    </row>
    <row r="412" spans="1:7" s="79" customFormat="1" ht="15" customHeight="1" x14ac:dyDescent="0.25">
      <c r="A412" s="852"/>
      <c r="B412" s="37"/>
      <c r="C412" s="37"/>
      <c r="D412" s="38"/>
      <c r="G412" s="37"/>
    </row>
    <row r="413" spans="1:7" s="79" customFormat="1" ht="15" customHeight="1" x14ac:dyDescent="0.25">
      <c r="A413" s="852"/>
      <c r="B413" s="37"/>
      <c r="C413" s="37"/>
      <c r="D413" s="38"/>
      <c r="G413" s="37"/>
    </row>
    <row r="414" spans="1:7" s="79" customFormat="1" ht="15" customHeight="1" x14ac:dyDescent="0.25">
      <c r="A414" s="852"/>
      <c r="B414" s="37"/>
      <c r="C414" s="37"/>
      <c r="D414" s="38"/>
      <c r="G414" s="37"/>
    </row>
    <row r="415" spans="1:7" s="79" customFormat="1" ht="15" customHeight="1" x14ac:dyDescent="0.25">
      <c r="A415" s="852"/>
      <c r="B415" s="37"/>
      <c r="C415" s="37"/>
      <c r="D415" s="38"/>
      <c r="G415" s="37"/>
    </row>
    <row r="416" spans="1:7" s="79" customFormat="1" ht="15" customHeight="1" x14ac:dyDescent="0.25">
      <c r="A416" s="852"/>
      <c r="B416" s="37"/>
      <c r="C416" s="37"/>
      <c r="D416" s="38"/>
      <c r="G416" s="37"/>
    </row>
    <row r="417" spans="1:7" s="79" customFormat="1" ht="15" customHeight="1" x14ac:dyDescent="0.25">
      <c r="A417" s="852"/>
      <c r="B417" s="37"/>
      <c r="C417" s="37"/>
      <c r="D417" s="38"/>
      <c r="G417" s="37"/>
    </row>
    <row r="418" spans="1:7" s="79" customFormat="1" ht="15" customHeight="1" x14ac:dyDescent="0.25">
      <c r="A418" s="852"/>
      <c r="B418" s="37"/>
      <c r="C418" s="37"/>
      <c r="D418" s="38"/>
      <c r="G418" s="37"/>
    </row>
    <row r="419" spans="1:7" s="79" customFormat="1" ht="15" customHeight="1" x14ac:dyDescent="0.25">
      <c r="A419" s="852"/>
      <c r="B419" s="37"/>
      <c r="C419" s="37"/>
      <c r="D419" s="38"/>
      <c r="G419" s="37"/>
    </row>
    <row r="420" spans="1:7" s="79" customFormat="1" ht="15" customHeight="1" x14ac:dyDescent="0.25">
      <c r="A420" s="852"/>
      <c r="B420" s="37"/>
      <c r="C420" s="37"/>
      <c r="D420" s="38"/>
      <c r="G420" s="37"/>
    </row>
    <row r="421" spans="1:7" s="79" customFormat="1" ht="15" customHeight="1" x14ac:dyDescent="0.25">
      <c r="A421" s="852"/>
      <c r="B421" s="37"/>
      <c r="C421" s="37"/>
      <c r="D421" s="38"/>
      <c r="G421" s="37"/>
    </row>
    <row r="422" spans="1:7" s="79" customFormat="1" ht="15" customHeight="1" x14ac:dyDescent="0.25">
      <c r="A422" s="852"/>
      <c r="B422" s="37"/>
      <c r="C422" s="37"/>
      <c r="D422" s="38"/>
      <c r="G422" s="37"/>
    </row>
    <row r="423" spans="1:7" s="79" customFormat="1" ht="15" customHeight="1" x14ac:dyDescent="0.25">
      <c r="A423" s="852"/>
      <c r="B423" s="37"/>
      <c r="C423" s="37"/>
      <c r="D423" s="38"/>
      <c r="G423" s="37"/>
    </row>
    <row r="424" spans="1:7" s="79" customFormat="1" ht="15" customHeight="1" x14ac:dyDescent="0.25">
      <c r="A424" s="852"/>
      <c r="B424" s="37"/>
      <c r="C424" s="37"/>
      <c r="D424" s="38"/>
      <c r="G424" s="37"/>
    </row>
    <row r="425" spans="1:7" s="79" customFormat="1" ht="15" customHeight="1" x14ac:dyDescent="0.25">
      <c r="A425" s="852"/>
      <c r="B425" s="37"/>
      <c r="C425" s="37"/>
      <c r="D425" s="38"/>
      <c r="G425" s="37"/>
    </row>
    <row r="426" spans="1:7" s="79" customFormat="1" ht="15" customHeight="1" x14ac:dyDescent="0.25">
      <c r="A426" s="852"/>
      <c r="B426" s="37"/>
      <c r="C426" s="37"/>
      <c r="D426" s="38"/>
      <c r="G426" s="37"/>
    </row>
    <row r="427" spans="1:7" s="79" customFormat="1" ht="15" customHeight="1" x14ac:dyDescent="0.25">
      <c r="A427" s="852"/>
      <c r="B427" s="37"/>
      <c r="C427" s="37"/>
      <c r="D427" s="38"/>
      <c r="G427" s="37"/>
    </row>
    <row r="428" spans="1:7" s="79" customFormat="1" ht="15" customHeight="1" x14ac:dyDescent="0.25">
      <c r="A428" s="852"/>
      <c r="B428" s="37"/>
      <c r="C428" s="37"/>
      <c r="D428" s="38"/>
      <c r="G428" s="37"/>
    </row>
    <row r="429" spans="1:7" s="79" customFormat="1" ht="15" customHeight="1" x14ac:dyDescent="0.25">
      <c r="A429" s="852"/>
      <c r="B429" s="37"/>
      <c r="C429" s="37"/>
      <c r="D429" s="38"/>
      <c r="G429" s="37"/>
    </row>
    <row r="430" spans="1:7" s="79" customFormat="1" ht="15" customHeight="1" x14ac:dyDescent="0.25">
      <c r="A430" s="852"/>
      <c r="B430" s="37"/>
      <c r="C430" s="37"/>
      <c r="D430" s="38"/>
      <c r="G430" s="37"/>
    </row>
    <row r="431" spans="1:7" s="79" customFormat="1" ht="15" customHeight="1" x14ac:dyDescent="0.25">
      <c r="A431" s="852"/>
      <c r="B431" s="37"/>
      <c r="C431" s="37"/>
      <c r="D431" s="38"/>
      <c r="G431" s="37"/>
    </row>
    <row r="432" spans="1:7" s="79" customFormat="1" ht="15" customHeight="1" x14ac:dyDescent="0.25">
      <c r="A432" s="852"/>
      <c r="B432" s="37"/>
      <c r="C432" s="37"/>
      <c r="D432" s="38"/>
      <c r="G432" s="37"/>
    </row>
    <row r="433" spans="1:7" s="79" customFormat="1" ht="15" customHeight="1" x14ac:dyDescent="0.25">
      <c r="A433" s="852"/>
      <c r="B433" s="37"/>
      <c r="C433" s="37"/>
      <c r="D433" s="38"/>
      <c r="G433" s="37"/>
    </row>
    <row r="434" spans="1:7" s="79" customFormat="1" ht="15" customHeight="1" x14ac:dyDescent="0.25">
      <c r="A434" s="852"/>
      <c r="B434" s="37"/>
      <c r="C434" s="37"/>
      <c r="D434" s="38"/>
      <c r="G434" s="37"/>
    </row>
    <row r="435" spans="1:7" s="79" customFormat="1" ht="15" customHeight="1" x14ac:dyDescent="0.25">
      <c r="A435" s="852"/>
      <c r="B435" s="37"/>
      <c r="C435" s="37"/>
      <c r="D435" s="38"/>
      <c r="G435" s="37"/>
    </row>
    <row r="436" spans="1:7" s="79" customFormat="1" ht="15" customHeight="1" x14ac:dyDescent="0.25">
      <c r="A436" s="852"/>
      <c r="B436" s="37"/>
      <c r="C436" s="37"/>
      <c r="D436" s="38"/>
      <c r="G436" s="37"/>
    </row>
    <row r="437" spans="1:7" s="79" customFormat="1" ht="15" customHeight="1" x14ac:dyDescent="0.25">
      <c r="A437" s="852"/>
      <c r="B437" s="37"/>
      <c r="C437" s="37"/>
      <c r="D437" s="38"/>
      <c r="G437" s="37"/>
    </row>
    <row r="438" spans="1:7" s="79" customFormat="1" ht="15" customHeight="1" x14ac:dyDescent="0.25">
      <c r="A438" s="852"/>
      <c r="B438" s="37"/>
      <c r="C438" s="37"/>
      <c r="D438" s="38"/>
      <c r="G438" s="37"/>
    </row>
    <row r="439" spans="1:7" s="79" customFormat="1" ht="15" customHeight="1" x14ac:dyDescent="0.25">
      <c r="A439" s="852"/>
      <c r="B439" s="37"/>
      <c r="C439" s="37"/>
      <c r="D439" s="38"/>
      <c r="G439" s="37"/>
    </row>
    <row r="440" spans="1:7" s="79" customFormat="1" ht="15" customHeight="1" x14ac:dyDescent="0.25">
      <c r="A440" s="852"/>
      <c r="B440" s="37"/>
      <c r="C440" s="37"/>
      <c r="D440" s="38"/>
      <c r="G440" s="37"/>
    </row>
    <row r="441" spans="1:7" s="79" customFormat="1" ht="15" customHeight="1" x14ac:dyDescent="0.25">
      <c r="A441" s="852"/>
      <c r="B441" s="37"/>
      <c r="C441" s="37"/>
      <c r="D441" s="38"/>
      <c r="G441" s="37"/>
    </row>
    <row r="442" spans="1:7" s="79" customFormat="1" ht="15" customHeight="1" x14ac:dyDescent="0.25">
      <c r="A442" s="852"/>
      <c r="B442" s="37"/>
      <c r="C442" s="37"/>
      <c r="D442" s="38"/>
      <c r="G442" s="37"/>
    </row>
    <row r="443" spans="1:7" s="79" customFormat="1" ht="15" customHeight="1" x14ac:dyDescent="0.25">
      <c r="A443" s="852"/>
      <c r="B443" s="37"/>
      <c r="C443" s="37"/>
      <c r="D443" s="38"/>
      <c r="G443" s="37"/>
    </row>
    <row r="444" spans="1:7" s="79" customFormat="1" ht="15" customHeight="1" x14ac:dyDescent="0.25">
      <c r="A444" s="852"/>
      <c r="B444" s="37"/>
      <c r="C444" s="37"/>
      <c r="D444" s="38"/>
      <c r="G444" s="37"/>
    </row>
    <row r="445" spans="1:7" s="79" customFormat="1" ht="15" customHeight="1" x14ac:dyDescent="0.25">
      <c r="A445" s="852"/>
      <c r="B445" s="37"/>
      <c r="C445" s="37"/>
      <c r="D445" s="38"/>
      <c r="G445" s="37"/>
    </row>
    <row r="446" spans="1:7" s="79" customFormat="1" ht="15" customHeight="1" x14ac:dyDescent="0.25">
      <c r="A446" s="852"/>
      <c r="B446" s="37"/>
      <c r="C446" s="37"/>
      <c r="D446" s="38"/>
      <c r="G446" s="37"/>
    </row>
    <row r="447" spans="1:7" s="79" customFormat="1" ht="15" customHeight="1" x14ac:dyDescent="0.25">
      <c r="A447" s="852"/>
      <c r="B447" s="37"/>
      <c r="C447" s="37"/>
      <c r="D447" s="38"/>
      <c r="G447" s="37"/>
    </row>
    <row r="448" spans="1:7" s="79" customFormat="1" ht="15" customHeight="1" x14ac:dyDescent="0.25">
      <c r="A448" s="852"/>
      <c r="B448" s="37"/>
      <c r="C448" s="37"/>
      <c r="D448" s="38"/>
      <c r="G448" s="37"/>
    </row>
    <row r="449" spans="1:7" s="79" customFormat="1" ht="15" customHeight="1" x14ac:dyDescent="0.25">
      <c r="A449" s="852"/>
      <c r="B449" s="37"/>
      <c r="C449" s="37"/>
      <c r="D449" s="38"/>
      <c r="G449" s="37"/>
    </row>
    <row r="450" spans="1:7" s="79" customFormat="1" ht="15" customHeight="1" x14ac:dyDescent="0.25">
      <c r="A450" s="852"/>
      <c r="B450" s="37"/>
      <c r="C450" s="37"/>
      <c r="D450" s="38"/>
      <c r="G450" s="37"/>
    </row>
    <row r="451" spans="1:7" s="79" customFormat="1" ht="15" customHeight="1" x14ac:dyDescent="0.25">
      <c r="A451" s="852"/>
      <c r="B451" s="37"/>
      <c r="C451" s="37"/>
      <c r="D451" s="38"/>
      <c r="G451" s="37"/>
    </row>
    <row r="452" spans="1:7" s="79" customFormat="1" ht="15" customHeight="1" x14ac:dyDescent="0.25">
      <c r="A452" s="852"/>
      <c r="B452" s="37"/>
      <c r="C452" s="37"/>
      <c r="D452" s="38"/>
      <c r="G452" s="37"/>
    </row>
    <row r="453" spans="1:7" s="79" customFormat="1" ht="15" customHeight="1" x14ac:dyDescent="0.25">
      <c r="A453" s="852"/>
      <c r="B453" s="37"/>
      <c r="C453" s="37"/>
      <c r="D453" s="38"/>
      <c r="G453" s="37"/>
    </row>
    <row r="454" spans="1:7" s="79" customFormat="1" ht="15" customHeight="1" x14ac:dyDescent="0.25">
      <c r="A454" s="852"/>
      <c r="B454" s="37"/>
      <c r="C454" s="37"/>
      <c r="D454" s="38"/>
      <c r="G454" s="37"/>
    </row>
    <row r="455" spans="1:7" s="79" customFormat="1" ht="15" customHeight="1" x14ac:dyDescent="0.25">
      <c r="A455" s="852"/>
      <c r="B455" s="37"/>
      <c r="C455" s="37"/>
      <c r="D455" s="38"/>
      <c r="G455" s="37"/>
    </row>
    <row r="456" spans="1:7" s="79" customFormat="1" ht="15" customHeight="1" x14ac:dyDescent="0.25">
      <c r="A456" s="852"/>
      <c r="B456" s="37"/>
      <c r="C456" s="37"/>
      <c r="D456" s="38"/>
      <c r="G456" s="37"/>
    </row>
    <row r="457" spans="1:7" s="79" customFormat="1" ht="15" customHeight="1" x14ac:dyDescent="0.25">
      <c r="A457" s="852"/>
      <c r="B457" s="37"/>
      <c r="C457" s="37"/>
      <c r="D457" s="38"/>
      <c r="G457" s="37"/>
    </row>
    <row r="458" spans="1:7" s="79" customFormat="1" ht="15" customHeight="1" x14ac:dyDescent="0.25">
      <c r="A458" s="852"/>
      <c r="B458" s="37"/>
      <c r="C458" s="37"/>
      <c r="D458" s="38"/>
      <c r="G458" s="37"/>
    </row>
    <row r="459" spans="1:7" s="79" customFormat="1" ht="15" customHeight="1" x14ac:dyDescent="0.25">
      <c r="A459" s="852"/>
      <c r="B459" s="37"/>
      <c r="C459" s="37"/>
      <c r="D459" s="38"/>
      <c r="G459" s="37"/>
    </row>
    <row r="460" spans="1:7" s="79" customFormat="1" ht="15" customHeight="1" x14ac:dyDescent="0.25">
      <c r="A460" s="852"/>
      <c r="B460" s="37"/>
      <c r="C460" s="37"/>
      <c r="D460" s="38"/>
      <c r="G460" s="37"/>
    </row>
    <row r="461" spans="1:7" s="79" customFormat="1" ht="15" customHeight="1" x14ac:dyDescent="0.25">
      <c r="A461" s="852"/>
      <c r="B461" s="37"/>
      <c r="C461" s="37"/>
      <c r="D461" s="38"/>
      <c r="G461" s="37"/>
    </row>
    <row r="462" spans="1:7" s="79" customFormat="1" ht="15" customHeight="1" x14ac:dyDescent="0.25">
      <c r="A462" s="852"/>
      <c r="B462" s="37"/>
      <c r="C462" s="37"/>
      <c r="D462" s="38"/>
      <c r="G462" s="37"/>
    </row>
    <row r="463" spans="1:7" s="79" customFormat="1" ht="15" customHeight="1" x14ac:dyDescent="0.25">
      <c r="A463" s="852"/>
      <c r="B463" s="37"/>
      <c r="C463" s="37"/>
      <c r="D463" s="38"/>
      <c r="G463" s="37"/>
    </row>
    <row r="464" spans="1:7" s="79" customFormat="1" ht="15" customHeight="1" x14ac:dyDescent="0.25">
      <c r="A464" s="852"/>
      <c r="B464" s="37"/>
      <c r="C464" s="37"/>
      <c r="D464" s="38"/>
      <c r="G464" s="37"/>
    </row>
    <row r="465" spans="1:7" s="79" customFormat="1" ht="15" customHeight="1" x14ac:dyDescent="0.25">
      <c r="A465" s="852"/>
      <c r="B465" s="37"/>
      <c r="C465" s="37"/>
      <c r="D465" s="38"/>
      <c r="G465" s="37"/>
    </row>
    <row r="466" spans="1:7" s="79" customFormat="1" ht="15" customHeight="1" x14ac:dyDescent="0.25">
      <c r="A466" s="852"/>
      <c r="B466" s="37"/>
      <c r="C466" s="37"/>
      <c r="D466" s="38"/>
      <c r="G466" s="37"/>
    </row>
    <row r="467" spans="1:7" s="79" customFormat="1" ht="15" customHeight="1" x14ac:dyDescent="0.25">
      <c r="A467" s="852"/>
      <c r="B467" s="37"/>
      <c r="C467" s="37"/>
      <c r="D467" s="38"/>
      <c r="G467" s="37"/>
    </row>
    <row r="468" spans="1:7" s="79" customFormat="1" ht="15" customHeight="1" x14ac:dyDescent="0.25">
      <c r="A468" s="852"/>
      <c r="B468" s="37"/>
      <c r="C468" s="37"/>
      <c r="D468" s="38"/>
      <c r="G468" s="37"/>
    </row>
    <row r="469" spans="1:7" s="79" customFormat="1" ht="15" customHeight="1" x14ac:dyDescent="0.25">
      <c r="A469" s="852"/>
      <c r="B469" s="37"/>
      <c r="C469" s="37"/>
      <c r="D469" s="38"/>
      <c r="G469" s="37"/>
    </row>
    <row r="470" spans="1:7" s="79" customFormat="1" ht="15" customHeight="1" x14ac:dyDescent="0.25">
      <c r="A470" s="852"/>
      <c r="B470" s="37"/>
      <c r="C470" s="37"/>
      <c r="D470" s="38"/>
      <c r="G470" s="37"/>
    </row>
    <row r="471" spans="1:7" s="79" customFormat="1" ht="15" customHeight="1" x14ac:dyDescent="0.25">
      <c r="A471" s="852"/>
      <c r="B471" s="37"/>
      <c r="C471" s="37"/>
      <c r="D471" s="38"/>
      <c r="G471" s="37"/>
    </row>
    <row r="472" spans="1:7" s="79" customFormat="1" ht="15" customHeight="1" x14ac:dyDescent="0.25">
      <c r="A472" s="852"/>
      <c r="B472" s="37"/>
      <c r="C472" s="37"/>
      <c r="D472" s="38"/>
      <c r="G472" s="37"/>
    </row>
    <row r="473" spans="1:7" s="79" customFormat="1" ht="15" customHeight="1" x14ac:dyDescent="0.25">
      <c r="A473" s="852"/>
      <c r="B473" s="37"/>
      <c r="C473" s="37"/>
      <c r="D473" s="38"/>
      <c r="G473" s="37"/>
    </row>
    <row r="474" spans="1:7" s="79" customFormat="1" ht="15" customHeight="1" x14ac:dyDescent="0.25">
      <c r="A474" s="852"/>
      <c r="B474" s="37"/>
      <c r="C474" s="37"/>
      <c r="D474" s="38"/>
      <c r="G474" s="37"/>
    </row>
    <row r="475" spans="1:7" s="79" customFormat="1" ht="15" customHeight="1" x14ac:dyDescent="0.25">
      <c r="A475" s="852"/>
      <c r="B475" s="37"/>
      <c r="C475" s="37"/>
      <c r="D475" s="38"/>
      <c r="G475" s="37"/>
    </row>
    <row r="476" spans="1:7" s="79" customFormat="1" ht="15" customHeight="1" x14ac:dyDescent="0.25">
      <c r="A476" s="852"/>
      <c r="B476" s="37"/>
      <c r="C476" s="37"/>
      <c r="D476" s="38"/>
      <c r="G476" s="37"/>
    </row>
    <row r="477" spans="1:7" s="79" customFormat="1" ht="15" customHeight="1" x14ac:dyDescent="0.25">
      <c r="A477" s="852"/>
      <c r="B477" s="37"/>
      <c r="C477" s="37"/>
      <c r="D477" s="38"/>
      <c r="G477" s="37"/>
    </row>
    <row r="478" spans="1:7" s="79" customFormat="1" ht="15" customHeight="1" x14ac:dyDescent="0.25">
      <c r="A478" s="852"/>
      <c r="B478" s="37"/>
      <c r="C478" s="37"/>
      <c r="D478" s="38"/>
      <c r="G478" s="37"/>
    </row>
    <row r="479" spans="1:7" s="79" customFormat="1" ht="15" customHeight="1" x14ac:dyDescent="0.25">
      <c r="A479" s="852"/>
      <c r="B479" s="37"/>
      <c r="C479" s="37"/>
      <c r="D479" s="38"/>
      <c r="G479" s="37"/>
    </row>
    <row r="480" spans="1:7" s="79" customFormat="1" ht="15" customHeight="1" x14ac:dyDescent="0.25">
      <c r="A480" s="852"/>
      <c r="B480" s="37"/>
      <c r="C480" s="37"/>
      <c r="D480" s="38"/>
      <c r="G480" s="37"/>
    </row>
    <row r="481" spans="1:7" s="79" customFormat="1" ht="15" customHeight="1" x14ac:dyDescent="0.25">
      <c r="A481" s="852"/>
      <c r="B481" s="37"/>
      <c r="C481" s="37"/>
      <c r="D481" s="38"/>
      <c r="G481" s="37"/>
    </row>
    <row r="482" spans="1:7" s="79" customFormat="1" ht="15" customHeight="1" x14ac:dyDescent="0.25">
      <c r="A482" s="852"/>
      <c r="B482" s="37"/>
      <c r="C482" s="37"/>
      <c r="D482" s="38"/>
      <c r="G482" s="37"/>
    </row>
    <row r="483" spans="1:7" s="79" customFormat="1" ht="15" customHeight="1" x14ac:dyDescent="0.25">
      <c r="A483" s="852"/>
      <c r="B483" s="37"/>
      <c r="C483" s="37"/>
      <c r="D483" s="38"/>
      <c r="G483" s="37"/>
    </row>
    <row r="484" spans="1:7" s="79" customFormat="1" ht="15" customHeight="1" x14ac:dyDescent="0.25">
      <c r="A484" s="852"/>
      <c r="B484" s="37"/>
      <c r="C484" s="37"/>
      <c r="D484" s="38"/>
      <c r="G484" s="37"/>
    </row>
    <row r="485" spans="1:7" s="79" customFormat="1" ht="15" customHeight="1" x14ac:dyDescent="0.25">
      <c r="A485" s="852"/>
      <c r="B485" s="37"/>
      <c r="C485" s="37"/>
      <c r="D485" s="38"/>
      <c r="G485" s="37"/>
    </row>
    <row r="486" spans="1:7" s="79" customFormat="1" ht="15" customHeight="1" x14ac:dyDescent="0.25">
      <c r="A486" s="852"/>
      <c r="B486" s="37"/>
      <c r="C486" s="37"/>
      <c r="D486" s="38"/>
      <c r="G486" s="37"/>
    </row>
    <row r="487" spans="1:7" s="79" customFormat="1" ht="15" customHeight="1" x14ac:dyDescent="0.25">
      <c r="A487" s="852"/>
      <c r="B487" s="37"/>
      <c r="C487" s="37"/>
      <c r="D487" s="38"/>
      <c r="G487" s="37"/>
    </row>
    <row r="488" spans="1:7" s="79" customFormat="1" ht="15" customHeight="1" x14ac:dyDescent="0.25">
      <c r="A488" s="852"/>
      <c r="B488" s="37"/>
      <c r="C488" s="37"/>
      <c r="D488" s="38"/>
      <c r="G488" s="37"/>
    </row>
    <row r="489" spans="1:7" s="79" customFormat="1" ht="15" customHeight="1" x14ac:dyDescent="0.25">
      <c r="A489" s="852"/>
      <c r="B489" s="37"/>
      <c r="C489" s="37"/>
      <c r="D489" s="38"/>
      <c r="G489" s="37"/>
    </row>
    <row r="490" spans="1:7" s="79" customFormat="1" ht="15" customHeight="1" x14ac:dyDescent="0.25">
      <c r="A490" s="852"/>
      <c r="B490" s="37"/>
      <c r="C490" s="37"/>
      <c r="D490" s="38"/>
      <c r="G490" s="37"/>
    </row>
    <row r="491" spans="1:7" s="79" customFormat="1" ht="15" customHeight="1" x14ac:dyDescent="0.25">
      <c r="A491" s="852"/>
      <c r="B491" s="37"/>
      <c r="C491" s="37"/>
      <c r="D491" s="38"/>
      <c r="G491" s="37"/>
    </row>
    <row r="492" spans="1:7" s="79" customFormat="1" ht="15" customHeight="1" x14ac:dyDescent="0.25">
      <c r="A492" s="852"/>
      <c r="B492" s="37"/>
      <c r="C492" s="37"/>
      <c r="D492" s="38"/>
      <c r="G492" s="37"/>
    </row>
    <row r="493" spans="1:7" s="79" customFormat="1" ht="15" customHeight="1" x14ac:dyDescent="0.25">
      <c r="A493" s="852"/>
      <c r="B493" s="37"/>
      <c r="C493" s="37"/>
      <c r="D493" s="38"/>
      <c r="G493" s="37"/>
    </row>
    <row r="494" spans="1:7" s="79" customFormat="1" ht="15" customHeight="1" x14ac:dyDescent="0.25">
      <c r="A494" s="852"/>
      <c r="B494" s="37"/>
      <c r="C494" s="37"/>
      <c r="D494" s="38"/>
      <c r="G494" s="37"/>
    </row>
    <row r="495" spans="1:7" s="79" customFormat="1" ht="15" customHeight="1" x14ac:dyDescent="0.25">
      <c r="A495" s="852"/>
      <c r="B495" s="37"/>
      <c r="C495" s="37"/>
      <c r="D495" s="38"/>
      <c r="G495" s="37"/>
    </row>
    <row r="496" spans="1:7" s="79" customFormat="1" ht="15" customHeight="1" x14ac:dyDescent="0.25">
      <c r="A496" s="852"/>
      <c r="B496" s="37"/>
      <c r="C496" s="37"/>
      <c r="D496" s="38"/>
      <c r="G496" s="37"/>
    </row>
    <row r="497" spans="1:7" s="79" customFormat="1" ht="15" customHeight="1" x14ac:dyDescent="0.25">
      <c r="A497" s="852"/>
      <c r="B497" s="37"/>
      <c r="C497" s="37"/>
      <c r="D497" s="38"/>
      <c r="G497" s="37"/>
    </row>
    <row r="498" spans="1:7" s="79" customFormat="1" ht="15" customHeight="1" x14ac:dyDescent="0.25">
      <c r="A498" s="852"/>
      <c r="B498" s="37"/>
      <c r="C498" s="37"/>
      <c r="D498" s="38"/>
      <c r="G498" s="37"/>
    </row>
    <row r="499" spans="1:7" s="79" customFormat="1" ht="15" customHeight="1" x14ac:dyDescent="0.25">
      <c r="A499" s="852"/>
      <c r="B499" s="37"/>
      <c r="C499" s="37"/>
      <c r="D499" s="38"/>
      <c r="G499" s="37"/>
    </row>
    <row r="500" spans="1:7" s="79" customFormat="1" ht="15" customHeight="1" x14ac:dyDescent="0.25">
      <c r="A500" s="852"/>
      <c r="B500" s="37"/>
      <c r="C500" s="37"/>
      <c r="D500" s="38"/>
      <c r="G500" s="37"/>
    </row>
    <row r="501" spans="1:7" s="79" customFormat="1" ht="15" customHeight="1" x14ac:dyDescent="0.25">
      <c r="A501" s="852"/>
      <c r="B501" s="37"/>
      <c r="C501" s="37"/>
      <c r="D501" s="38"/>
      <c r="G501" s="37"/>
    </row>
    <row r="502" spans="1:7" s="79" customFormat="1" ht="15" customHeight="1" x14ac:dyDescent="0.25">
      <c r="A502" s="852"/>
      <c r="B502" s="37"/>
      <c r="C502" s="37"/>
      <c r="D502" s="38"/>
      <c r="G502" s="37"/>
    </row>
    <row r="503" spans="1:7" s="79" customFormat="1" ht="15" customHeight="1" x14ac:dyDescent="0.25">
      <c r="A503" s="852"/>
      <c r="B503" s="37"/>
      <c r="C503" s="37"/>
      <c r="D503" s="38"/>
      <c r="G503" s="37"/>
    </row>
    <row r="504" spans="1:7" s="79" customFormat="1" ht="15" customHeight="1" x14ac:dyDescent="0.25">
      <c r="A504" s="852"/>
      <c r="B504" s="37"/>
      <c r="C504" s="37"/>
      <c r="D504" s="38"/>
      <c r="G504" s="37"/>
    </row>
    <row r="505" spans="1:7" s="79" customFormat="1" ht="15" customHeight="1" x14ac:dyDescent="0.25">
      <c r="A505" s="852"/>
      <c r="B505" s="37"/>
      <c r="C505" s="37"/>
      <c r="D505" s="38"/>
      <c r="G505" s="37"/>
    </row>
    <row r="506" spans="1:7" s="79" customFormat="1" ht="15" customHeight="1" x14ac:dyDescent="0.25">
      <c r="A506" s="852"/>
      <c r="B506" s="37"/>
      <c r="C506" s="37"/>
      <c r="D506" s="38"/>
      <c r="G506" s="37"/>
    </row>
    <row r="507" spans="1:7" s="79" customFormat="1" ht="15" customHeight="1" x14ac:dyDescent="0.25">
      <c r="A507" s="852"/>
      <c r="B507" s="37"/>
      <c r="C507" s="37"/>
      <c r="D507" s="38"/>
      <c r="G507" s="37"/>
    </row>
    <row r="508" spans="1:7" s="79" customFormat="1" ht="15" customHeight="1" x14ac:dyDescent="0.25">
      <c r="A508" s="852"/>
      <c r="B508" s="37"/>
      <c r="C508" s="37"/>
      <c r="D508" s="38"/>
      <c r="G508" s="37"/>
    </row>
    <row r="509" spans="1:7" s="79" customFormat="1" ht="15" customHeight="1" x14ac:dyDescent="0.25">
      <c r="A509" s="852"/>
      <c r="B509" s="37"/>
      <c r="C509" s="37"/>
      <c r="D509" s="38"/>
      <c r="G509" s="37"/>
    </row>
    <row r="510" spans="1:7" s="79" customFormat="1" ht="15" customHeight="1" x14ac:dyDescent="0.25">
      <c r="A510" s="852"/>
      <c r="B510" s="37"/>
      <c r="C510" s="37"/>
      <c r="D510" s="38"/>
      <c r="G510" s="37"/>
    </row>
    <row r="511" spans="1:7" s="79" customFormat="1" ht="15" customHeight="1" x14ac:dyDescent="0.25">
      <c r="A511" s="852"/>
      <c r="B511" s="37"/>
      <c r="C511" s="37"/>
      <c r="D511" s="38"/>
      <c r="G511" s="37"/>
    </row>
    <row r="512" spans="1:7" s="79" customFormat="1" ht="15" customHeight="1" x14ac:dyDescent="0.25">
      <c r="A512" s="852"/>
      <c r="B512" s="37"/>
      <c r="C512" s="37"/>
      <c r="D512" s="38"/>
      <c r="G512" s="37"/>
    </row>
    <row r="513" spans="1:7" s="79" customFormat="1" ht="15" customHeight="1" x14ac:dyDescent="0.25">
      <c r="A513" s="852"/>
      <c r="B513" s="37"/>
      <c r="C513" s="37"/>
      <c r="D513" s="38"/>
      <c r="G513" s="37"/>
    </row>
    <row r="514" spans="1:7" s="79" customFormat="1" ht="15" customHeight="1" x14ac:dyDescent="0.25">
      <c r="A514" s="852"/>
      <c r="B514" s="37"/>
      <c r="C514" s="37"/>
      <c r="D514" s="38"/>
      <c r="G514" s="37"/>
    </row>
    <row r="515" spans="1:7" s="79" customFormat="1" ht="15" customHeight="1" x14ac:dyDescent="0.25">
      <c r="A515" s="852"/>
      <c r="B515" s="37"/>
      <c r="C515" s="37"/>
      <c r="D515" s="38"/>
      <c r="G515" s="37"/>
    </row>
    <row r="516" spans="1:7" s="79" customFormat="1" ht="15" customHeight="1" x14ac:dyDescent="0.25">
      <c r="A516" s="852"/>
      <c r="B516" s="37"/>
      <c r="C516" s="37"/>
      <c r="D516" s="38"/>
      <c r="G516" s="37"/>
    </row>
    <row r="517" spans="1:7" s="79" customFormat="1" ht="15" customHeight="1" x14ac:dyDescent="0.25">
      <c r="A517" s="852"/>
      <c r="B517" s="37"/>
      <c r="C517" s="37"/>
      <c r="D517" s="38"/>
      <c r="G517" s="37"/>
    </row>
    <row r="518" spans="1:7" s="79" customFormat="1" ht="15" customHeight="1" x14ac:dyDescent="0.25">
      <c r="A518" s="852"/>
      <c r="B518" s="37"/>
      <c r="C518" s="37"/>
      <c r="D518" s="38"/>
      <c r="G518" s="37"/>
    </row>
    <row r="519" spans="1:7" s="79" customFormat="1" ht="15" customHeight="1" x14ac:dyDescent="0.25">
      <c r="A519" s="852"/>
      <c r="B519" s="37"/>
      <c r="C519" s="37"/>
      <c r="D519" s="38"/>
      <c r="G519" s="37"/>
    </row>
    <row r="520" spans="1:7" s="79" customFormat="1" ht="15" customHeight="1" x14ac:dyDescent="0.25">
      <c r="A520" s="852"/>
      <c r="B520" s="37"/>
      <c r="C520" s="37"/>
      <c r="D520" s="38"/>
      <c r="G520" s="37"/>
    </row>
    <row r="521" spans="1:7" s="79" customFormat="1" ht="15" customHeight="1" x14ac:dyDescent="0.25">
      <c r="A521" s="852"/>
      <c r="B521" s="37"/>
      <c r="C521" s="37"/>
      <c r="D521" s="38"/>
      <c r="G521" s="37"/>
    </row>
    <row r="522" spans="1:7" s="79" customFormat="1" ht="15" customHeight="1" x14ac:dyDescent="0.25">
      <c r="A522" s="852"/>
      <c r="B522" s="37"/>
      <c r="C522" s="37"/>
      <c r="D522" s="38"/>
      <c r="G522" s="37"/>
    </row>
    <row r="523" spans="1:7" s="79" customFormat="1" ht="15" customHeight="1" x14ac:dyDescent="0.25">
      <c r="A523" s="852"/>
      <c r="B523" s="37"/>
      <c r="C523" s="37"/>
      <c r="D523" s="38"/>
      <c r="G523" s="37"/>
    </row>
    <row r="524" spans="1:7" s="79" customFormat="1" ht="15" customHeight="1" x14ac:dyDescent="0.25">
      <c r="A524" s="852"/>
      <c r="B524" s="37"/>
      <c r="C524" s="37"/>
      <c r="D524" s="38"/>
      <c r="G524" s="37"/>
    </row>
    <row r="525" spans="1:7" s="79" customFormat="1" ht="15" customHeight="1" x14ac:dyDescent="0.25">
      <c r="A525" s="852"/>
      <c r="B525" s="37"/>
      <c r="C525" s="37"/>
      <c r="D525" s="38"/>
      <c r="G525" s="37"/>
    </row>
    <row r="526" spans="1:7" s="79" customFormat="1" ht="15" customHeight="1" x14ac:dyDescent="0.25">
      <c r="A526" s="852"/>
      <c r="B526" s="37"/>
      <c r="C526" s="37"/>
      <c r="D526" s="38"/>
      <c r="G526" s="37"/>
    </row>
    <row r="527" spans="1:7" s="79" customFormat="1" ht="15" customHeight="1" x14ac:dyDescent="0.25">
      <c r="A527" s="852"/>
      <c r="B527" s="37"/>
      <c r="C527" s="37"/>
      <c r="D527" s="38"/>
      <c r="G527" s="37"/>
    </row>
    <row r="528" spans="1:7" s="79" customFormat="1" ht="15" customHeight="1" x14ac:dyDescent="0.25">
      <c r="A528" s="852"/>
      <c r="B528" s="37"/>
      <c r="C528" s="37"/>
      <c r="D528" s="38"/>
      <c r="G528" s="37"/>
    </row>
    <row r="529" spans="1:7" s="79" customFormat="1" ht="15" customHeight="1" x14ac:dyDescent="0.25">
      <c r="A529" s="852"/>
      <c r="B529" s="37"/>
      <c r="C529" s="37"/>
      <c r="D529" s="38"/>
      <c r="G529" s="37"/>
    </row>
    <row r="530" spans="1:7" s="79" customFormat="1" ht="15" customHeight="1" x14ac:dyDescent="0.25">
      <c r="A530" s="852"/>
      <c r="B530" s="37"/>
      <c r="C530" s="37"/>
      <c r="D530" s="38"/>
      <c r="G530" s="37"/>
    </row>
    <row r="531" spans="1:7" s="79" customFormat="1" ht="15" customHeight="1" x14ac:dyDescent="0.25">
      <c r="A531" s="852"/>
      <c r="B531" s="37"/>
      <c r="C531" s="37"/>
      <c r="D531" s="38"/>
      <c r="G531" s="37"/>
    </row>
    <row r="532" spans="1:7" s="79" customFormat="1" ht="15" customHeight="1" x14ac:dyDescent="0.25">
      <c r="A532" s="852"/>
      <c r="B532" s="37"/>
      <c r="C532" s="37"/>
      <c r="D532" s="38"/>
      <c r="G532" s="37"/>
    </row>
    <row r="533" spans="1:7" s="79" customFormat="1" ht="15" customHeight="1" x14ac:dyDescent="0.25">
      <c r="A533" s="852"/>
      <c r="B533" s="37"/>
      <c r="C533" s="37"/>
      <c r="D533" s="38"/>
      <c r="G533" s="37"/>
    </row>
    <row r="534" spans="1:7" s="79" customFormat="1" ht="15" customHeight="1" x14ac:dyDescent="0.25">
      <c r="A534" s="852"/>
      <c r="B534" s="37"/>
      <c r="C534" s="37"/>
      <c r="D534" s="38"/>
      <c r="G534" s="37"/>
    </row>
    <row r="535" spans="1:7" s="79" customFormat="1" ht="15" customHeight="1" x14ac:dyDescent="0.25">
      <c r="A535" s="852"/>
      <c r="B535" s="37"/>
      <c r="C535" s="37"/>
      <c r="D535" s="38"/>
      <c r="G535" s="37"/>
    </row>
    <row r="536" spans="1:7" s="79" customFormat="1" ht="15" customHeight="1" x14ac:dyDescent="0.25">
      <c r="A536" s="852"/>
      <c r="B536" s="37"/>
      <c r="C536" s="37"/>
      <c r="D536" s="38"/>
      <c r="G536" s="37"/>
    </row>
    <row r="537" spans="1:7" s="79" customFormat="1" ht="15" customHeight="1" x14ac:dyDescent="0.25">
      <c r="A537" s="852"/>
      <c r="B537" s="37"/>
      <c r="C537" s="37"/>
      <c r="D537" s="38"/>
      <c r="G537" s="37"/>
    </row>
    <row r="538" spans="1:7" s="79" customFormat="1" ht="15" customHeight="1" x14ac:dyDescent="0.25">
      <c r="A538" s="852"/>
      <c r="B538" s="37"/>
      <c r="C538" s="37"/>
      <c r="D538" s="38"/>
      <c r="G538" s="37"/>
    </row>
    <row r="539" spans="1:7" s="79" customFormat="1" ht="15" customHeight="1" x14ac:dyDescent="0.25">
      <c r="A539" s="852"/>
      <c r="B539" s="37"/>
      <c r="C539" s="37"/>
      <c r="D539" s="38"/>
      <c r="G539" s="37"/>
    </row>
    <row r="540" spans="1:7" s="79" customFormat="1" ht="15" customHeight="1" x14ac:dyDescent="0.25">
      <c r="A540" s="852"/>
      <c r="B540" s="37"/>
      <c r="C540" s="37"/>
      <c r="D540" s="38"/>
      <c r="G540" s="37"/>
    </row>
    <row r="541" spans="1:7" s="79" customFormat="1" ht="15" customHeight="1" x14ac:dyDescent="0.25">
      <c r="A541" s="852"/>
      <c r="B541" s="37"/>
      <c r="C541" s="37"/>
      <c r="D541" s="38"/>
      <c r="G541" s="37"/>
    </row>
    <row r="542" spans="1:7" s="79" customFormat="1" ht="15" customHeight="1" x14ac:dyDescent="0.25">
      <c r="A542" s="852"/>
      <c r="B542" s="37"/>
      <c r="C542" s="37"/>
      <c r="D542" s="38"/>
      <c r="G542" s="37"/>
    </row>
    <row r="543" spans="1:7" s="79" customFormat="1" ht="15" customHeight="1" x14ac:dyDescent="0.25">
      <c r="A543" s="852"/>
      <c r="B543" s="37"/>
      <c r="C543" s="37"/>
      <c r="D543" s="38"/>
      <c r="G543" s="37"/>
    </row>
    <row r="544" spans="1:7" s="79" customFormat="1" ht="15" customHeight="1" x14ac:dyDescent="0.25">
      <c r="A544" s="852"/>
      <c r="B544" s="37"/>
      <c r="C544" s="37"/>
      <c r="D544" s="38"/>
      <c r="G544" s="37"/>
    </row>
    <row r="545" spans="1:7" s="79" customFormat="1" ht="15" customHeight="1" x14ac:dyDescent="0.25">
      <c r="A545" s="852"/>
      <c r="B545" s="37"/>
      <c r="C545" s="37"/>
      <c r="D545" s="38"/>
      <c r="G545" s="37"/>
    </row>
    <row r="546" spans="1:7" s="79" customFormat="1" ht="15" customHeight="1" x14ac:dyDescent="0.25">
      <c r="A546" s="852"/>
      <c r="B546" s="37"/>
      <c r="C546" s="37"/>
      <c r="D546" s="38"/>
      <c r="G546" s="37"/>
    </row>
    <row r="547" spans="1:7" s="79" customFormat="1" ht="15" customHeight="1" x14ac:dyDescent="0.25">
      <c r="A547" s="852"/>
      <c r="B547" s="37"/>
      <c r="C547" s="37"/>
      <c r="D547" s="38"/>
      <c r="G547" s="37"/>
    </row>
    <row r="548" spans="1:7" s="79" customFormat="1" ht="15" customHeight="1" x14ac:dyDescent="0.25">
      <c r="A548" s="852"/>
      <c r="B548" s="37"/>
      <c r="C548" s="37"/>
      <c r="D548" s="38"/>
      <c r="G548" s="37"/>
    </row>
    <row r="549" spans="1:7" s="79" customFormat="1" ht="15" customHeight="1" x14ac:dyDescent="0.25">
      <c r="A549" s="852"/>
      <c r="B549" s="37"/>
      <c r="C549" s="37"/>
      <c r="D549" s="38"/>
      <c r="G549" s="37"/>
    </row>
    <row r="550" spans="1:7" s="79" customFormat="1" ht="15" customHeight="1" x14ac:dyDescent="0.25">
      <c r="A550" s="852"/>
      <c r="B550" s="37"/>
      <c r="C550" s="37"/>
      <c r="D550" s="38"/>
      <c r="G550" s="37"/>
    </row>
    <row r="551" spans="1:7" s="79" customFormat="1" ht="15" customHeight="1" x14ac:dyDescent="0.25">
      <c r="A551" s="852"/>
      <c r="B551" s="37"/>
      <c r="C551" s="37"/>
      <c r="D551" s="38"/>
      <c r="G551" s="37"/>
    </row>
    <row r="552" spans="1:7" s="79" customFormat="1" ht="15" customHeight="1" x14ac:dyDescent="0.25">
      <c r="A552" s="852"/>
      <c r="B552" s="37"/>
      <c r="C552" s="37"/>
      <c r="D552" s="38"/>
      <c r="G552" s="37"/>
    </row>
    <row r="553" spans="1:7" s="79" customFormat="1" ht="15" customHeight="1" x14ac:dyDescent="0.25">
      <c r="A553" s="852"/>
      <c r="B553" s="37"/>
      <c r="C553" s="37"/>
      <c r="D553" s="38"/>
      <c r="G553" s="37"/>
    </row>
    <row r="554" spans="1:7" s="79" customFormat="1" ht="15" customHeight="1" x14ac:dyDescent="0.25">
      <c r="A554" s="852"/>
      <c r="B554" s="37"/>
      <c r="C554" s="37"/>
      <c r="D554" s="38"/>
      <c r="G554" s="37"/>
    </row>
    <row r="555" spans="1:7" s="79" customFormat="1" ht="15" customHeight="1" x14ac:dyDescent="0.25">
      <c r="A555" s="852"/>
      <c r="B555" s="37"/>
      <c r="C555" s="37"/>
      <c r="D555" s="38"/>
      <c r="G555" s="37"/>
    </row>
    <row r="556" spans="1:7" s="79" customFormat="1" ht="15" customHeight="1" x14ac:dyDescent="0.25">
      <c r="A556" s="852"/>
      <c r="B556" s="37"/>
      <c r="C556" s="37"/>
      <c r="D556" s="38"/>
      <c r="G556" s="37"/>
    </row>
    <row r="557" spans="1:7" s="79" customFormat="1" ht="15" customHeight="1" x14ac:dyDescent="0.25">
      <c r="A557" s="852"/>
      <c r="B557" s="37"/>
      <c r="C557" s="37"/>
      <c r="D557" s="38"/>
      <c r="G557" s="37"/>
    </row>
    <row r="558" spans="1:7" s="79" customFormat="1" ht="15" customHeight="1" x14ac:dyDescent="0.25">
      <c r="A558" s="852"/>
      <c r="B558" s="37"/>
      <c r="C558" s="37"/>
      <c r="D558" s="38"/>
      <c r="G558" s="37"/>
    </row>
    <row r="559" spans="1:7" s="79" customFormat="1" ht="15" customHeight="1" x14ac:dyDescent="0.25">
      <c r="A559" s="852"/>
      <c r="B559" s="37"/>
      <c r="C559" s="37"/>
      <c r="D559" s="38"/>
      <c r="G559" s="37"/>
    </row>
    <row r="560" spans="1:7" s="79" customFormat="1" ht="15" customHeight="1" x14ac:dyDescent="0.25">
      <c r="A560" s="852"/>
      <c r="B560" s="37"/>
      <c r="C560" s="37"/>
      <c r="D560" s="38"/>
      <c r="G560" s="37"/>
    </row>
    <row r="561" spans="1:7" s="79" customFormat="1" ht="15" customHeight="1" x14ac:dyDescent="0.25">
      <c r="A561" s="852"/>
      <c r="B561" s="37"/>
      <c r="C561" s="37"/>
      <c r="D561" s="38"/>
      <c r="G561" s="37"/>
    </row>
    <row r="562" spans="1:7" s="79" customFormat="1" ht="15" customHeight="1" x14ac:dyDescent="0.25">
      <c r="A562" s="852"/>
      <c r="B562" s="37"/>
      <c r="C562" s="37"/>
      <c r="D562" s="38"/>
      <c r="G562" s="37"/>
    </row>
    <row r="563" spans="1:7" s="79" customFormat="1" ht="15" customHeight="1" x14ac:dyDescent="0.25">
      <c r="A563" s="852"/>
      <c r="B563" s="37"/>
      <c r="C563" s="37"/>
      <c r="D563" s="38"/>
      <c r="G563" s="37"/>
    </row>
    <row r="564" spans="1:7" s="79" customFormat="1" ht="15" customHeight="1" x14ac:dyDescent="0.25">
      <c r="A564" s="852"/>
      <c r="B564" s="37"/>
      <c r="C564" s="37"/>
      <c r="D564" s="38"/>
      <c r="G564" s="37"/>
    </row>
    <row r="565" spans="1:7" s="79" customFormat="1" ht="15" customHeight="1" x14ac:dyDescent="0.25">
      <c r="A565" s="852"/>
      <c r="B565" s="37"/>
      <c r="C565" s="37"/>
      <c r="D565" s="38"/>
      <c r="G565" s="37"/>
    </row>
    <row r="566" spans="1:7" s="79" customFormat="1" ht="15" customHeight="1" x14ac:dyDescent="0.25">
      <c r="A566" s="852"/>
      <c r="B566" s="37"/>
      <c r="C566" s="37"/>
      <c r="D566" s="38"/>
      <c r="G566" s="37"/>
    </row>
    <row r="567" spans="1:7" s="79" customFormat="1" ht="15" customHeight="1" x14ac:dyDescent="0.25">
      <c r="A567" s="852"/>
      <c r="B567" s="37"/>
      <c r="C567" s="37"/>
      <c r="D567" s="38"/>
      <c r="G567" s="37"/>
    </row>
    <row r="568" spans="1:7" s="79" customFormat="1" ht="15" customHeight="1" x14ac:dyDescent="0.25">
      <c r="A568" s="852"/>
      <c r="B568" s="37"/>
      <c r="C568" s="37"/>
      <c r="D568" s="38"/>
      <c r="G568" s="37"/>
    </row>
    <row r="569" spans="1:7" s="79" customFormat="1" ht="15" customHeight="1" x14ac:dyDescent="0.25">
      <c r="A569" s="852"/>
      <c r="B569" s="37"/>
      <c r="C569" s="37"/>
      <c r="D569" s="38"/>
      <c r="G569" s="37"/>
    </row>
    <row r="570" spans="1:7" s="79" customFormat="1" ht="15" customHeight="1" x14ac:dyDescent="0.25">
      <c r="A570" s="852"/>
      <c r="B570" s="37"/>
      <c r="C570" s="37"/>
      <c r="D570" s="38"/>
      <c r="G570" s="37"/>
    </row>
    <row r="571" spans="1:7" s="79" customFormat="1" ht="15" customHeight="1" x14ac:dyDescent="0.25">
      <c r="A571" s="852"/>
      <c r="B571" s="37"/>
      <c r="C571" s="37"/>
      <c r="D571" s="38"/>
      <c r="G571" s="37"/>
    </row>
    <row r="572" spans="1:7" s="79" customFormat="1" ht="15" customHeight="1" x14ac:dyDescent="0.25">
      <c r="A572" s="852"/>
      <c r="B572" s="37"/>
      <c r="C572" s="37"/>
      <c r="D572" s="38"/>
      <c r="G572" s="37"/>
    </row>
    <row r="573" spans="1:7" s="79" customFormat="1" ht="15" customHeight="1" x14ac:dyDescent="0.25">
      <c r="A573" s="852"/>
      <c r="B573" s="37"/>
      <c r="C573" s="37"/>
      <c r="D573" s="38"/>
      <c r="G573" s="37"/>
    </row>
    <row r="574" spans="1:7" s="79" customFormat="1" ht="15" customHeight="1" x14ac:dyDescent="0.25">
      <c r="A574" s="852"/>
      <c r="B574" s="37"/>
      <c r="C574" s="37"/>
      <c r="D574" s="38"/>
      <c r="G574" s="37"/>
    </row>
    <row r="575" spans="1:7" s="79" customFormat="1" ht="15" customHeight="1" x14ac:dyDescent="0.25">
      <c r="A575" s="852"/>
      <c r="B575" s="37"/>
      <c r="C575" s="37"/>
      <c r="D575" s="38"/>
      <c r="G575" s="37"/>
    </row>
    <row r="576" spans="1:7" s="79" customFormat="1" ht="15" customHeight="1" x14ac:dyDescent="0.25">
      <c r="A576" s="852"/>
      <c r="B576" s="37"/>
      <c r="C576" s="37"/>
      <c r="D576" s="38"/>
      <c r="G576" s="37"/>
    </row>
    <row r="577" spans="1:7" s="79" customFormat="1" ht="15" customHeight="1" x14ac:dyDescent="0.25">
      <c r="A577" s="852"/>
      <c r="B577" s="37"/>
      <c r="C577" s="37"/>
      <c r="D577" s="38"/>
      <c r="G577" s="37"/>
    </row>
    <row r="578" spans="1:7" s="79" customFormat="1" ht="15" customHeight="1" x14ac:dyDescent="0.25">
      <c r="A578" s="852"/>
      <c r="B578" s="37"/>
      <c r="C578" s="37"/>
      <c r="D578" s="38"/>
      <c r="G578" s="37"/>
    </row>
    <row r="579" spans="1:7" s="79" customFormat="1" ht="15" customHeight="1" x14ac:dyDescent="0.25">
      <c r="A579" s="852"/>
      <c r="B579" s="37"/>
      <c r="C579" s="37"/>
      <c r="D579" s="38"/>
      <c r="G579" s="37"/>
    </row>
    <row r="580" spans="1:7" s="79" customFormat="1" ht="15" customHeight="1" x14ac:dyDescent="0.25">
      <c r="A580" s="852"/>
      <c r="B580" s="37"/>
      <c r="C580" s="37"/>
      <c r="D580" s="38"/>
      <c r="G580" s="37"/>
    </row>
    <row r="581" spans="1:7" s="79" customFormat="1" ht="15" customHeight="1" x14ac:dyDescent="0.25">
      <c r="A581" s="852"/>
      <c r="B581" s="37"/>
      <c r="C581" s="37"/>
      <c r="D581" s="38"/>
      <c r="G581" s="37"/>
    </row>
    <row r="582" spans="1:7" s="79" customFormat="1" ht="15" customHeight="1" x14ac:dyDescent="0.25">
      <c r="A582" s="852"/>
      <c r="B582" s="37"/>
      <c r="C582" s="37"/>
      <c r="D582" s="38"/>
      <c r="G582" s="37"/>
    </row>
    <row r="583" spans="1:7" s="79" customFormat="1" ht="15" customHeight="1" x14ac:dyDescent="0.25">
      <c r="A583" s="852"/>
      <c r="B583" s="37"/>
      <c r="C583" s="37"/>
      <c r="D583" s="38"/>
      <c r="G583" s="37"/>
    </row>
    <row r="584" spans="1:7" s="79" customFormat="1" ht="15" customHeight="1" x14ac:dyDescent="0.25">
      <c r="A584" s="852"/>
      <c r="B584" s="37"/>
      <c r="C584" s="37"/>
      <c r="D584" s="38"/>
      <c r="G584" s="37"/>
    </row>
    <row r="585" spans="1:7" s="79" customFormat="1" ht="15" customHeight="1" x14ac:dyDescent="0.25">
      <c r="A585" s="852"/>
      <c r="B585" s="37"/>
      <c r="C585" s="37"/>
      <c r="D585" s="38"/>
      <c r="G585" s="37"/>
    </row>
    <row r="586" spans="1:7" s="79" customFormat="1" ht="15" customHeight="1" x14ac:dyDescent="0.25">
      <c r="A586" s="852"/>
      <c r="B586" s="37"/>
      <c r="C586" s="37"/>
      <c r="D586" s="38"/>
      <c r="G586" s="37"/>
    </row>
    <row r="587" spans="1:7" s="79" customFormat="1" ht="15" customHeight="1" x14ac:dyDescent="0.25">
      <c r="A587" s="852"/>
      <c r="B587" s="37"/>
      <c r="C587" s="37"/>
      <c r="D587" s="38"/>
      <c r="G587" s="37"/>
    </row>
    <row r="588" spans="1:7" s="79" customFormat="1" ht="15" customHeight="1" x14ac:dyDescent="0.25">
      <c r="A588" s="852"/>
      <c r="B588" s="37"/>
      <c r="C588" s="37"/>
      <c r="D588" s="38"/>
      <c r="G588" s="37"/>
    </row>
    <row r="589" spans="1:7" s="79" customFormat="1" ht="15" customHeight="1" x14ac:dyDescent="0.25">
      <c r="A589" s="852"/>
      <c r="B589" s="37"/>
      <c r="C589" s="37"/>
      <c r="D589" s="38"/>
      <c r="G589" s="37"/>
    </row>
    <row r="590" spans="1:7" s="79" customFormat="1" ht="15" customHeight="1" x14ac:dyDescent="0.25">
      <c r="A590" s="852"/>
      <c r="B590" s="37"/>
      <c r="C590" s="37"/>
      <c r="D590" s="38"/>
      <c r="G590" s="37"/>
    </row>
    <row r="591" spans="1:7" s="79" customFormat="1" ht="15" customHeight="1" x14ac:dyDescent="0.25">
      <c r="A591" s="852"/>
      <c r="B591" s="37"/>
      <c r="C591" s="37"/>
      <c r="D591" s="38"/>
      <c r="G591" s="37"/>
    </row>
    <row r="592" spans="1:7" s="79" customFormat="1" ht="15" customHeight="1" x14ac:dyDescent="0.25">
      <c r="A592" s="852"/>
      <c r="B592" s="37"/>
      <c r="C592" s="37"/>
      <c r="D592" s="38"/>
      <c r="G592" s="37"/>
    </row>
    <row r="593" spans="1:7" s="79" customFormat="1" ht="15" customHeight="1" x14ac:dyDescent="0.25">
      <c r="A593" s="852"/>
      <c r="B593" s="37"/>
      <c r="C593" s="37"/>
      <c r="D593" s="38"/>
      <c r="G593" s="37"/>
    </row>
    <row r="594" spans="1:7" s="79" customFormat="1" ht="15" customHeight="1" x14ac:dyDescent="0.25">
      <c r="A594" s="852"/>
      <c r="B594" s="37"/>
      <c r="C594" s="37"/>
      <c r="D594" s="38"/>
      <c r="G594" s="37"/>
    </row>
    <row r="595" spans="1:7" s="79" customFormat="1" ht="15" customHeight="1" x14ac:dyDescent="0.25">
      <c r="A595" s="852"/>
      <c r="B595" s="37"/>
      <c r="C595" s="37"/>
      <c r="D595" s="38"/>
      <c r="G595" s="37"/>
    </row>
    <row r="596" spans="1:7" s="79" customFormat="1" ht="15" customHeight="1" x14ac:dyDescent="0.25">
      <c r="A596" s="852"/>
      <c r="B596" s="37"/>
      <c r="C596" s="37"/>
      <c r="D596" s="38"/>
      <c r="G596" s="37"/>
    </row>
    <row r="597" spans="1:7" s="79" customFormat="1" ht="15" customHeight="1" x14ac:dyDescent="0.25">
      <c r="A597" s="852"/>
      <c r="B597" s="37"/>
      <c r="C597" s="37"/>
      <c r="D597" s="38"/>
      <c r="G597" s="37"/>
    </row>
    <row r="598" spans="1:7" s="79" customFormat="1" ht="15" customHeight="1" x14ac:dyDescent="0.25">
      <c r="A598" s="852"/>
      <c r="B598" s="37"/>
      <c r="C598" s="37"/>
      <c r="D598" s="38"/>
      <c r="G598" s="37"/>
    </row>
    <row r="599" spans="1:7" s="79" customFormat="1" ht="15" customHeight="1" x14ac:dyDescent="0.25">
      <c r="A599" s="852"/>
      <c r="B599" s="37"/>
      <c r="C599" s="37"/>
      <c r="D599" s="38"/>
      <c r="G599" s="37"/>
    </row>
    <row r="600" spans="1:7" s="79" customFormat="1" ht="15" customHeight="1" x14ac:dyDescent="0.25">
      <c r="A600" s="852"/>
      <c r="B600" s="37"/>
      <c r="C600" s="37"/>
      <c r="D600" s="38"/>
      <c r="G600" s="37"/>
    </row>
    <row r="601" spans="1:7" s="79" customFormat="1" ht="15" customHeight="1" x14ac:dyDescent="0.25">
      <c r="A601" s="852"/>
      <c r="B601" s="37"/>
      <c r="C601" s="37"/>
      <c r="D601" s="38"/>
      <c r="G601" s="37"/>
    </row>
    <row r="602" spans="1:7" s="79" customFormat="1" ht="15" customHeight="1" x14ac:dyDescent="0.25">
      <c r="A602" s="852"/>
      <c r="B602" s="37"/>
      <c r="C602" s="37"/>
      <c r="D602" s="38"/>
      <c r="G602" s="37"/>
    </row>
    <row r="603" spans="1:7" s="79" customFormat="1" ht="15" customHeight="1" x14ac:dyDescent="0.25">
      <c r="A603" s="852"/>
      <c r="B603" s="37"/>
      <c r="C603" s="37"/>
      <c r="D603" s="38"/>
      <c r="G603" s="37"/>
    </row>
    <row r="604" spans="1:7" s="79" customFormat="1" ht="15" customHeight="1" x14ac:dyDescent="0.25">
      <c r="A604" s="852"/>
      <c r="B604" s="37"/>
      <c r="C604" s="37"/>
      <c r="D604" s="38"/>
      <c r="G604" s="37"/>
    </row>
    <row r="605" spans="1:7" s="79" customFormat="1" ht="15" customHeight="1" x14ac:dyDescent="0.25">
      <c r="A605" s="852"/>
      <c r="B605" s="37"/>
      <c r="C605" s="37"/>
      <c r="D605" s="38"/>
      <c r="G605" s="37"/>
    </row>
    <row r="606" spans="1:7" s="79" customFormat="1" ht="15" customHeight="1" x14ac:dyDescent="0.25">
      <c r="A606" s="852"/>
      <c r="B606" s="37"/>
      <c r="C606" s="37"/>
      <c r="D606" s="38"/>
      <c r="G606" s="37"/>
    </row>
    <row r="607" spans="1:7" s="79" customFormat="1" ht="15" customHeight="1" x14ac:dyDescent="0.25">
      <c r="A607" s="852"/>
      <c r="B607" s="37"/>
      <c r="C607" s="37"/>
      <c r="D607" s="38"/>
      <c r="G607" s="37"/>
    </row>
    <row r="608" spans="1:7" s="79" customFormat="1" ht="15" customHeight="1" x14ac:dyDescent="0.25">
      <c r="A608" s="852"/>
      <c r="B608" s="37"/>
      <c r="C608" s="37"/>
      <c r="D608" s="38"/>
      <c r="G608" s="37"/>
    </row>
    <row r="609" spans="1:7" s="79" customFormat="1" ht="15" customHeight="1" x14ac:dyDescent="0.25">
      <c r="A609" s="852"/>
      <c r="B609" s="37"/>
      <c r="C609" s="37"/>
      <c r="D609" s="38"/>
      <c r="G609" s="37"/>
    </row>
    <row r="610" spans="1:7" s="79" customFormat="1" ht="15" customHeight="1" x14ac:dyDescent="0.25">
      <c r="A610" s="852"/>
      <c r="B610" s="37"/>
      <c r="C610" s="37"/>
      <c r="D610" s="38"/>
      <c r="G610" s="37"/>
    </row>
    <row r="611" spans="1:7" s="79" customFormat="1" ht="15" customHeight="1" x14ac:dyDescent="0.25">
      <c r="A611" s="852"/>
      <c r="B611" s="37"/>
      <c r="C611" s="37"/>
      <c r="D611" s="38"/>
      <c r="G611" s="37"/>
    </row>
    <row r="612" spans="1:7" s="79" customFormat="1" ht="15" customHeight="1" x14ac:dyDescent="0.25">
      <c r="A612" s="852"/>
      <c r="B612" s="37"/>
      <c r="C612" s="37"/>
      <c r="D612" s="38"/>
      <c r="G612" s="37"/>
    </row>
    <row r="613" spans="1:7" s="79" customFormat="1" ht="15" customHeight="1" x14ac:dyDescent="0.25">
      <c r="A613" s="852"/>
      <c r="B613" s="37"/>
      <c r="C613" s="37"/>
      <c r="D613" s="38"/>
      <c r="G613" s="37"/>
    </row>
    <row r="614" spans="1:7" s="79" customFormat="1" ht="15" customHeight="1" x14ac:dyDescent="0.25">
      <c r="A614" s="852"/>
      <c r="B614" s="37"/>
      <c r="C614" s="37"/>
      <c r="D614" s="38"/>
      <c r="G614" s="37"/>
    </row>
    <row r="615" spans="1:7" s="79" customFormat="1" ht="15" customHeight="1" x14ac:dyDescent="0.25">
      <c r="A615" s="852"/>
      <c r="B615" s="37"/>
      <c r="C615" s="37"/>
      <c r="D615" s="38"/>
      <c r="G615" s="37"/>
    </row>
    <row r="616" spans="1:7" s="79" customFormat="1" ht="15" customHeight="1" x14ac:dyDescent="0.25">
      <c r="A616" s="852"/>
      <c r="B616" s="37"/>
      <c r="C616" s="37"/>
      <c r="D616" s="38"/>
      <c r="G616" s="37"/>
    </row>
    <row r="617" spans="1:7" s="79" customFormat="1" ht="15" customHeight="1" x14ac:dyDescent="0.25">
      <c r="A617" s="852"/>
      <c r="B617" s="37"/>
      <c r="C617" s="37"/>
      <c r="D617" s="38"/>
      <c r="G617" s="37"/>
    </row>
    <row r="618" spans="1:7" s="79" customFormat="1" ht="15" customHeight="1" x14ac:dyDescent="0.25">
      <c r="A618" s="852"/>
      <c r="B618" s="37"/>
      <c r="C618" s="37"/>
      <c r="D618" s="38"/>
      <c r="G618" s="37"/>
    </row>
    <row r="619" spans="1:7" s="79" customFormat="1" ht="15" customHeight="1" x14ac:dyDescent="0.25">
      <c r="A619" s="852"/>
      <c r="B619" s="37"/>
      <c r="C619" s="37"/>
      <c r="D619" s="38"/>
      <c r="G619" s="37"/>
    </row>
    <row r="620" spans="1:7" s="79" customFormat="1" ht="15" customHeight="1" x14ac:dyDescent="0.25">
      <c r="A620" s="852"/>
      <c r="B620" s="37"/>
      <c r="C620" s="37"/>
      <c r="D620" s="38"/>
      <c r="G620" s="37"/>
    </row>
    <row r="621" spans="1:7" s="79" customFormat="1" ht="15" customHeight="1" x14ac:dyDescent="0.25">
      <c r="A621" s="852"/>
      <c r="B621" s="37"/>
      <c r="C621" s="37"/>
      <c r="D621" s="38"/>
      <c r="G621" s="37"/>
    </row>
    <row r="622" spans="1:7" s="79" customFormat="1" ht="15" customHeight="1" x14ac:dyDescent="0.25">
      <c r="A622" s="852"/>
      <c r="B622" s="37"/>
      <c r="C622" s="37"/>
      <c r="D622" s="38"/>
      <c r="G622" s="37"/>
    </row>
    <row r="623" spans="1:7" s="79" customFormat="1" ht="15" customHeight="1" x14ac:dyDescent="0.25">
      <c r="A623" s="852"/>
      <c r="B623" s="37"/>
      <c r="C623" s="37"/>
      <c r="D623" s="38"/>
      <c r="G623" s="37"/>
    </row>
    <row r="624" spans="1:7" s="79" customFormat="1" ht="15" customHeight="1" x14ac:dyDescent="0.25">
      <c r="A624" s="852"/>
      <c r="B624" s="37"/>
      <c r="C624" s="37"/>
      <c r="D624" s="38"/>
      <c r="G624" s="37"/>
    </row>
    <row r="625" spans="1:7" s="79" customFormat="1" ht="15" customHeight="1" x14ac:dyDescent="0.25">
      <c r="A625" s="852"/>
      <c r="B625" s="37"/>
      <c r="C625" s="37"/>
      <c r="D625" s="38"/>
      <c r="G625" s="37"/>
    </row>
    <row r="626" spans="1:7" s="79" customFormat="1" ht="15" customHeight="1" x14ac:dyDescent="0.25">
      <c r="A626" s="852"/>
      <c r="B626" s="37"/>
      <c r="C626" s="37"/>
      <c r="D626" s="38"/>
      <c r="G626" s="37"/>
    </row>
    <row r="627" spans="1:7" s="79" customFormat="1" ht="15" customHeight="1" x14ac:dyDescent="0.25">
      <c r="A627" s="852"/>
      <c r="B627" s="37"/>
      <c r="C627" s="37"/>
      <c r="D627" s="38"/>
      <c r="G627" s="37"/>
    </row>
    <row r="628" spans="1:7" s="79" customFormat="1" ht="15" customHeight="1" x14ac:dyDescent="0.25">
      <c r="A628" s="852"/>
      <c r="B628" s="37"/>
      <c r="C628" s="37"/>
      <c r="D628" s="38"/>
      <c r="G628" s="37"/>
    </row>
    <row r="629" spans="1:7" s="79" customFormat="1" ht="15" customHeight="1" x14ac:dyDescent="0.25">
      <c r="A629" s="852"/>
      <c r="B629" s="37"/>
      <c r="C629" s="37"/>
      <c r="D629" s="38"/>
      <c r="G629" s="37"/>
    </row>
    <row r="630" spans="1:7" s="79" customFormat="1" ht="15" customHeight="1" x14ac:dyDescent="0.25">
      <c r="A630" s="852"/>
      <c r="B630" s="37"/>
      <c r="C630" s="37"/>
      <c r="D630" s="38"/>
      <c r="G630" s="37"/>
    </row>
    <row r="631" spans="1:7" s="79" customFormat="1" ht="15" customHeight="1" x14ac:dyDescent="0.25">
      <c r="A631" s="852"/>
      <c r="B631" s="37"/>
      <c r="C631" s="37"/>
      <c r="D631" s="38"/>
      <c r="G631" s="37"/>
    </row>
    <row r="632" spans="1:7" s="79" customFormat="1" ht="15" customHeight="1" x14ac:dyDescent="0.25">
      <c r="A632" s="852"/>
      <c r="B632" s="37"/>
      <c r="C632" s="37"/>
      <c r="D632" s="38"/>
      <c r="G632" s="37"/>
    </row>
    <row r="633" spans="1:7" s="79" customFormat="1" ht="15" customHeight="1" x14ac:dyDescent="0.25">
      <c r="A633" s="852"/>
      <c r="B633" s="37"/>
      <c r="C633" s="37"/>
      <c r="D633" s="38"/>
      <c r="G633" s="37"/>
    </row>
    <row r="634" spans="1:7" s="79" customFormat="1" ht="15" customHeight="1" x14ac:dyDescent="0.25">
      <c r="A634" s="852"/>
      <c r="B634" s="37"/>
      <c r="C634" s="37"/>
      <c r="D634" s="38"/>
      <c r="G634" s="37"/>
    </row>
    <row r="635" spans="1:7" s="79" customFormat="1" ht="15" customHeight="1" x14ac:dyDescent="0.25">
      <c r="A635" s="852"/>
      <c r="B635" s="37"/>
      <c r="C635" s="37"/>
      <c r="D635" s="38"/>
      <c r="G635" s="37"/>
    </row>
    <row r="636" spans="1:7" s="79" customFormat="1" ht="15" customHeight="1" x14ac:dyDescent="0.25">
      <c r="A636" s="852"/>
      <c r="B636" s="37"/>
      <c r="C636" s="37"/>
      <c r="D636" s="38"/>
      <c r="G636" s="37"/>
    </row>
    <row r="637" spans="1:7" s="79" customFormat="1" ht="15" customHeight="1" x14ac:dyDescent="0.25">
      <c r="A637" s="852"/>
      <c r="B637" s="37"/>
      <c r="C637" s="37"/>
      <c r="D637" s="38"/>
      <c r="G637" s="37"/>
    </row>
    <row r="638" spans="1:7" s="79" customFormat="1" ht="15" customHeight="1" x14ac:dyDescent="0.25">
      <c r="A638" s="852"/>
      <c r="B638" s="37"/>
      <c r="C638" s="37"/>
      <c r="D638" s="38"/>
      <c r="G638" s="37"/>
    </row>
    <row r="639" spans="1:7" s="79" customFormat="1" ht="15" customHeight="1" x14ac:dyDescent="0.25">
      <c r="A639" s="852"/>
      <c r="B639" s="37"/>
      <c r="C639" s="37"/>
      <c r="D639" s="38"/>
      <c r="G639" s="37"/>
    </row>
    <row r="640" spans="1:7" s="79" customFormat="1" ht="15" customHeight="1" x14ac:dyDescent="0.25">
      <c r="A640" s="852"/>
      <c r="B640" s="37"/>
      <c r="C640" s="37"/>
      <c r="D640" s="38"/>
      <c r="G640" s="37"/>
    </row>
    <row r="641" spans="1:7" s="79" customFormat="1" ht="15" customHeight="1" x14ac:dyDescent="0.25">
      <c r="A641" s="852"/>
      <c r="B641" s="37"/>
      <c r="C641" s="37"/>
      <c r="D641" s="38"/>
      <c r="G641" s="37"/>
    </row>
    <row r="642" spans="1:7" s="79" customFormat="1" ht="15" customHeight="1" x14ac:dyDescent="0.25">
      <c r="A642" s="852"/>
      <c r="B642" s="37"/>
      <c r="C642" s="37"/>
      <c r="D642" s="38"/>
      <c r="G642" s="37"/>
    </row>
    <row r="643" spans="1:7" s="79" customFormat="1" ht="15" customHeight="1" x14ac:dyDescent="0.25">
      <c r="A643" s="852"/>
      <c r="B643" s="37"/>
      <c r="C643" s="37"/>
      <c r="D643" s="38"/>
      <c r="G643" s="37"/>
    </row>
    <row r="644" spans="1:7" s="79" customFormat="1" ht="15" customHeight="1" x14ac:dyDescent="0.25">
      <c r="A644" s="852"/>
      <c r="B644" s="37"/>
      <c r="C644" s="37"/>
      <c r="D644" s="38"/>
      <c r="G644" s="37"/>
    </row>
    <row r="645" spans="1:7" s="79" customFormat="1" ht="15" customHeight="1" x14ac:dyDescent="0.25">
      <c r="A645" s="852"/>
      <c r="B645" s="37"/>
      <c r="C645" s="37"/>
      <c r="D645" s="38"/>
      <c r="G645" s="37"/>
    </row>
    <row r="646" spans="1:7" s="79" customFormat="1" ht="15" customHeight="1" x14ac:dyDescent="0.25">
      <c r="A646" s="852"/>
      <c r="B646" s="37"/>
      <c r="C646" s="37"/>
      <c r="D646" s="38"/>
      <c r="G646" s="37"/>
    </row>
    <row r="647" spans="1:7" s="79" customFormat="1" ht="15" customHeight="1" x14ac:dyDescent="0.25">
      <c r="A647" s="852"/>
      <c r="B647" s="37"/>
      <c r="C647" s="37"/>
      <c r="D647" s="38"/>
      <c r="G647" s="37"/>
    </row>
    <row r="648" spans="1:7" s="79" customFormat="1" ht="15" customHeight="1" x14ac:dyDescent="0.25">
      <c r="A648" s="852"/>
      <c r="B648" s="37"/>
      <c r="C648" s="37"/>
      <c r="D648" s="38"/>
      <c r="G648" s="37"/>
    </row>
    <row r="649" spans="1:7" s="79" customFormat="1" ht="15" customHeight="1" x14ac:dyDescent="0.25">
      <c r="A649" s="852"/>
      <c r="B649" s="37"/>
      <c r="C649" s="37"/>
      <c r="D649" s="38"/>
      <c r="G649" s="37"/>
    </row>
    <row r="650" spans="1:7" s="79" customFormat="1" ht="15" customHeight="1" x14ac:dyDescent="0.25">
      <c r="A650" s="852"/>
      <c r="B650" s="37"/>
      <c r="C650" s="37"/>
      <c r="D650" s="38"/>
      <c r="G650" s="37"/>
    </row>
    <row r="651" spans="1:7" s="79" customFormat="1" ht="15" customHeight="1" x14ac:dyDescent="0.25">
      <c r="A651" s="852"/>
      <c r="B651" s="37"/>
      <c r="C651" s="37"/>
      <c r="D651" s="38"/>
      <c r="G651" s="37"/>
    </row>
    <row r="652" spans="1:7" s="79" customFormat="1" ht="15" customHeight="1" x14ac:dyDescent="0.25">
      <c r="A652" s="852"/>
      <c r="B652" s="37"/>
      <c r="C652" s="37"/>
      <c r="D652" s="38"/>
      <c r="G652" s="37"/>
    </row>
    <row r="653" spans="1:7" s="79" customFormat="1" ht="15" customHeight="1" x14ac:dyDescent="0.25">
      <c r="A653" s="852"/>
      <c r="B653" s="37"/>
      <c r="C653" s="37"/>
      <c r="D653" s="38"/>
      <c r="G653" s="37"/>
    </row>
    <row r="654" spans="1:7" s="79" customFormat="1" ht="15" customHeight="1" x14ac:dyDescent="0.25">
      <c r="A654" s="852"/>
      <c r="B654" s="37"/>
      <c r="C654" s="37"/>
      <c r="D654" s="38"/>
      <c r="G654" s="37"/>
    </row>
    <row r="655" spans="1:7" s="79" customFormat="1" ht="15" customHeight="1" x14ac:dyDescent="0.25">
      <c r="A655" s="852"/>
      <c r="B655" s="37"/>
      <c r="C655" s="37"/>
      <c r="D655" s="38"/>
      <c r="G655" s="37"/>
    </row>
    <row r="656" spans="1:7" s="79" customFormat="1" ht="15" customHeight="1" x14ac:dyDescent="0.25">
      <c r="A656" s="852"/>
      <c r="B656" s="37"/>
      <c r="C656" s="37"/>
      <c r="D656" s="38"/>
      <c r="G656" s="37"/>
    </row>
    <row r="657" spans="1:7" s="79" customFormat="1" ht="15" customHeight="1" x14ac:dyDescent="0.25">
      <c r="A657" s="852"/>
      <c r="B657" s="37"/>
      <c r="C657" s="37"/>
      <c r="D657" s="38"/>
      <c r="G657" s="37"/>
    </row>
    <row r="658" spans="1:7" s="79" customFormat="1" ht="15" customHeight="1" x14ac:dyDescent="0.25">
      <c r="A658" s="852"/>
      <c r="B658" s="37"/>
      <c r="C658" s="37"/>
      <c r="D658" s="38"/>
      <c r="G658" s="37"/>
    </row>
    <row r="659" spans="1:7" s="79" customFormat="1" ht="15" customHeight="1" x14ac:dyDescent="0.25">
      <c r="A659" s="852"/>
      <c r="B659" s="37"/>
      <c r="C659" s="37"/>
      <c r="D659" s="38"/>
      <c r="G659" s="37"/>
    </row>
    <row r="660" spans="1:7" s="79" customFormat="1" ht="15" customHeight="1" x14ac:dyDescent="0.25">
      <c r="A660" s="852"/>
      <c r="B660" s="37"/>
      <c r="C660" s="37"/>
      <c r="D660" s="38"/>
      <c r="G660" s="37"/>
    </row>
    <row r="661" spans="1:7" s="79" customFormat="1" ht="15" customHeight="1" x14ac:dyDescent="0.25">
      <c r="A661" s="852"/>
      <c r="B661" s="37"/>
      <c r="C661" s="37"/>
      <c r="D661" s="38"/>
      <c r="G661" s="37"/>
    </row>
    <row r="662" spans="1:7" s="79" customFormat="1" ht="15" customHeight="1" x14ac:dyDescent="0.25">
      <c r="A662" s="852"/>
      <c r="B662" s="37"/>
      <c r="C662" s="37"/>
      <c r="D662" s="38"/>
      <c r="G662" s="37"/>
    </row>
    <row r="663" spans="1:7" s="79" customFormat="1" ht="15" customHeight="1" x14ac:dyDescent="0.25">
      <c r="A663" s="852"/>
      <c r="B663" s="37"/>
      <c r="C663" s="37"/>
      <c r="D663" s="38"/>
      <c r="G663" s="37"/>
    </row>
    <row r="664" spans="1:7" s="79" customFormat="1" ht="15" customHeight="1" x14ac:dyDescent="0.25">
      <c r="A664" s="852"/>
      <c r="B664" s="37"/>
      <c r="C664" s="37"/>
      <c r="D664" s="38"/>
      <c r="G664" s="37"/>
    </row>
    <row r="665" spans="1:7" s="79" customFormat="1" ht="15" customHeight="1" x14ac:dyDescent="0.25">
      <c r="A665" s="852"/>
      <c r="B665" s="37"/>
      <c r="C665" s="37"/>
      <c r="D665" s="38"/>
      <c r="G665" s="37"/>
    </row>
    <row r="666" spans="1:7" s="79" customFormat="1" ht="15" customHeight="1" x14ac:dyDescent="0.25">
      <c r="A666" s="852"/>
      <c r="B666" s="37"/>
      <c r="C666" s="37"/>
      <c r="D666" s="38"/>
      <c r="G666" s="37"/>
    </row>
    <row r="667" spans="1:7" s="79" customFormat="1" ht="15" customHeight="1" x14ac:dyDescent="0.25">
      <c r="A667" s="852"/>
      <c r="B667" s="37"/>
      <c r="C667" s="37"/>
      <c r="D667" s="38"/>
      <c r="G667" s="37"/>
    </row>
    <row r="668" spans="1:7" s="79" customFormat="1" ht="15" customHeight="1" x14ac:dyDescent="0.25">
      <c r="A668" s="852"/>
      <c r="B668" s="37"/>
      <c r="C668" s="37"/>
      <c r="D668" s="38"/>
      <c r="G668" s="37"/>
    </row>
    <row r="669" spans="1:7" s="79" customFormat="1" ht="15" customHeight="1" x14ac:dyDescent="0.25">
      <c r="A669" s="852"/>
      <c r="B669" s="37"/>
      <c r="C669" s="37"/>
      <c r="D669" s="38"/>
      <c r="G669" s="37"/>
    </row>
    <row r="670" spans="1:7" s="79" customFormat="1" ht="15" customHeight="1" x14ac:dyDescent="0.25">
      <c r="A670" s="852"/>
      <c r="B670" s="37"/>
      <c r="C670" s="37"/>
      <c r="D670" s="38"/>
      <c r="G670" s="37"/>
    </row>
    <row r="671" spans="1:7" s="79" customFormat="1" ht="15" customHeight="1" x14ac:dyDescent="0.25">
      <c r="A671" s="852"/>
      <c r="B671" s="37"/>
      <c r="C671" s="37"/>
      <c r="D671" s="38"/>
      <c r="G671" s="37"/>
    </row>
    <row r="672" spans="1:7" s="79" customFormat="1" ht="15" customHeight="1" x14ac:dyDescent="0.25">
      <c r="A672" s="852"/>
      <c r="B672" s="37"/>
      <c r="C672" s="37"/>
      <c r="D672" s="38"/>
      <c r="G672" s="37"/>
    </row>
    <row r="673" spans="1:7" s="79" customFormat="1" ht="15" customHeight="1" x14ac:dyDescent="0.25">
      <c r="A673" s="852"/>
      <c r="B673" s="37"/>
      <c r="C673" s="37"/>
      <c r="D673" s="38"/>
      <c r="G673" s="37"/>
    </row>
    <row r="674" spans="1:7" s="79" customFormat="1" ht="15" customHeight="1" x14ac:dyDescent="0.25">
      <c r="A674" s="852"/>
      <c r="B674" s="37"/>
      <c r="C674" s="37"/>
      <c r="D674" s="38"/>
      <c r="G674" s="37"/>
    </row>
    <row r="675" spans="1:7" s="79" customFormat="1" ht="15" customHeight="1" x14ac:dyDescent="0.25">
      <c r="A675" s="852"/>
      <c r="B675" s="37"/>
      <c r="C675" s="37"/>
      <c r="D675" s="38"/>
      <c r="G675" s="37"/>
    </row>
    <row r="676" spans="1:7" s="79" customFormat="1" ht="15" customHeight="1" x14ac:dyDescent="0.25">
      <c r="A676" s="852"/>
      <c r="B676" s="37"/>
      <c r="C676" s="37"/>
      <c r="D676" s="38"/>
      <c r="G676" s="37"/>
    </row>
    <row r="677" spans="1:7" s="79" customFormat="1" ht="15" customHeight="1" x14ac:dyDescent="0.25">
      <c r="A677" s="852"/>
      <c r="B677" s="37"/>
      <c r="C677" s="37"/>
      <c r="D677" s="38"/>
      <c r="G677" s="37"/>
    </row>
    <row r="678" spans="1:7" s="79" customFormat="1" ht="15" customHeight="1" x14ac:dyDescent="0.25">
      <c r="A678" s="852"/>
      <c r="B678" s="37"/>
      <c r="C678" s="37"/>
      <c r="D678" s="38"/>
      <c r="G678" s="37"/>
    </row>
    <row r="679" spans="1:7" s="79" customFormat="1" ht="15" customHeight="1" x14ac:dyDescent="0.25">
      <c r="A679" s="852"/>
      <c r="B679" s="37"/>
      <c r="C679" s="37"/>
      <c r="D679" s="38"/>
      <c r="G679" s="37"/>
    </row>
    <row r="680" spans="1:7" s="79" customFormat="1" ht="15" customHeight="1" x14ac:dyDescent="0.25">
      <c r="A680" s="852"/>
      <c r="B680" s="37"/>
      <c r="C680" s="37"/>
      <c r="D680" s="38"/>
      <c r="G680" s="37"/>
    </row>
    <row r="681" spans="1:7" s="79" customFormat="1" ht="15" customHeight="1" x14ac:dyDescent="0.25">
      <c r="A681" s="852"/>
      <c r="B681" s="37"/>
      <c r="C681" s="37"/>
      <c r="D681" s="38"/>
      <c r="G681" s="37"/>
    </row>
    <row r="682" spans="1:7" s="79" customFormat="1" ht="15" customHeight="1" x14ac:dyDescent="0.25">
      <c r="A682" s="852"/>
      <c r="B682" s="37"/>
      <c r="C682" s="37"/>
      <c r="D682" s="38"/>
      <c r="G682" s="37"/>
    </row>
    <row r="683" spans="1:7" s="79" customFormat="1" ht="15" customHeight="1" x14ac:dyDescent="0.25">
      <c r="A683" s="852"/>
      <c r="B683" s="37"/>
      <c r="C683" s="37"/>
      <c r="D683" s="38"/>
      <c r="G683" s="37"/>
    </row>
    <row r="684" spans="1:7" s="79" customFormat="1" ht="15" customHeight="1" x14ac:dyDescent="0.25">
      <c r="A684" s="852"/>
      <c r="B684" s="37"/>
      <c r="C684" s="37"/>
      <c r="D684" s="38"/>
      <c r="G684" s="37"/>
    </row>
    <row r="685" spans="1:7" s="79" customFormat="1" ht="15" customHeight="1" x14ac:dyDescent="0.25">
      <c r="A685" s="852"/>
      <c r="B685" s="37"/>
      <c r="C685" s="37"/>
      <c r="D685" s="38"/>
      <c r="G685" s="37"/>
    </row>
    <row r="686" spans="1:7" s="79" customFormat="1" ht="15" customHeight="1" x14ac:dyDescent="0.25">
      <c r="A686" s="852"/>
      <c r="B686" s="37"/>
      <c r="C686" s="37"/>
      <c r="D686" s="38"/>
      <c r="G686" s="37"/>
    </row>
    <row r="687" spans="1:7" s="79" customFormat="1" ht="15" customHeight="1" x14ac:dyDescent="0.25">
      <c r="A687" s="852"/>
      <c r="B687" s="37"/>
      <c r="C687" s="37"/>
      <c r="D687" s="38"/>
      <c r="G687" s="37"/>
    </row>
    <row r="688" spans="1:7" s="79" customFormat="1" ht="15" customHeight="1" x14ac:dyDescent="0.25">
      <c r="A688" s="852"/>
      <c r="B688" s="37"/>
      <c r="C688" s="37"/>
      <c r="D688" s="38"/>
      <c r="G688" s="37"/>
    </row>
    <row r="689" spans="1:7" s="79" customFormat="1" ht="15" customHeight="1" x14ac:dyDescent="0.25">
      <c r="A689" s="852"/>
      <c r="B689" s="37"/>
      <c r="C689" s="37"/>
      <c r="D689" s="38"/>
      <c r="G689" s="37"/>
    </row>
    <row r="690" spans="1:7" s="79" customFormat="1" ht="15" customHeight="1" x14ac:dyDescent="0.25">
      <c r="A690" s="852"/>
      <c r="B690" s="37"/>
      <c r="C690" s="37"/>
      <c r="D690" s="38"/>
      <c r="G690" s="37"/>
    </row>
    <row r="691" spans="1:7" s="79" customFormat="1" ht="15" customHeight="1" x14ac:dyDescent="0.25">
      <c r="A691" s="852"/>
      <c r="B691" s="37"/>
      <c r="C691" s="37"/>
      <c r="D691" s="38"/>
      <c r="G691" s="37"/>
    </row>
    <row r="692" spans="1:7" s="79" customFormat="1" ht="15" customHeight="1" x14ac:dyDescent="0.25">
      <c r="A692" s="852"/>
      <c r="B692" s="37"/>
      <c r="C692" s="37"/>
      <c r="D692" s="38"/>
      <c r="G692" s="37"/>
    </row>
    <row r="693" spans="1:7" s="79" customFormat="1" ht="15" customHeight="1" x14ac:dyDescent="0.25">
      <c r="A693" s="852"/>
      <c r="B693" s="37"/>
      <c r="C693" s="37"/>
      <c r="D693" s="38"/>
      <c r="G693" s="37"/>
    </row>
    <row r="694" spans="1:7" s="79" customFormat="1" ht="15" customHeight="1" x14ac:dyDescent="0.25">
      <c r="A694" s="852"/>
      <c r="B694" s="37"/>
      <c r="C694" s="37"/>
      <c r="D694" s="38"/>
      <c r="G694" s="37"/>
    </row>
    <row r="695" spans="1:7" s="79" customFormat="1" ht="15" customHeight="1" x14ac:dyDescent="0.25">
      <c r="A695" s="852"/>
      <c r="B695" s="37"/>
      <c r="C695" s="37"/>
      <c r="D695" s="38"/>
      <c r="G695" s="37"/>
    </row>
    <row r="696" spans="1:7" s="79" customFormat="1" ht="15" customHeight="1" x14ac:dyDescent="0.25">
      <c r="A696" s="852"/>
      <c r="B696" s="37"/>
      <c r="C696" s="37"/>
      <c r="D696" s="38"/>
      <c r="G696" s="37"/>
    </row>
    <row r="697" spans="1:7" s="79" customFormat="1" ht="15" customHeight="1" x14ac:dyDescent="0.25">
      <c r="A697" s="852"/>
      <c r="B697" s="37"/>
      <c r="C697" s="37"/>
      <c r="D697" s="38"/>
      <c r="G697" s="37"/>
    </row>
    <row r="698" spans="1:7" s="79" customFormat="1" ht="15" customHeight="1" x14ac:dyDescent="0.25">
      <c r="A698" s="852"/>
      <c r="B698" s="37"/>
      <c r="C698" s="37"/>
      <c r="D698" s="38"/>
      <c r="G698" s="37"/>
    </row>
    <row r="699" spans="1:7" s="79" customFormat="1" ht="15" customHeight="1" x14ac:dyDescent="0.25">
      <c r="A699" s="852"/>
      <c r="B699" s="37"/>
      <c r="C699" s="37"/>
      <c r="D699" s="38"/>
      <c r="G699" s="37"/>
    </row>
    <row r="700" spans="1:7" s="79" customFormat="1" ht="15" customHeight="1" x14ac:dyDescent="0.25">
      <c r="A700" s="852"/>
      <c r="B700" s="37"/>
      <c r="C700" s="37"/>
      <c r="D700" s="38"/>
      <c r="G700" s="37"/>
    </row>
    <row r="701" spans="1:7" s="79" customFormat="1" ht="15" customHeight="1" x14ac:dyDescent="0.25">
      <c r="A701" s="852"/>
      <c r="B701" s="37"/>
      <c r="C701" s="37"/>
      <c r="D701" s="38"/>
      <c r="G701" s="37"/>
    </row>
    <row r="702" spans="1:7" s="79" customFormat="1" ht="15" customHeight="1" x14ac:dyDescent="0.25">
      <c r="A702" s="852"/>
      <c r="B702" s="37"/>
      <c r="C702" s="37"/>
      <c r="D702" s="38"/>
      <c r="G702" s="37"/>
    </row>
    <row r="703" spans="1:7" s="79" customFormat="1" ht="15" customHeight="1" x14ac:dyDescent="0.25">
      <c r="A703" s="852"/>
      <c r="B703" s="37"/>
      <c r="C703" s="37"/>
      <c r="D703" s="38"/>
      <c r="G703" s="37"/>
    </row>
    <row r="704" spans="1:7" s="79" customFormat="1" ht="15" customHeight="1" x14ac:dyDescent="0.25">
      <c r="A704" s="852"/>
      <c r="B704" s="37"/>
      <c r="C704" s="37"/>
      <c r="D704" s="38"/>
      <c r="G704" s="37"/>
    </row>
    <row r="705" spans="1:7" s="79" customFormat="1" ht="15" customHeight="1" x14ac:dyDescent="0.25">
      <c r="A705" s="852"/>
      <c r="B705" s="37"/>
      <c r="C705" s="37"/>
      <c r="D705" s="38"/>
      <c r="G705" s="37"/>
    </row>
    <row r="706" spans="1:7" s="79" customFormat="1" ht="15" customHeight="1" x14ac:dyDescent="0.25">
      <c r="A706" s="852"/>
      <c r="B706" s="37"/>
      <c r="C706" s="37"/>
      <c r="D706" s="38"/>
      <c r="G706" s="37"/>
    </row>
    <row r="707" spans="1:7" s="79" customFormat="1" ht="15" customHeight="1" x14ac:dyDescent="0.25">
      <c r="A707" s="852"/>
      <c r="B707" s="37"/>
      <c r="C707" s="37"/>
      <c r="D707" s="38"/>
      <c r="G707" s="37"/>
    </row>
    <row r="708" spans="1:7" s="79" customFormat="1" ht="15" customHeight="1" x14ac:dyDescent="0.25">
      <c r="A708" s="852"/>
      <c r="B708" s="37"/>
      <c r="C708" s="37"/>
      <c r="D708" s="38"/>
      <c r="G708" s="37"/>
    </row>
    <row r="709" spans="1:7" s="79" customFormat="1" ht="15" customHeight="1" x14ac:dyDescent="0.25">
      <c r="A709" s="852"/>
      <c r="B709" s="37"/>
      <c r="C709" s="37"/>
      <c r="D709" s="38"/>
      <c r="G709" s="37"/>
    </row>
    <row r="710" spans="1:7" s="79" customFormat="1" ht="15" customHeight="1" x14ac:dyDescent="0.25">
      <c r="A710" s="852"/>
      <c r="B710" s="37"/>
      <c r="C710" s="37"/>
      <c r="D710" s="38"/>
      <c r="G710" s="37"/>
    </row>
    <row r="711" spans="1:7" s="79" customFormat="1" ht="15" customHeight="1" x14ac:dyDescent="0.25">
      <c r="A711" s="852"/>
      <c r="B711" s="37"/>
      <c r="C711" s="37"/>
      <c r="D711" s="38"/>
      <c r="G711" s="37"/>
    </row>
    <row r="712" spans="1:7" s="79" customFormat="1" ht="15" customHeight="1" x14ac:dyDescent="0.25">
      <c r="A712" s="852"/>
      <c r="B712" s="37"/>
      <c r="C712" s="37"/>
      <c r="D712" s="38"/>
      <c r="G712" s="37"/>
    </row>
    <row r="713" spans="1:7" s="79" customFormat="1" ht="15" customHeight="1" x14ac:dyDescent="0.25">
      <c r="A713" s="852"/>
      <c r="B713" s="37"/>
      <c r="C713" s="37"/>
      <c r="D713" s="38"/>
      <c r="G713" s="37"/>
    </row>
    <row r="714" spans="1:7" s="79" customFormat="1" ht="15" customHeight="1" x14ac:dyDescent="0.25">
      <c r="A714" s="852"/>
      <c r="B714" s="37"/>
      <c r="C714" s="37"/>
      <c r="D714" s="38"/>
      <c r="G714" s="37"/>
    </row>
    <row r="715" spans="1:7" s="79" customFormat="1" ht="15" customHeight="1" x14ac:dyDescent="0.25">
      <c r="A715" s="852"/>
      <c r="B715" s="37"/>
      <c r="C715" s="37"/>
      <c r="D715" s="38"/>
      <c r="G715" s="37"/>
    </row>
    <row r="716" spans="1:7" s="79" customFormat="1" ht="15" customHeight="1" x14ac:dyDescent="0.25">
      <c r="A716" s="852"/>
      <c r="B716" s="37"/>
      <c r="C716" s="37"/>
      <c r="D716" s="38"/>
      <c r="G716" s="37"/>
    </row>
    <row r="717" spans="1:7" s="79" customFormat="1" ht="15" customHeight="1" x14ac:dyDescent="0.25">
      <c r="A717" s="852"/>
      <c r="B717" s="37"/>
      <c r="C717" s="37"/>
      <c r="D717" s="38"/>
      <c r="G717" s="37"/>
    </row>
    <row r="718" spans="1:7" s="79" customFormat="1" ht="15" customHeight="1" x14ac:dyDescent="0.25">
      <c r="A718" s="852"/>
      <c r="B718" s="37"/>
      <c r="C718" s="37"/>
      <c r="D718" s="38"/>
      <c r="G718" s="37"/>
    </row>
    <row r="719" spans="1:7" s="79" customFormat="1" ht="15" customHeight="1" x14ac:dyDescent="0.25">
      <c r="A719" s="852"/>
      <c r="B719" s="37"/>
      <c r="C719" s="37"/>
      <c r="D719" s="38"/>
      <c r="G719" s="37"/>
    </row>
    <row r="720" spans="1:7" s="79" customFormat="1" ht="15" customHeight="1" x14ac:dyDescent="0.25">
      <c r="A720" s="852"/>
      <c r="B720" s="37"/>
      <c r="C720" s="37"/>
      <c r="D720" s="38"/>
      <c r="G720" s="37"/>
    </row>
    <row r="721" spans="1:7" s="79" customFormat="1" ht="15" customHeight="1" x14ac:dyDescent="0.25">
      <c r="A721" s="852"/>
      <c r="B721" s="37"/>
      <c r="C721" s="37"/>
      <c r="D721" s="38"/>
      <c r="G721" s="37"/>
    </row>
    <row r="722" spans="1:7" s="79" customFormat="1" ht="15" customHeight="1" x14ac:dyDescent="0.25">
      <c r="A722" s="852"/>
      <c r="B722" s="37"/>
      <c r="C722" s="37"/>
      <c r="D722" s="38"/>
      <c r="G722" s="37"/>
    </row>
    <row r="723" spans="1:7" s="79" customFormat="1" ht="15" customHeight="1" x14ac:dyDescent="0.25">
      <c r="A723" s="852"/>
      <c r="B723" s="37"/>
      <c r="C723" s="37"/>
      <c r="D723" s="38"/>
      <c r="G723" s="37"/>
    </row>
    <row r="724" spans="1:7" s="79" customFormat="1" ht="15" customHeight="1" x14ac:dyDescent="0.25">
      <c r="A724" s="852"/>
      <c r="B724" s="37"/>
      <c r="C724" s="37"/>
      <c r="D724" s="38"/>
      <c r="G724" s="37"/>
    </row>
    <row r="725" spans="1:7" s="79" customFormat="1" ht="15" customHeight="1" x14ac:dyDescent="0.25">
      <c r="A725" s="852"/>
      <c r="B725" s="37"/>
      <c r="C725" s="37"/>
      <c r="D725" s="38"/>
      <c r="G725" s="37"/>
    </row>
    <row r="726" spans="1:7" s="79" customFormat="1" ht="15" customHeight="1" x14ac:dyDescent="0.25">
      <c r="A726" s="852"/>
      <c r="B726" s="37"/>
      <c r="C726" s="37"/>
      <c r="D726" s="38"/>
      <c r="G726" s="37"/>
    </row>
    <row r="727" spans="1:7" s="79" customFormat="1" ht="15" customHeight="1" x14ac:dyDescent="0.25">
      <c r="A727" s="852"/>
      <c r="B727" s="37"/>
      <c r="C727" s="37"/>
      <c r="D727" s="38"/>
      <c r="G727" s="37"/>
    </row>
    <row r="728" spans="1:7" s="79" customFormat="1" ht="15" customHeight="1" x14ac:dyDescent="0.25">
      <c r="A728" s="852"/>
      <c r="B728" s="37"/>
      <c r="C728" s="37"/>
      <c r="D728" s="38"/>
      <c r="G728" s="37"/>
    </row>
    <row r="729" spans="1:7" s="79" customFormat="1" ht="15" customHeight="1" x14ac:dyDescent="0.25">
      <c r="A729" s="852"/>
      <c r="B729" s="37"/>
      <c r="C729" s="37"/>
      <c r="D729" s="38"/>
      <c r="G729" s="37"/>
    </row>
    <row r="730" spans="1:7" s="79" customFormat="1" ht="15" customHeight="1" x14ac:dyDescent="0.25">
      <c r="A730" s="852"/>
      <c r="B730" s="37"/>
      <c r="C730" s="37"/>
      <c r="D730" s="38"/>
      <c r="G730" s="37"/>
    </row>
    <row r="731" spans="1:7" s="79" customFormat="1" ht="15" customHeight="1" x14ac:dyDescent="0.25">
      <c r="A731" s="852"/>
      <c r="B731" s="37"/>
      <c r="C731" s="37"/>
      <c r="D731" s="38"/>
      <c r="G731" s="37"/>
    </row>
    <row r="732" spans="1:7" s="79" customFormat="1" ht="15" customHeight="1" x14ac:dyDescent="0.25">
      <c r="A732" s="852"/>
      <c r="B732" s="37"/>
      <c r="C732" s="37"/>
      <c r="D732" s="38"/>
      <c r="G732" s="37"/>
    </row>
    <row r="733" spans="1:7" s="79" customFormat="1" ht="15" customHeight="1" x14ac:dyDescent="0.25">
      <c r="A733" s="852"/>
      <c r="B733" s="37"/>
      <c r="C733" s="37"/>
      <c r="D733" s="38"/>
      <c r="G733" s="37"/>
    </row>
    <row r="734" spans="1:7" s="79" customFormat="1" ht="15" customHeight="1" x14ac:dyDescent="0.25">
      <c r="A734" s="852"/>
      <c r="B734" s="37"/>
      <c r="C734" s="37"/>
      <c r="D734" s="38"/>
      <c r="G734" s="37"/>
    </row>
    <row r="735" spans="1:7" s="79" customFormat="1" ht="15" customHeight="1" x14ac:dyDescent="0.25">
      <c r="A735" s="852"/>
      <c r="B735" s="37"/>
      <c r="C735" s="37"/>
      <c r="D735" s="38"/>
      <c r="G735" s="37"/>
    </row>
    <row r="736" spans="1:7" s="79" customFormat="1" ht="15" customHeight="1" x14ac:dyDescent="0.25">
      <c r="A736" s="852"/>
      <c r="B736" s="37"/>
      <c r="C736" s="37"/>
      <c r="D736" s="38"/>
      <c r="G736" s="37"/>
    </row>
    <row r="737" spans="1:7" s="79" customFormat="1" ht="15" customHeight="1" x14ac:dyDescent="0.25">
      <c r="A737" s="852"/>
      <c r="B737" s="37"/>
      <c r="C737" s="37"/>
      <c r="D737" s="38"/>
      <c r="G737" s="37"/>
    </row>
    <row r="738" spans="1:7" s="79" customFormat="1" ht="15" customHeight="1" x14ac:dyDescent="0.25">
      <c r="A738" s="852"/>
      <c r="B738" s="37"/>
      <c r="C738" s="37"/>
      <c r="D738" s="38"/>
      <c r="G738" s="37"/>
    </row>
    <row r="739" spans="1:7" s="79" customFormat="1" ht="15" customHeight="1" x14ac:dyDescent="0.25">
      <c r="A739" s="852"/>
      <c r="B739" s="37"/>
      <c r="C739" s="37"/>
      <c r="D739" s="38"/>
      <c r="G739" s="37"/>
    </row>
    <row r="740" spans="1:7" s="79" customFormat="1" ht="15" customHeight="1" x14ac:dyDescent="0.25">
      <c r="A740" s="852"/>
      <c r="B740" s="37"/>
      <c r="C740" s="37"/>
      <c r="D740" s="38"/>
      <c r="G740" s="37"/>
    </row>
    <row r="741" spans="1:7" s="79" customFormat="1" ht="15" customHeight="1" x14ac:dyDescent="0.25">
      <c r="A741" s="852"/>
      <c r="B741" s="37"/>
      <c r="C741" s="37"/>
      <c r="D741" s="38"/>
      <c r="G741" s="37"/>
    </row>
    <row r="742" spans="1:7" s="79" customFormat="1" ht="15" customHeight="1" x14ac:dyDescent="0.25">
      <c r="A742" s="852"/>
      <c r="B742" s="37"/>
      <c r="C742" s="37"/>
      <c r="D742" s="38"/>
      <c r="G742" s="37"/>
    </row>
    <row r="743" spans="1:7" s="79" customFormat="1" ht="15" customHeight="1" x14ac:dyDescent="0.25">
      <c r="A743" s="852"/>
      <c r="B743" s="37"/>
      <c r="C743" s="37"/>
      <c r="D743" s="38"/>
      <c r="G743" s="37"/>
    </row>
    <row r="744" spans="1:7" s="79" customFormat="1" ht="15" customHeight="1" x14ac:dyDescent="0.25">
      <c r="A744" s="852"/>
      <c r="B744" s="37"/>
      <c r="C744" s="37"/>
      <c r="D744" s="38"/>
      <c r="G744" s="37"/>
    </row>
    <row r="745" spans="1:7" s="79" customFormat="1" ht="15" customHeight="1" x14ac:dyDescent="0.25">
      <c r="A745" s="852"/>
      <c r="B745" s="37"/>
      <c r="C745" s="37"/>
      <c r="D745" s="38"/>
      <c r="G745" s="37"/>
    </row>
    <row r="746" spans="1:7" s="79" customFormat="1" ht="15" customHeight="1" x14ac:dyDescent="0.25">
      <c r="A746" s="852"/>
      <c r="B746" s="37"/>
      <c r="C746" s="37"/>
      <c r="D746" s="38"/>
      <c r="G746" s="37"/>
    </row>
    <row r="747" spans="1:7" s="79" customFormat="1" ht="15" customHeight="1" x14ac:dyDescent="0.25">
      <c r="A747" s="852"/>
      <c r="B747" s="37"/>
      <c r="C747" s="37"/>
      <c r="D747" s="38"/>
      <c r="G747" s="37"/>
    </row>
    <row r="748" spans="1:7" s="79" customFormat="1" ht="15" customHeight="1" x14ac:dyDescent="0.25">
      <c r="A748" s="852"/>
      <c r="B748" s="37"/>
      <c r="C748" s="37"/>
      <c r="D748" s="38"/>
      <c r="G748" s="37"/>
    </row>
    <row r="749" spans="1:7" s="79" customFormat="1" ht="15" customHeight="1" x14ac:dyDescent="0.25">
      <c r="A749" s="852"/>
      <c r="B749" s="37"/>
      <c r="C749" s="37"/>
      <c r="D749" s="38"/>
      <c r="G749" s="37"/>
    </row>
    <row r="750" spans="1:7" s="79" customFormat="1" ht="15" customHeight="1" x14ac:dyDescent="0.25">
      <c r="A750" s="852"/>
      <c r="B750" s="37"/>
      <c r="C750" s="37"/>
      <c r="D750" s="38"/>
      <c r="G750" s="37"/>
    </row>
    <row r="751" spans="1:7" s="79" customFormat="1" ht="15" customHeight="1" x14ac:dyDescent="0.25">
      <c r="A751" s="852"/>
      <c r="B751" s="37"/>
      <c r="C751" s="37"/>
      <c r="D751" s="38"/>
      <c r="G751" s="37"/>
    </row>
    <row r="752" spans="1:7" s="79" customFormat="1" ht="15" customHeight="1" x14ac:dyDescent="0.25">
      <c r="A752" s="852"/>
      <c r="B752" s="37"/>
      <c r="C752" s="37"/>
      <c r="D752" s="38"/>
      <c r="G752" s="37"/>
    </row>
    <row r="753" spans="1:7" s="79" customFormat="1" ht="15" customHeight="1" x14ac:dyDescent="0.25">
      <c r="A753" s="852"/>
      <c r="B753" s="37"/>
      <c r="C753" s="37"/>
      <c r="D753" s="38"/>
      <c r="G753" s="37"/>
    </row>
    <row r="754" spans="1:7" s="79" customFormat="1" ht="15" customHeight="1" x14ac:dyDescent="0.25">
      <c r="A754" s="852"/>
      <c r="B754" s="37"/>
      <c r="C754" s="37"/>
      <c r="D754" s="38"/>
      <c r="G754" s="37"/>
    </row>
    <row r="755" spans="1:7" s="79" customFormat="1" ht="15" customHeight="1" x14ac:dyDescent="0.25">
      <c r="A755" s="852"/>
      <c r="B755" s="37"/>
      <c r="C755" s="37"/>
      <c r="D755" s="38"/>
      <c r="G755" s="37"/>
    </row>
    <row r="756" spans="1:7" s="79" customFormat="1" ht="15" customHeight="1" x14ac:dyDescent="0.25">
      <c r="A756" s="852"/>
      <c r="B756" s="37"/>
      <c r="C756" s="37"/>
      <c r="D756" s="38"/>
      <c r="G756" s="37"/>
    </row>
    <row r="757" spans="1:7" s="79" customFormat="1" ht="15" customHeight="1" x14ac:dyDescent="0.25">
      <c r="A757" s="852"/>
      <c r="B757" s="37"/>
      <c r="C757" s="37"/>
      <c r="D757" s="38"/>
      <c r="G757" s="37"/>
    </row>
    <row r="758" spans="1:7" s="79" customFormat="1" ht="15" customHeight="1" x14ac:dyDescent="0.25">
      <c r="A758" s="852"/>
      <c r="B758" s="37"/>
      <c r="C758" s="37"/>
      <c r="D758" s="38"/>
      <c r="G758" s="37"/>
    </row>
    <row r="759" spans="1:7" s="79" customFormat="1" ht="15" customHeight="1" x14ac:dyDescent="0.25">
      <c r="A759" s="852"/>
      <c r="B759" s="37"/>
      <c r="C759" s="37"/>
      <c r="D759" s="38"/>
      <c r="G759" s="37"/>
    </row>
    <row r="760" spans="1:7" s="79" customFormat="1" ht="15" customHeight="1" x14ac:dyDescent="0.25">
      <c r="A760" s="852"/>
      <c r="B760" s="37"/>
      <c r="C760" s="37"/>
      <c r="D760" s="38"/>
      <c r="G760" s="37"/>
    </row>
    <row r="761" spans="1:7" s="79" customFormat="1" ht="15" customHeight="1" x14ac:dyDescent="0.25">
      <c r="A761" s="852"/>
      <c r="B761" s="37"/>
      <c r="C761" s="37"/>
      <c r="D761" s="38"/>
      <c r="G761" s="37"/>
    </row>
    <row r="762" spans="1:7" s="79" customFormat="1" ht="15" customHeight="1" x14ac:dyDescent="0.25">
      <c r="A762" s="852"/>
      <c r="B762" s="37"/>
      <c r="C762" s="37"/>
      <c r="D762" s="38"/>
      <c r="G762" s="37"/>
    </row>
    <row r="763" spans="1:7" s="79" customFormat="1" ht="15" customHeight="1" x14ac:dyDescent="0.25">
      <c r="A763" s="852"/>
      <c r="B763" s="37"/>
      <c r="C763" s="37"/>
      <c r="D763" s="38"/>
      <c r="G763" s="37"/>
    </row>
    <row r="764" spans="1:7" s="79" customFormat="1" ht="15" customHeight="1" x14ac:dyDescent="0.25">
      <c r="A764" s="852"/>
      <c r="B764" s="37"/>
      <c r="C764" s="37"/>
      <c r="D764" s="38"/>
      <c r="G764" s="37"/>
    </row>
    <row r="765" spans="1:7" s="79" customFormat="1" ht="15" customHeight="1" x14ac:dyDescent="0.25">
      <c r="A765" s="852"/>
      <c r="B765" s="37"/>
      <c r="C765" s="37"/>
      <c r="D765" s="38"/>
      <c r="G765" s="37"/>
    </row>
    <row r="766" spans="1:7" s="79" customFormat="1" ht="15" customHeight="1" x14ac:dyDescent="0.25">
      <c r="A766" s="852"/>
      <c r="B766" s="37"/>
      <c r="C766" s="37"/>
      <c r="D766" s="38"/>
      <c r="G766" s="37"/>
    </row>
    <row r="767" spans="1:7" s="79" customFormat="1" ht="15" customHeight="1" x14ac:dyDescent="0.25">
      <c r="A767" s="852"/>
      <c r="B767" s="37"/>
      <c r="C767" s="37"/>
      <c r="D767" s="38"/>
      <c r="G767" s="37"/>
    </row>
    <row r="768" spans="1:7" s="79" customFormat="1" ht="15" customHeight="1" x14ac:dyDescent="0.25">
      <c r="A768" s="852"/>
      <c r="B768" s="37"/>
      <c r="C768" s="37"/>
      <c r="D768" s="38"/>
      <c r="G768" s="37"/>
    </row>
    <row r="769" spans="1:7" s="79" customFormat="1" ht="15" customHeight="1" x14ac:dyDescent="0.25">
      <c r="A769" s="852"/>
      <c r="B769" s="37"/>
      <c r="C769" s="37"/>
      <c r="D769" s="38"/>
      <c r="G769" s="37"/>
    </row>
    <row r="770" spans="1:7" s="79" customFormat="1" ht="15" customHeight="1" x14ac:dyDescent="0.25">
      <c r="A770" s="852"/>
      <c r="B770" s="37"/>
      <c r="C770" s="37"/>
      <c r="D770" s="38"/>
      <c r="G770" s="37"/>
    </row>
    <row r="771" spans="1:7" s="79" customFormat="1" ht="15" customHeight="1" x14ac:dyDescent="0.25">
      <c r="A771" s="852"/>
      <c r="B771" s="37"/>
      <c r="C771" s="37"/>
      <c r="D771" s="38"/>
      <c r="G771" s="37"/>
    </row>
    <row r="772" spans="1:7" s="79" customFormat="1" ht="15" customHeight="1" x14ac:dyDescent="0.25">
      <c r="A772" s="852"/>
      <c r="B772" s="37"/>
      <c r="C772" s="37"/>
      <c r="D772" s="38"/>
      <c r="G772" s="37"/>
    </row>
    <row r="773" spans="1:7" s="79" customFormat="1" ht="15" customHeight="1" x14ac:dyDescent="0.25">
      <c r="A773" s="852"/>
      <c r="B773" s="37"/>
      <c r="C773" s="37"/>
      <c r="D773" s="38"/>
      <c r="G773" s="37"/>
    </row>
    <row r="774" spans="1:7" s="79" customFormat="1" ht="15" customHeight="1" x14ac:dyDescent="0.25">
      <c r="A774" s="852"/>
      <c r="B774" s="37"/>
      <c r="C774" s="37"/>
      <c r="D774" s="38"/>
      <c r="G774" s="37"/>
    </row>
    <row r="775" spans="1:7" s="79" customFormat="1" ht="15" customHeight="1" x14ac:dyDescent="0.25">
      <c r="A775" s="852"/>
      <c r="B775" s="37"/>
      <c r="C775" s="37"/>
      <c r="D775" s="38"/>
      <c r="G775" s="37"/>
    </row>
    <row r="776" spans="1:7" s="79" customFormat="1" ht="15" customHeight="1" x14ac:dyDescent="0.25">
      <c r="A776" s="852"/>
      <c r="B776" s="37"/>
      <c r="C776" s="37"/>
      <c r="D776" s="38"/>
      <c r="G776" s="37"/>
    </row>
    <row r="777" spans="1:7" s="79" customFormat="1" ht="15" customHeight="1" x14ac:dyDescent="0.25">
      <c r="A777" s="852"/>
      <c r="B777" s="37"/>
      <c r="C777" s="37"/>
      <c r="D777" s="38"/>
      <c r="G777" s="37"/>
    </row>
    <row r="778" spans="1:7" s="79" customFormat="1" ht="15" customHeight="1" x14ac:dyDescent="0.25">
      <c r="A778" s="852"/>
      <c r="B778" s="37"/>
      <c r="C778" s="37"/>
      <c r="D778" s="38"/>
      <c r="G778" s="37"/>
    </row>
    <row r="779" spans="1:7" s="79" customFormat="1" ht="15" customHeight="1" x14ac:dyDescent="0.25">
      <c r="A779" s="852"/>
      <c r="B779" s="37"/>
      <c r="C779" s="37"/>
      <c r="D779" s="38"/>
      <c r="G779" s="37"/>
    </row>
    <row r="780" spans="1:7" s="79" customFormat="1" ht="15" customHeight="1" x14ac:dyDescent="0.25">
      <c r="A780" s="852"/>
      <c r="B780" s="37"/>
      <c r="C780" s="37"/>
      <c r="D780" s="38"/>
      <c r="G780" s="37"/>
    </row>
    <row r="781" spans="1:7" s="79" customFormat="1" ht="15" customHeight="1" x14ac:dyDescent="0.25">
      <c r="A781" s="852"/>
      <c r="B781" s="37"/>
      <c r="C781" s="37"/>
      <c r="D781" s="38"/>
      <c r="G781" s="37"/>
    </row>
    <row r="782" spans="1:7" s="79" customFormat="1" ht="15" customHeight="1" x14ac:dyDescent="0.25">
      <c r="A782" s="852"/>
      <c r="B782" s="37"/>
      <c r="C782" s="37"/>
      <c r="D782" s="38"/>
      <c r="G782" s="37"/>
    </row>
    <row r="783" spans="1:7" s="79" customFormat="1" ht="15" customHeight="1" x14ac:dyDescent="0.25">
      <c r="A783" s="852"/>
      <c r="B783" s="37"/>
      <c r="C783" s="37"/>
      <c r="D783" s="38"/>
      <c r="G783" s="37"/>
    </row>
    <row r="784" spans="1:7" s="79" customFormat="1" ht="15" customHeight="1" x14ac:dyDescent="0.25">
      <c r="A784" s="852"/>
      <c r="B784" s="37"/>
      <c r="C784" s="37"/>
      <c r="D784" s="38"/>
      <c r="G784" s="37"/>
    </row>
    <row r="785" spans="1:7" s="79" customFormat="1" ht="15" customHeight="1" x14ac:dyDescent="0.25">
      <c r="A785" s="852"/>
      <c r="B785" s="37"/>
      <c r="C785" s="37"/>
      <c r="D785" s="38"/>
      <c r="G785" s="37"/>
    </row>
    <row r="786" spans="1:7" s="79" customFormat="1" ht="15" customHeight="1" x14ac:dyDescent="0.25">
      <c r="A786" s="852"/>
      <c r="B786" s="37"/>
      <c r="C786" s="37"/>
      <c r="D786" s="38"/>
      <c r="G786" s="37"/>
    </row>
    <row r="787" spans="1:7" s="79" customFormat="1" ht="15" customHeight="1" x14ac:dyDescent="0.25">
      <c r="A787" s="852"/>
      <c r="B787" s="37"/>
      <c r="C787" s="37"/>
      <c r="D787" s="38"/>
      <c r="G787" s="37"/>
    </row>
    <row r="788" spans="1:7" s="79" customFormat="1" ht="15" customHeight="1" x14ac:dyDescent="0.25">
      <c r="A788" s="852"/>
      <c r="B788" s="37"/>
      <c r="C788" s="37"/>
      <c r="D788" s="38"/>
      <c r="G788" s="37"/>
    </row>
    <row r="789" spans="1:7" s="79" customFormat="1" ht="15" customHeight="1" x14ac:dyDescent="0.25">
      <c r="A789" s="852"/>
      <c r="B789" s="37"/>
      <c r="C789" s="37"/>
      <c r="D789" s="38"/>
      <c r="G789" s="37"/>
    </row>
    <row r="790" spans="1:7" s="79" customFormat="1" ht="15" customHeight="1" x14ac:dyDescent="0.25">
      <c r="A790" s="852"/>
      <c r="B790" s="37"/>
      <c r="C790" s="37"/>
      <c r="D790" s="38"/>
      <c r="G790" s="37"/>
    </row>
    <row r="791" spans="1:7" s="79" customFormat="1" ht="15" customHeight="1" x14ac:dyDescent="0.25">
      <c r="A791" s="852"/>
      <c r="B791" s="37"/>
      <c r="C791" s="37"/>
      <c r="D791" s="38"/>
      <c r="G791" s="37"/>
    </row>
    <row r="792" spans="1:7" s="79" customFormat="1" ht="15" customHeight="1" x14ac:dyDescent="0.25">
      <c r="A792" s="852"/>
      <c r="B792" s="37"/>
      <c r="C792" s="37"/>
      <c r="D792" s="38"/>
      <c r="G792" s="37"/>
    </row>
    <row r="793" spans="1:7" s="79" customFormat="1" ht="15" customHeight="1" x14ac:dyDescent="0.25">
      <c r="A793" s="852"/>
      <c r="B793" s="37"/>
      <c r="C793" s="37"/>
      <c r="D793" s="38"/>
      <c r="G793" s="37"/>
    </row>
    <row r="794" spans="1:7" s="79" customFormat="1" ht="15" customHeight="1" x14ac:dyDescent="0.25">
      <c r="A794" s="852"/>
      <c r="B794" s="37"/>
      <c r="C794" s="37"/>
      <c r="D794" s="38"/>
      <c r="G794" s="37"/>
    </row>
    <row r="795" spans="1:7" s="79" customFormat="1" ht="15" customHeight="1" x14ac:dyDescent="0.25">
      <c r="A795" s="852"/>
      <c r="B795" s="37"/>
      <c r="C795" s="37"/>
      <c r="D795" s="38"/>
      <c r="G795" s="37"/>
    </row>
    <row r="796" spans="1:7" s="79" customFormat="1" ht="15" customHeight="1" x14ac:dyDescent="0.25">
      <c r="A796" s="852"/>
      <c r="B796" s="37"/>
      <c r="C796" s="37"/>
      <c r="D796" s="38"/>
      <c r="G796" s="37"/>
    </row>
    <row r="797" spans="1:7" s="79" customFormat="1" ht="15" customHeight="1" x14ac:dyDescent="0.25">
      <c r="A797" s="852"/>
      <c r="B797" s="37"/>
      <c r="C797" s="37"/>
      <c r="D797" s="38"/>
      <c r="G797" s="37"/>
    </row>
    <row r="798" spans="1:7" s="79" customFormat="1" ht="15" customHeight="1" x14ac:dyDescent="0.25">
      <c r="A798" s="852"/>
      <c r="B798" s="37"/>
      <c r="C798" s="37"/>
      <c r="D798" s="38"/>
      <c r="G798" s="37"/>
    </row>
    <row r="799" spans="1:7" s="79" customFormat="1" ht="15" customHeight="1" x14ac:dyDescent="0.25">
      <c r="A799" s="852"/>
      <c r="B799" s="37"/>
      <c r="C799" s="37"/>
      <c r="D799" s="38"/>
      <c r="G799" s="37"/>
    </row>
    <row r="800" spans="1:7" s="79" customFormat="1" ht="15" customHeight="1" x14ac:dyDescent="0.25">
      <c r="A800" s="852"/>
      <c r="B800" s="37"/>
      <c r="C800" s="37"/>
      <c r="D800" s="38"/>
      <c r="G800" s="37"/>
    </row>
    <row r="801" spans="1:7" s="79" customFormat="1" ht="15" customHeight="1" x14ac:dyDescent="0.25">
      <c r="A801" s="852"/>
      <c r="B801" s="37"/>
      <c r="C801" s="37"/>
      <c r="D801" s="38"/>
      <c r="G801" s="37"/>
    </row>
    <row r="802" spans="1:7" s="79" customFormat="1" ht="15" customHeight="1" x14ac:dyDescent="0.25">
      <c r="A802" s="852"/>
      <c r="B802" s="37"/>
      <c r="C802" s="37"/>
      <c r="D802" s="38"/>
      <c r="G802" s="37"/>
    </row>
    <row r="803" spans="1:7" s="79" customFormat="1" ht="15" customHeight="1" x14ac:dyDescent="0.25">
      <c r="A803" s="852"/>
      <c r="B803" s="37"/>
      <c r="C803" s="37"/>
      <c r="D803" s="38"/>
      <c r="G803" s="37"/>
    </row>
    <row r="804" spans="1:7" s="79" customFormat="1" ht="15" customHeight="1" x14ac:dyDescent="0.25">
      <c r="A804" s="852"/>
      <c r="B804" s="37"/>
      <c r="C804" s="37"/>
      <c r="D804" s="38"/>
      <c r="G804" s="37"/>
    </row>
    <row r="805" spans="1:7" s="79" customFormat="1" ht="15" customHeight="1" x14ac:dyDescent="0.25">
      <c r="A805" s="852"/>
      <c r="B805" s="37"/>
      <c r="C805" s="37"/>
      <c r="D805" s="38"/>
      <c r="G805" s="37"/>
    </row>
    <row r="806" spans="1:7" s="79" customFormat="1" ht="15" customHeight="1" x14ac:dyDescent="0.25">
      <c r="A806" s="852"/>
      <c r="B806" s="37"/>
      <c r="C806" s="37"/>
      <c r="D806" s="38"/>
      <c r="G806" s="37"/>
    </row>
    <row r="807" spans="1:7" s="79" customFormat="1" ht="15" customHeight="1" x14ac:dyDescent="0.25">
      <c r="A807" s="852"/>
      <c r="B807" s="37"/>
      <c r="C807" s="37"/>
      <c r="D807" s="38"/>
      <c r="G807" s="37"/>
    </row>
    <row r="808" spans="1:7" s="79" customFormat="1" ht="15" customHeight="1" x14ac:dyDescent="0.25">
      <c r="A808" s="852"/>
      <c r="B808" s="37"/>
      <c r="C808" s="37"/>
      <c r="D808" s="38"/>
      <c r="G808" s="37"/>
    </row>
    <row r="809" spans="1:7" s="79" customFormat="1" ht="15" customHeight="1" x14ac:dyDescent="0.25">
      <c r="A809" s="852"/>
      <c r="B809" s="37"/>
      <c r="C809" s="37"/>
      <c r="D809" s="38"/>
      <c r="G809" s="37"/>
    </row>
    <row r="810" spans="1:7" s="79" customFormat="1" ht="15" customHeight="1" x14ac:dyDescent="0.25">
      <c r="A810" s="852"/>
      <c r="B810" s="37"/>
      <c r="C810" s="37"/>
      <c r="D810" s="38"/>
      <c r="G810" s="37"/>
    </row>
    <row r="811" spans="1:7" s="79" customFormat="1" ht="15" customHeight="1" x14ac:dyDescent="0.25">
      <c r="A811" s="852"/>
      <c r="B811" s="37"/>
      <c r="C811" s="37"/>
      <c r="D811" s="38"/>
      <c r="G811" s="37"/>
    </row>
    <row r="812" spans="1:7" s="79" customFormat="1" ht="15" customHeight="1" x14ac:dyDescent="0.25">
      <c r="A812" s="852"/>
      <c r="B812" s="37"/>
      <c r="C812" s="37"/>
      <c r="D812" s="38"/>
      <c r="G812" s="37"/>
    </row>
    <row r="813" spans="1:7" s="79" customFormat="1" ht="15" customHeight="1" x14ac:dyDescent="0.25">
      <c r="A813" s="852"/>
      <c r="B813" s="37"/>
      <c r="C813" s="37"/>
      <c r="D813" s="38"/>
      <c r="G813" s="37"/>
    </row>
    <row r="814" spans="1:7" s="79" customFormat="1" ht="15" customHeight="1" x14ac:dyDescent="0.25">
      <c r="A814" s="852"/>
      <c r="B814" s="37"/>
      <c r="C814" s="37"/>
      <c r="D814" s="38"/>
      <c r="G814" s="37"/>
    </row>
    <row r="815" spans="1:7" s="79" customFormat="1" ht="15" customHeight="1" x14ac:dyDescent="0.25">
      <c r="A815" s="852"/>
      <c r="B815" s="37"/>
      <c r="C815" s="37"/>
      <c r="D815" s="38"/>
      <c r="G815" s="37"/>
    </row>
    <row r="816" spans="1:7" s="79" customFormat="1" ht="15" customHeight="1" x14ac:dyDescent="0.25">
      <c r="A816" s="852"/>
      <c r="B816" s="37"/>
      <c r="C816" s="37"/>
      <c r="D816" s="38"/>
      <c r="G816" s="37"/>
    </row>
    <row r="817" spans="1:7" s="79" customFormat="1" ht="15" customHeight="1" x14ac:dyDescent="0.25">
      <c r="A817" s="852"/>
      <c r="B817" s="37"/>
      <c r="C817" s="37"/>
      <c r="D817" s="38"/>
      <c r="G817" s="37"/>
    </row>
    <row r="818" spans="1:7" s="79" customFormat="1" ht="15" customHeight="1" x14ac:dyDescent="0.25">
      <c r="A818" s="852"/>
      <c r="B818" s="37"/>
      <c r="C818" s="37"/>
      <c r="D818" s="38"/>
      <c r="G818" s="37"/>
    </row>
    <row r="819" spans="1:7" s="79" customFormat="1" ht="15" customHeight="1" x14ac:dyDescent="0.25">
      <c r="A819" s="852"/>
      <c r="B819" s="37"/>
      <c r="C819" s="37"/>
      <c r="D819" s="38"/>
      <c r="G819" s="37"/>
    </row>
    <row r="820" spans="1:7" s="79" customFormat="1" ht="15" customHeight="1" x14ac:dyDescent="0.25">
      <c r="A820" s="852"/>
      <c r="B820" s="37"/>
      <c r="C820" s="37"/>
      <c r="D820" s="38"/>
      <c r="G820" s="37"/>
    </row>
    <row r="821" spans="1:7" s="79" customFormat="1" ht="15" customHeight="1" x14ac:dyDescent="0.25">
      <c r="A821" s="852"/>
      <c r="B821" s="37"/>
      <c r="C821" s="37"/>
      <c r="D821" s="38"/>
      <c r="G821" s="37"/>
    </row>
    <row r="822" spans="1:7" s="79" customFormat="1" ht="15" customHeight="1" x14ac:dyDescent="0.25">
      <c r="A822" s="852"/>
      <c r="B822" s="37"/>
      <c r="C822" s="37"/>
      <c r="D822" s="38"/>
      <c r="G822" s="37"/>
    </row>
    <row r="823" spans="1:7" s="79" customFormat="1" ht="15" customHeight="1" x14ac:dyDescent="0.25">
      <c r="A823" s="852"/>
      <c r="B823" s="37"/>
      <c r="C823" s="37"/>
      <c r="D823" s="38"/>
      <c r="G823" s="37"/>
    </row>
    <row r="824" spans="1:7" s="79" customFormat="1" ht="15" customHeight="1" x14ac:dyDescent="0.25">
      <c r="A824" s="852"/>
      <c r="B824" s="37"/>
      <c r="C824" s="37"/>
      <c r="D824" s="38"/>
      <c r="G824" s="37"/>
    </row>
    <row r="825" spans="1:7" s="79" customFormat="1" ht="15" customHeight="1" x14ac:dyDescent="0.25">
      <c r="A825" s="852"/>
      <c r="B825" s="37"/>
      <c r="C825" s="37"/>
      <c r="D825" s="38"/>
      <c r="G825" s="37"/>
    </row>
    <row r="826" spans="1:7" s="79" customFormat="1" ht="15" customHeight="1" x14ac:dyDescent="0.25">
      <c r="A826" s="852"/>
      <c r="B826" s="37"/>
      <c r="C826" s="37"/>
      <c r="D826" s="38"/>
      <c r="G826" s="37"/>
    </row>
    <row r="827" spans="1:7" s="79" customFormat="1" ht="15" customHeight="1" x14ac:dyDescent="0.25">
      <c r="A827" s="852"/>
      <c r="B827" s="37"/>
      <c r="C827" s="37"/>
      <c r="D827" s="38"/>
      <c r="G827" s="37"/>
    </row>
    <row r="828" spans="1:7" s="79" customFormat="1" ht="15" customHeight="1" x14ac:dyDescent="0.25">
      <c r="A828" s="852"/>
      <c r="B828" s="37"/>
      <c r="C828" s="37"/>
      <c r="D828" s="38"/>
      <c r="G828" s="37"/>
    </row>
    <row r="829" spans="1:7" s="79" customFormat="1" ht="15" customHeight="1" x14ac:dyDescent="0.25">
      <c r="A829" s="852"/>
      <c r="B829" s="37"/>
      <c r="C829" s="37"/>
      <c r="D829" s="38"/>
      <c r="G829" s="37"/>
    </row>
    <row r="830" spans="1:7" s="79" customFormat="1" ht="15" customHeight="1" x14ac:dyDescent="0.25">
      <c r="A830" s="852"/>
      <c r="B830" s="37"/>
      <c r="C830" s="37"/>
      <c r="D830" s="38"/>
      <c r="G830" s="37"/>
    </row>
    <row r="831" spans="1:7" s="79" customFormat="1" ht="15" customHeight="1" x14ac:dyDescent="0.25">
      <c r="A831" s="852"/>
      <c r="B831" s="37"/>
      <c r="C831" s="37"/>
      <c r="D831" s="38"/>
      <c r="G831" s="37"/>
    </row>
    <row r="832" spans="1:7" s="79" customFormat="1" ht="15" customHeight="1" x14ac:dyDescent="0.25">
      <c r="A832" s="852"/>
      <c r="B832" s="37"/>
      <c r="C832" s="37"/>
      <c r="D832" s="38"/>
      <c r="G832" s="37"/>
    </row>
    <row r="833" spans="1:7" s="79" customFormat="1" ht="15" customHeight="1" x14ac:dyDescent="0.25">
      <c r="A833" s="852"/>
      <c r="B833" s="37"/>
      <c r="C833" s="37"/>
      <c r="D833" s="38"/>
      <c r="G833" s="37"/>
    </row>
    <row r="834" spans="1:7" s="79" customFormat="1" ht="15" customHeight="1" x14ac:dyDescent="0.25">
      <c r="A834" s="852"/>
      <c r="B834" s="37"/>
      <c r="C834" s="37"/>
      <c r="D834" s="38"/>
      <c r="G834" s="37"/>
    </row>
    <row r="835" spans="1:7" s="79" customFormat="1" ht="15" customHeight="1" x14ac:dyDescent="0.25">
      <c r="A835" s="852"/>
      <c r="B835" s="37"/>
      <c r="C835" s="37"/>
      <c r="D835" s="38"/>
      <c r="G835" s="37"/>
    </row>
    <row r="836" spans="1:7" s="79" customFormat="1" ht="15" customHeight="1" x14ac:dyDescent="0.25">
      <c r="A836" s="852"/>
      <c r="B836" s="37"/>
      <c r="C836" s="37"/>
      <c r="D836" s="38"/>
      <c r="G836" s="37"/>
    </row>
    <row r="837" spans="1:7" s="79" customFormat="1" ht="15" customHeight="1" x14ac:dyDescent="0.25">
      <c r="A837" s="852"/>
      <c r="B837" s="37"/>
      <c r="C837" s="37"/>
      <c r="D837" s="38"/>
      <c r="G837" s="37"/>
    </row>
    <row r="838" spans="1:7" s="79" customFormat="1" ht="15" customHeight="1" x14ac:dyDescent="0.25">
      <c r="A838" s="852"/>
      <c r="B838" s="37"/>
      <c r="C838" s="37"/>
      <c r="D838" s="38"/>
      <c r="G838" s="37"/>
    </row>
    <row r="839" spans="1:7" s="79" customFormat="1" ht="15" customHeight="1" x14ac:dyDescent="0.25">
      <c r="A839" s="852"/>
      <c r="B839" s="37"/>
      <c r="C839" s="37"/>
      <c r="D839" s="38"/>
      <c r="G839" s="37"/>
    </row>
    <row r="840" spans="1:7" s="79" customFormat="1" ht="15" customHeight="1" x14ac:dyDescent="0.25">
      <c r="A840" s="852"/>
      <c r="B840" s="37"/>
      <c r="C840" s="37"/>
      <c r="D840" s="38"/>
      <c r="G840" s="37"/>
    </row>
    <row r="841" spans="1:7" s="79" customFormat="1" ht="15" customHeight="1" x14ac:dyDescent="0.25">
      <c r="A841" s="852"/>
      <c r="B841" s="37"/>
      <c r="C841" s="37"/>
      <c r="D841" s="38"/>
      <c r="G841" s="37"/>
    </row>
    <row r="842" spans="1:7" s="79" customFormat="1" ht="15" customHeight="1" x14ac:dyDescent="0.25">
      <c r="A842" s="852"/>
      <c r="B842" s="37"/>
      <c r="C842" s="37"/>
      <c r="D842" s="38"/>
      <c r="G842" s="37"/>
    </row>
    <row r="843" spans="1:7" s="79" customFormat="1" ht="15" customHeight="1" x14ac:dyDescent="0.25">
      <c r="A843" s="852"/>
      <c r="B843" s="37"/>
      <c r="C843" s="37"/>
      <c r="D843" s="38"/>
      <c r="G843" s="37"/>
    </row>
    <row r="844" spans="1:7" s="79" customFormat="1" ht="15" customHeight="1" x14ac:dyDescent="0.25">
      <c r="A844" s="852"/>
      <c r="B844" s="37"/>
      <c r="C844" s="37"/>
      <c r="D844" s="38"/>
      <c r="G844" s="37"/>
    </row>
    <row r="845" spans="1:7" s="79" customFormat="1" ht="15" customHeight="1" x14ac:dyDescent="0.25">
      <c r="A845" s="852"/>
      <c r="B845" s="37"/>
      <c r="C845" s="37"/>
      <c r="D845" s="38"/>
      <c r="G845" s="37"/>
    </row>
    <row r="846" spans="1:7" s="79" customFormat="1" ht="15" customHeight="1" x14ac:dyDescent="0.25">
      <c r="A846" s="852"/>
      <c r="B846" s="37"/>
      <c r="C846" s="37"/>
      <c r="D846" s="38"/>
      <c r="G846" s="37"/>
    </row>
    <row r="847" spans="1:7" s="79" customFormat="1" ht="15" customHeight="1" x14ac:dyDescent="0.25">
      <c r="A847" s="852"/>
      <c r="B847" s="37"/>
      <c r="C847" s="37"/>
      <c r="D847" s="38"/>
      <c r="G847" s="37"/>
    </row>
    <row r="848" spans="1:7" s="79" customFormat="1" ht="15" customHeight="1" x14ac:dyDescent="0.25">
      <c r="A848" s="852"/>
      <c r="B848" s="37"/>
      <c r="C848" s="37"/>
      <c r="D848" s="38"/>
      <c r="G848" s="37"/>
    </row>
    <row r="849" spans="1:7" s="79" customFormat="1" ht="15" customHeight="1" x14ac:dyDescent="0.25">
      <c r="A849" s="852"/>
      <c r="B849" s="37"/>
      <c r="C849" s="37"/>
      <c r="D849" s="38"/>
      <c r="G849" s="37"/>
    </row>
    <row r="850" spans="1:7" s="79" customFormat="1" ht="15" customHeight="1" x14ac:dyDescent="0.25">
      <c r="A850" s="852"/>
      <c r="B850" s="37"/>
      <c r="C850" s="37"/>
      <c r="D850" s="38"/>
      <c r="G850" s="37"/>
    </row>
    <row r="851" spans="1:7" s="79" customFormat="1" ht="15" customHeight="1" x14ac:dyDescent="0.25">
      <c r="A851" s="852"/>
      <c r="B851" s="37"/>
      <c r="C851" s="37"/>
      <c r="D851" s="38"/>
      <c r="G851" s="37"/>
    </row>
    <row r="852" spans="1:7" s="79" customFormat="1" ht="15" customHeight="1" x14ac:dyDescent="0.25">
      <c r="A852" s="852"/>
      <c r="B852" s="37"/>
      <c r="C852" s="37"/>
      <c r="D852" s="38"/>
      <c r="G852" s="37"/>
    </row>
    <row r="853" spans="1:7" s="79" customFormat="1" ht="15" customHeight="1" x14ac:dyDescent="0.25">
      <c r="A853" s="852"/>
      <c r="B853" s="37"/>
      <c r="C853" s="37"/>
      <c r="D853" s="38"/>
      <c r="G853" s="37"/>
    </row>
    <row r="854" spans="1:7" s="79" customFormat="1" ht="15" customHeight="1" x14ac:dyDescent="0.25">
      <c r="A854" s="852"/>
      <c r="B854" s="37"/>
      <c r="C854" s="37"/>
      <c r="D854" s="38"/>
      <c r="G854" s="37"/>
    </row>
    <row r="855" spans="1:7" s="79" customFormat="1" ht="15" customHeight="1" x14ac:dyDescent="0.25">
      <c r="A855" s="852"/>
      <c r="B855" s="37"/>
      <c r="C855" s="37"/>
      <c r="D855" s="38"/>
      <c r="G855" s="37"/>
    </row>
    <row r="856" spans="1:7" s="79" customFormat="1" ht="15" customHeight="1" x14ac:dyDescent="0.25">
      <c r="A856" s="852"/>
      <c r="B856" s="37"/>
      <c r="C856" s="37"/>
      <c r="D856" s="38"/>
      <c r="G856" s="37"/>
    </row>
    <row r="857" spans="1:7" s="79" customFormat="1" ht="15" customHeight="1" x14ac:dyDescent="0.25">
      <c r="A857" s="852"/>
      <c r="B857" s="37"/>
      <c r="C857" s="37"/>
      <c r="D857" s="38"/>
      <c r="G857" s="37"/>
    </row>
    <row r="858" spans="1:7" s="79" customFormat="1" ht="15" customHeight="1" x14ac:dyDescent="0.25">
      <c r="A858" s="852"/>
      <c r="B858" s="37"/>
      <c r="C858" s="37"/>
      <c r="D858" s="38"/>
      <c r="G858" s="37"/>
    </row>
    <row r="859" spans="1:7" s="79" customFormat="1" ht="15" customHeight="1" x14ac:dyDescent="0.25">
      <c r="A859" s="852"/>
      <c r="B859" s="37"/>
      <c r="C859" s="37"/>
      <c r="D859" s="38"/>
      <c r="G859" s="37"/>
    </row>
    <row r="860" spans="1:7" s="79" customFormat="1" ht="15" customHeight="1" x14ac:dyDescent="0.25">
      <c r="A860" s="852"/>
      <c r="B860" s="37"/>
      <c r="C860" s="37"/>
      <c r="D860" s="38"/>
      <c r="G860" s="37"/>
    </row>
    <row r="861" spans="1:7" s="79" customFormat="1" ht="15" customHeight="1" x14ac:dyDescent="0.25">
      <c r="A861" s="852"/>
      <c r="B861" s="37"/>
      <c r="C861" s="37"/>
      <c r="D861" s="38"/>
      <c r="G861" s="37"/>
    </row>
    <row r="862" spans="1:7" s="79" customFormat="1" ht="15" customHeight="1" x14ac:dyDescent="0.25">
      <c r="A862" s="852"/>
      <c r="B862" s="37"/>
      <c r="C862" s="37"/>
      <c r="D862" s="38"/>
      <c r="G862" s="37"/>
    </row>
    <row r="863" spans="1:7" s="79" customFormat="1" ht="15" customHeight="1" x14ac:dyDescent="0.25">
      <c r="A863" s="852"/>
      <c r="B863" s="37"/>
      <c r="C863" s="37"/>
      <c r="D863" s="38"/>
      <c r="G863" s="37"/>
    </row>
    <row r="864" spans="1:7" s="79" customFormat="1" ht="15" customHeight="1" x14ac:dyDescent="0.25">
      <c r="A864" s="852"/>
      <c r="B864" s="37"/>
      <c r="C864" s="37"/>
      <c r="D864" s="38"/>
      <c r="G864" s="37"/>
    </row>
    <row r="865" spans="1:7" s="79" customFormat="1" ht="15" customHeight="1" x14ac:dyDescent="0.25">
      <c r="A865" s="852"/>
      <c r="B865" s="37"/>
      <c r="C865" s="37"/>
      <c r="D865" s="38"/>
      <c r="G865" s="37"/>
    </row>
    <row r="866" spans="1:7" s="79" customFormat="1" ht="15" customHeight="1" x14ac:dyDescent="0.25">
      <c r="A866" s="852"/>
      <c r="B866" s="37"/>
      <c r="C866" s="37"/>
      <c r="D866" s="38"/>
      <c r="G866" s="37"/>
    </row>
    <row r="867" spans="1:7" s="79" customFormat="1" ht="15" customHeight="1" x14ac:dyDescent="0.25">
      <c r="A867" s="852"/>
      <c r="B867" s="37"/>
      <c r="C867" s="37"/>
      <c r="D867" s="38"/>
      <c r="G867" s="37"/>
    </row>
    <row r="868" spans="1:7" s="79" customFormat="1" ht="15" customHeight="1" x14ac:dyDescent="0.25">
      <c r="A868" s="852"/>
      <c r="B868" s="37"/>
      <c r="C868" s="37"/>
      <c r="D868" s="38"/>
      <c r="G868" s="37"/>
    </row>
    <row r="869" spans="1:7" s="79" customFormat="1" ht="15" customHeight="1" x14ac:dyDescent="0.25">
      <c r="A869" s="852"/>
      <c r="B869" s="37"/>
      <c r="C869" s="37"/>
      <c r="D869" s="38"/>
      <c r="G869" s="37"/>
    </row>
    <row r="870" spans="1:7" s="79" customFormat="1" ht="15" customHeight="1" x14ac:dyDescent="0.25">
      <c r="A870" s="852"/>
      <c r="B870" s="37"/>
      <c r="C870" s="37"/>
      <c r="D870" s="38"/>
      <c r="G870" s="37"/>
    </row>
    <row r="871" spans="1:7" s="79" customFormat="1" ht="15" customHeight="1" x14ac:dyDescent="0.25">
      <c r="A871" s="852"/>
      <c r="B871" s="37"/>
      <c r="C871" s="37"/>
      <c r="D871" s="38"/>
      <c r="G871" s="37"/>
    </row>
    <row r="872" spans="1:7" s="79" customFormat="1" ht="15" customHeight="1" x14ac:dyDescent="0.25">
      <c r="A872" s="852"/>
      <c r="B872" s="37"/>
      <c r="C872" s="37"/>
      <c r="D872" s="38"/>
      <c r="G872" s="37"/>
    </row>
    <row r="873" spans="1:7" s="79" customFormat="1" ht="15" customHeight="1" x14ac:dyDescent="0.25">
      <c r="A873" s="852"/>
      <c r="B873" s="37"/>
      <c r="C873" s="37"/>
      <c r="D873" s="38"/>
      <c r="G873" s="37"/>
    </row>
    <row r="874" spans="1:7" s="79" customFormat="1" ht="15" customHeight="1" x14ac:dyDescent="0.25">
      <c r="A874" s="852"/>
      <c r="B874" s="37"/>
      <c r="C874" s="37"/>
      <c r="D874" s="38"/>
      <c r="G874" s="37"/>
    </row>
    <row r="875" spans="1:7" s="79" customFormat="1" ht="15" customHeight="1" x14ac:dyDescent="0.25">
      <c r="A875" s="852"/>
      <c r="B875" s="37"/>
      <c r="C875" s="37"/>
      <c r="D875" s="38"/>
      <c r="G875" s="37"/>
    </row>
    <row r="876" spans="1:7" s="79" customFormat="1" ht="15" customHeight="1" x14ac:dyDescent="0.25">
      <c r="A876" s="852"/>
      <c r="B876" s="37"/>
      <c r="C876" s="37"/>
      <c r="D876" s="38"/>
      <c r="G876" s="37"/>
    </row>
    <row r="877" spans="1:7" s="79" customFormat="1" ht="15" customHeight="1" x14ac:dyDescent="0.25">
      <c r="A877" s="852"/>
      <c r="B877" s="37"/>
      <c r="C877" s="37"/>
      <c r="D877" s="38"/>
      <c r="G877" s="37"/>
    </row>
    <row r="878" spans="1:7" s="79" customFormat="1" ht="15" customHeight="1" x14ac:dyDescent="0.25">
      <c r="A878" s="852"/>
      <c r="B878" s="37"/>
      <c r="C878" s="37"/>
      <c r="D878" s="38"/>
      <c r="G878" s="37"/>
    </row>
    <row r="879" spans="1:7" s="79" customFormat="1" ht="15" customHeight="1" x14ac:dyDescent="0.25">
      <c r="A879" s="852"/>
      <c r="B879" s="37"/>
      <c r="C879" s="37"/>
      <c r="D879" s="38"/>
      <c r="G879" s="37"/>
    </row>
    <row r="880" spans="1:7" s="79" customFormat="1" ht="15" customHeight="1" x14ac:dyDescent="0.25">
      <c r="A880" s="852"/>
      <c r="B880" s="37"/>
      <c r="C880" s="37"/>
      <c r="D880" s="38"/>
      <c r="G880" s="37"/>
    </row>
    <row r="881" spans="1:7" s="79" customFormat="1" ht="15" customHeight="1" x14ac:dyDescent="0.25">
      <c r="A881" s="852"/>
      <c r="B881" s="37"/>
      <c r="C881" s="37"/>
      <c r="D881" s="38"/>
      <c r="G881" s="37"/>
    </row>
    <row r="882" spans="1:7" s="79" customFormat="1" ht="15" customHeight="1" x14ac:dyDescent="0.25">
      <c r="A882" s="852"/>
      <c r="B882" s="37"/>
      <c r="C882" s="37"/>
      <c r="D882" s="38"/>
      <c r="G882" s="37"/>
    </row>
    <row r="883" spans="1:7" s="79" customFormat="1" ht="15" customHeight="1" x14ac:dyDescent="0.25">
      <c r="A883" s="852"/>
      <c r="B883" s="37"/>
      <c r="C883" s="37"/>
      <c r="D883" s="38"/>
      <c r="G883" s="37"/>
    </row>
    <row r="884" spans="1:7" s="79" customFormat="1" ht="15" customHeight="1" x14ac:dyDescent="0.25">
      <c r="A884" s="852"/>
      <c r="B884" s="37"/>
      <c r="C884" s="37"/>
      <c r="D884" s="38"/>
      <c r="G884" s="37"/>
    </row>
    <row r="885" spans="1:7" s="79" customFormat="1" ht="15" customHeight="1" x14ac:dyDescent="0.25">
      <c r="A885" s="852"/>
      <c r="B885" s="37"/>
      <c r="C885" s="37"/>
      <c r="D885" s="38"/>
      <c r="G885" s="37"/>
    </row>
    <row r="886" spans="1:7" s="79" customFormat="1" ht="15" customHeight="1" x14ac:dyDescent="0.25">
      <c r="A886" s="852"/>
      <c r="B886" s="37"/>
      <c r="C886" s="37"/>
      <c r="D886" s="38"/>
      <c r="G886" s="37"/>
    </row>
    <row r="887" spans="1:7" s="79" customFormat="1" ht="15" customHeight="1" x14ac:dyDescent="0.25">
      <c r="A887" s="852"/>
      <c r="B887" s="37"/>
      <c r="C887" s="37"/>
      <c r="D887" s="38"/>
      <c r="G887" s="37"/>
    </row>
    <row r="888" spans="1:7" s="79" customFormat="1" ht="15" customHeight="1" x14ac:dyDescent="0.25">
      <c r="A888" s="852"/>
      <c r="B888" s="37"/>
      <c r="C888" s="37"/>
      <c r="D888" s="38"/>
      <c r="G888" s="37"/>
    </row>
    <row r="889" spans="1:7" s="79" customFormat="1" ht="15" customHeight="1" x14ac:dyDescent="0.25">
      <c r="A889" s="852"/>
      <c r="B889" s="37"/>
      <c r="C889" s="37"/>
      <c r="D889" s="38"/>
      <c r="G889" s="37"/>
    </row>
    <row r="890" spans="1:7" s="79" customFormat="1" ht="15" customHeight="1" x14ac:dyDescent="0.25">
      <c r="A890" s="852"/>
      <c r="B890" s="37"/>
      <c r="C890" s="37"/>
      <c r="D890" s="38"/>
      <c r="G890" s="37"/>
    </row>
    <row r="891" spans="1:7" s="79" customFormat="1" ht="15" customHeight="1" x14ac:dyDescent="0.25">
      <c r="A891" s="852"/>
      <c r="B891" s="37"/>
      <c r="C891" s="37"/>
      <c r="D891" s="38"/>
      <c r="G891" s="37"/>
    </row>
    <row r="892" spans="1:7" s="79" customFormat="1" ht="15" customHeight="1" x14ac:dyDescent="0.25">
      <c r="A892" s="852"/>
      <c r="B892" s="37"/>
      <c r="C892" s="37"/>
      <c r="D892" s="38"/>
      <c r="G892" s="37"/>
    </row>
    <row r="893" spans="1:7" s="79" customFormat="1" ht="15" customHeight="1" x14ac:dyDescent="0.25">
      <c r="A893" s="852"/>
      <c r="B893" s="37"/>
      <c r="C893" s="37"/>
      <c r="D893" s="38"/>
      <c r="G893" s="37"/>
    </row>
    <row r="894" spans="1:7" s="79" customFormat="1" ht="15" customHeight="1" x14ac:dyDescent="0.25">
      <c r="A894" s="852"/>
      <c r="B894" s="37"/>
      <c r="C894" s="37"/>
      <c r="D894" s="38"/>
      <c r="G894" s="37"/>
    </row>
    <row r="895" spans="1:7" s="79" customFormat="1" ht="15" customHeight="1" x14ac:dyDescent="0.25">
      <c r="A895" s="852"/>
      <c r="B895" s="37"/>
      <c r="C895" s="37"/>
      <c r="D895" s="38"/>
      <c r="G895" s="37"/>
    </row>
    <row r="896" spans="1:7" s="79" customFormat="1" ht="15" customHeight="1" x14ac:dyDescent="0.25">
      <c r="A896" s="852"/>
      <c r="B896" s="37"/>
      <c r="C896" s="37"/>
      <c r="D896" s="38"/>
      <c r="G896" s="37"/>
    </row>
    <row r="897" spans="1:7" s="79" customFormat="1" ht="15" customHeight="1" x14ac:dyDescent="0.25">
      <c r="A897" s="852"/>
      <c r="B897" s="37"/>
      <c r="C897" s="37"/>
      <c r="D897" s="38"/>
      <c r="G897" s="37"/>
    </row>
    <row r="898" spans="1:7" s="79" customFormat="1" ht="15" customHeight="1" x14ac:dyDescent="0.25">
      <c r="A898" s="852"/>
      <c r="B898" s="37"/>
      <c r="C898" s="37"/>
      <c r="D898" s="38"/>
      <c r="G898" s="37"/>
    </row>
    <row r="899" spans="1:7" s="79" customFormat="1" ht="15" customHeight="1" x14ac:dyDescent="0.25">
      <c r="A899" s="852"/>
      <c r="B899" s="37"/>
      <c r="C899" s="37"/>
      <c r="D899" s="38"/>
      <c r="G899" s="37"/>
    </row>
    <row r="900" spans="1:7" s="79" customFormat="1" ht="15" customHeight="1" x14ac:dyDescent="0.25">
      <c r="A900" s="852"/>
      <c r="B900" s="37"/>
      <c r="C900" s="37"/>
      <c r="D900" s="38"/>
      <c r="G900" s="37"/>
    </row>
    <row r="901" spans="1:7" s="79" customFormat="1" ht="15" customHeight="1" x14ac:dyDescent="0.25">
      <c r="A901" s="852"/>
      <c r="B901" s="37"/>
      <c r="C901" s="37"/>
      <c r="D901" s="38"/>
      <c r="G901" s="37"/>
    </row>
    <row r="902" spans="1:7" s="79" customFormat="1" ht="15" customHeight="1" x14ac:dyDescent="0.25">
      <c r="A902" s="852"/>
      <c r="B902" s="37"/>
      <c r="C902" s="37"/>
      <c r="D902" s="38"/>
      <c r="G902" s="37"/>
    </row>
    <row r="903" spans="1:7" s="79" customFormat="1" ht="15" customHeight="1" x14ac:dyDescent="0.25">
      <c r="A903" s="852"/>
      <c r="B903" s="37"/>
      <c r="C903" s="37"/>
      <c r="D903" s="38"/>
      <c r="G903" s="37"/>
    </row>
    <row r="904" spans="1:7" s="79" customFormat="1" ht="15" customHeight="1" x14ac:dyDescent="0.25">
      <c r="A904" s="852"/>
      <c r="B904" s="37"/>
      <c r="C904" s="37"/>
      <c r="D904" s="38"/>
      <c r="G904" s="37"/>
    </row>
    <row r="905" spans="1:7" s="79" customFormat="1" ht="15" customHeight="1" x14ac:dyDescent="0.25">
      <c r="A905" s="852"/>
      <c r="B905" s="37"/>
      <c r="C905" s="37"/>
      <c r="D905" s="38"/>
      <c r="G905" s="37"/>
    </row>
    <row r="906" spans="1:7" s="79" customFormat="1" ht="15" customHeight="1" x14ac:dyDescent="0.25">
      <c r="A906" s="852"/>
      <c r="B906" s="37"/>
      <c r="C906" s="37"/>
      <c r="D906" s="38"/>
      <c r="G906" s="37"/>
    </row>
    <row r="907" spans="1:7" s="79" customFormat="1" ht="15" customHeight="1" x14ac:dyDescent="0.25">
      <c r="A907" s="852"/>
      <c r="B907" s="37"/>
      <c r="C907" s="37"/>
      <c r="D907" s="38"/>
      <c r="G907" s="37"/>
    </row>
    <row r="908" spans="1:7" s="79" customFormat="1" ht="15" customHeight="1" x14ac:dyDescent="0.25">
      <c r="A908" s="852"/>
      <c r="B908" s="37"/>
      <c r="C908" s="37"/>
      <c r="D908" s="38"/>
      <c r="G908" s="37"/>
    </row>
    <row r="909" spans="1:7" s="79" customFormat="1" ht="15" customHeight="1" x14ac:dyDescent="0.25">
      <c r="A909" s="852"/>
      <c r="B909" s="37"/>
      <c r="C909" s="37"/>
      <c r="D909" s="38"/>
      <c r="G909" s="37"/>
    </row>
    <row r="910" spans="1:7" s="79" customFormat="1" ht="15" customHeight="1" x14ac:dyDescent="0.25">
      <c r="A910" s="852"/>
      <c r="B910" s="37"/>
      <c r="C910" s="37"/>
      <c r="D910" s="38"/>
      <c r="G910" s="37"/>
    </row>
    <row r="911" spans="1:7" s="79" customFormat="1" ht="15" customHeight="1" x14ac:dyDescent="0.25">
      <c r="A911" s="852"/>
      <c r="B911" s="37"/>
      <c r="C911" s="37"/>
      <c r="D911" s="38"/>
      <c r="G911" s="37"/>
    </row>
    <row r="912" spans="1:7" s="79" customFormat="1" ht="15" customHeight="1" x14ac:dyDescent="0.25">
      <c r="A912" s="852"/>
      <c r="B912" s="37"/>
      <c r="C912" s="37"/>
      <c r="D912" s="38"/>
      <c r="G912" s="37"/>
    </row>
    <row r="913" spans="1:7" s="79" customFormat="1" ht="15" customHeight="1" x14ac:dyDescent="0.25">
      <c r="A913" s="852"/>
      <c r="B913" s="37"/>
      <c r="C913" s="37"/>
      <c r="D913" s="38"/>
      <c r="G913" s="37"/>
    </row>
    <row r="914" spans="1:7" s="79" customFormat="1" ht="15" customHeight="1" x14ac:dyDescent="0.25">
      <c r="A914" s="852"/>
      <c r="B914" s="37"/>
      <c r="C914" s="37"/>
      <c r="D914" s="38"/>
      <c r="G914" s="37"/>
    </row>
    <row r="915" spans="1:7" s="79" customFormat="1" ht="15" customHeight="1" x14ac:dyDescent="0.25">
      <c r="A915" s="852"/>
      <c r="B915" s="37"/>
      <c r="C915" s="37"/>
      <c r="D915" s="38"/>
      <c r="G915" s="37"/>
    </row>
    <row r="916" spans="1:7" s="79" customFormat="1" ht="15" customHeight="1" x14ac:dyDescent="0.25">
      <c r="A916" s="852"/>
      <c r="B916" s="37"/>
      <c r="C916" s="37"/>
      <c r="D916" s="38"/>
      <c r="G916" s="37"/>
    </row>
    <row r="917" spans="1:7" s="79" customFormat="1" ht="15" customHeight="1" x14ac:dyDescent="0.25">
      <c r="A917" s="852"/>
      <c r="B917" s="37"/>
      <c r="C917" s="37"/>
      <c r="D917" s="38"/>
      <c r="G917" s="37"/>
    </row>
    <row r="918" spans="1:7" s="79" customFormat="1" ht="15" customHeight="1" x14ac:dyDescent="0.25">
      <c r="A918" s="852"/>
      <c r="B918" s="37"/>
      <c r="C918" s="37"/>
      <c r="D918" s="38"/>
      <c r="G918" s="37"/>
    </row>
    <row r="919" spans="1:7" s="79" customFormat="1" ht="15" customHeight="1" x14ac:dyDescent="0.25">
      <c r="A919" s="852"/>
      <c r="B919" s="37"/>
      <c r="C919" s="37"/>
      <c r="D919" s="38"/>
      <c r="G919" s="37"/>
    </row>
    <row r="920" spans="1:7" s="79" customFormat="1" ht="15" customHeight="1" x14ac:dyDescent="0.25">
      <c r="A920" s="852"/>
      <c r="B920" s="37"/>
      <c r="C920" s="37"/>
      <c r="D920" s="38"/>
      <c r="G920" s="37"/>
    </row>
    <row r="921" spans="1:7" s="79" customFormat="1" ht="15" customHeight="1" x14ac:dyDescent="0.25">
      <c r="A921" s="852"/>
      <c r="B921" s="37"/>
      <c r="C921" s="37"/>
      <c r="D921" s="38"/>
      <c r="G921" s="37"/>
    </row>
    <row r="922" spans="1:7" s="79" customFormat="1" ht="15" customHeight="1" x14ac:dyDescent="0.25">
      <c r="A922" s="852"/>
      <c r="B922" s="37"/>
      <c r="C922" s="37"/>
      <c r="D922" s="38"/>
      <c r="G922" s="37"/>
    </row>
    <row r="923" spans="1:7" s="79" customFormat="1" ht="15" customHeight="1" x14ac:dyDescent="0.25">
      <c r="A923" s="852"/>
      <c r="B923" s="37"/>
      <c r="C923" s="37"/>
      <c r="D923" s="38"/>
      <c r="G923" s="37"/>
    </row>
    <row r="924" spans="1:7" s="79" customFormat="1" ht="15" customHeight="1" x14ac:dyDescent="0.25">
      <c r="A924" s="852"/>
      <c r="B924" s="37"/>
      <c r="C924" s="37"/>
      <c r="D924" s="38"/>
      <c r="G924" s="37"/>
    </row>
    <row r="925" spans="1:7" s="79" customFormat="1" ht="15" customHeight="1" x14ac:dyDescent="0.25">
      <c r="A925" s="852"/>
      <c r="B925" s="37"/>
      <c r="C925" s="37"/>
      <c r="D925" s="38"/>
      <c r="G925" s="37"/>
    </row>
    <row r="926" spans="1:7" s="79" customFormat="1" ht="15" customHeight="1" x14ac:dyDescent="0.25">
      <c r="A926" s="852"/>
      <c r="B926" s="37"/>
      <c r="C926" s="37"/>
      <c r="D926" s="38"/>
      <c r="G926" s="37"/>
    </row>
    <row r="927" spans="1:7" s="79" customFormat="1" ht="15" customHeight="1" x14ac:dyDescent="0.25">
      <c r="A927" s="852"/>
      <c r="B927" s="37"/>
      <c r="C927" s="37"/>
      <c r="D927" s="38"/>
      <c r="G927" s="37"/>
    </row>
    <row r="928" spans="1:7" s="79" customFormat="1" ht="15" customHeight="1" x14ac:dyDescent="0.25">
      <c r="A928" s="852"/>
      <c r="B928" s="37"/>
      <c r="C928" s="37"/>
      <c r="D928" s="38"/>
      <c r="G928" s="37"/>
    </row>
    <row r="929" spans="1:7" s="79" customFormat="1" ht="15" customHeight="1" x14ac:dyDescent="0.25">
      <c r="A929" s="852"/>
      <c r="B929" s="37"/>
      <c r="C929" s="37"/>
      <c r="D929" s="38"/>
      <c r="G929" s="37"/>
    </row>
    <row r="930" spans="1:7" s="79" customFormat="1" ht="15" customHeight="1" x14ac:dyDescent="0.25">
      <c r="A930" s="852"/>
      <c r="B930" s="37"/>
      <c r="C930" s="37"/>
      <c r="D930" s="38"/>
      <c r="G930" s="37"/>
    </row>
    <row r="931" spans="1:7" s="79" customFormat="1" ht="15" customHeight="1" x14ac:dyDescent="0.25">
      <c r="A931" s="852"/>
      <c r="B931" s="37"/>
      <c r="C931" s="37"/>
      <c r="D931" s="38"/>
      <c r="G931" s="37"/>
    </row>
    <row r="932" spans="1:7" s="79" customFormat="1" ht="15" customHeight="1" x14ac:dyDescent="0.25">
      <c r="A932" s="852"/>
      <c r="B932" s="37"/>
      <c r="C932" s="37"/>
      <c r="D932" s="38"/>
      <c r="G932" s="37"/>
    </row>
    <row r="933" spans="1:7" s="79" customFormat="1" ht="15" customHeight="1" x14ac:dyDescent="0.25">
      <c r="A933" s="852"/>
      <c r="B933" s="37"/>
      <c r="C933" s="37"/>
      <c r="D933" s="38"/>
      <c r="G933" s="37"/>
    </row>
    <row r="934" spans="1:7" s="79" customFormat="1" ht="15" customHeight="1" x14ac:dyDescent="0.25">
      <c r="A934" s="852"/>
      <c r="B934" s="37"/>
      <c r="C934" s="37"/>
      <c r="D934" s="38"/>
      <c r="G934" s="37"/>
    </row>
    <row r="935" spans="1:7" s="79" customFormat="1" ht="15" customHeight="1" x14ac:dyDescent="0.25">
      <c r="A935" s="852"/>
      <c r="B935" s="37"/>
      <c r="C935" s="37"/>
      <c r="D935" s="38"/>
      <c r="G935" s="37"/>
    </row>
    <row r="936" spans="1:7" s="79" customFormat="1" ht="15" customHeight="1" x14ac:dyDescent="0.25">
      <c r="A936" s="852"/>
      <c r="B936" s="37"/>
      <c r="C936" s="37"/>
      <c r="D936" s="38"/>
      <c r="G936" s="37"/>
    </row>
    <row r="937" spans="1:7" s="79" customFormat="1" ht="15" customHeight="1" x14ac:dyDescent="0.25">
      <c r="A937" s="852"/>
      <c r="B937" s="37"/>
      <c r="C937" s="37"/>
      <c r="D937" s="38"/>
      <c r="G937" s="37"/>
    </row>
    <row r="938" spans="1:7" s="79" customFormat="1" ht="15" customHeight="1" x14ac:dyDescent="0.25">
      <c r="A938" s="852"/>
      <c r="B938" s="37"/>
      <c r="C938" s="37"/>
      <c r="D938" s="38"/>
      <c r="G938" s="37"/>
    </row>
    <row r="939" spans="1:7" s="79" customFormat="1" ht="15" customHeight="1" x14ac:dyDescent="0.25">
      <c r="A939" s="852"/>
      <c r="B939" s="37"/>
      <c r="C939" s="37"/>
      <c r="D939" s="38"/>
      <c r="G939" s="37"/>
    </row>
    <row r="940" spans="1:7" s="79" customFormat="1" ht="15" customHeight="1" x14ac:dyDescent="0.25">
      <c r="A940" s="852"/>
      <c r="B940" s="37"/>
      <c r="C940" s="37"/>
      <c r="D940" s="38"/>
      <c r="G940" s="37"/>
    </row>
    <row r="941" spans="1:7" s="79" customFormat="1" ht="15" customHeight="1" x14ac:dyDescent="0.25">
      <c r="A941" s="852"/>
      <c r="B941" s="37"/>
      <c r="C941" s="37"/>
      <c r="D941" s="38"/>
      <c r="G941" s="37"/>
    </row>
    <row r="942" spans="1:7" s="79" customFormat="1" ht="15" customHeight="1" x14ac:dyDescent="0.25">
      <c r="A942" s="852"/>
      <c r="B942" s="37"/>
      <c r="C942" s="37"/>
      <c r="D942" s="38"/>
      <c r="G942" s="37"/>
    </row>
    <row r="943" spans="1:7" s="79" customFormat="1" ht="15" customHeight="1" x14ac:dyDescent="0.25">
      <c r="A943" s="852"/>
      <c r="B943" s="37"/>
      <c r="C943" s="37"/>
      <c r="D943" s="38"/>
      <c r="G943" s="37"/>
    </row>
    <row r="944" spans="1:7" s="79" customFormat="1" ht="15" customHeight="1" x14ac:dyDescent="0.25">
      <c r="A944" s="852"/>
      <c r="B944" s="37"/>
      <c r="C944" s="37"/>
      <c r="D944" s="38"/>
      <c r="G944" s="37"/>
    </row>
    <row r="945" spans="1:7" s="79" customFormat="1" ht="15" customHeight="1" x14ac:dyDescent="0.25">
      <c r="A945" s="852"/>
      <c r="B945" s="37"/>
      <c r="C945" s="37"/>
      <c r="D945" s="38"/>
      <c r="G945" s="37"/>
    </row>
    <row r="946" spans="1:7" s="79" customFormat="1" ht="15" customHeight="1" x14ac:dyDescent="0.25">
      <c r="A946" s="852"/>
      <c r="B946" s="37"/>
      <c r="C946" s="37"/>
      <c r="D946" s="38"/>
      <c r="G946" s="37"/>
    </row>
    <row r="947" spans="1:7" s="79" customFormat="1" ht="15" customHeight="1" x14ac:dyDescent="0.25">
      <c r="A947" s="852"/>
      <c r="B947" s="37"/>
      <c r="C947" s="37"/>
      <c r="D947" s="38"/>
      <c r="G947" s="37"/>
    </row>
    <row r="948" spans="1:7" s="79" customFormat="1" ht="15" customHeight="1" x14ac:dyDescent="0.25">
      <c r="A948" s="852"/>
      <c r="B948" s="37"/>
      <c r="C948" s="37"/>
      <c r="D948" s="38"/>
      <c r="G948" s="37"/>
    </row>
    <row r="949" spans="1:7" s="79" customFormat="1" ht="15" customHeight="1" x14ac:dyDescent="0.25">
      <c r="A949" s="852"/>
      <c r="B949" s="37"/>
      <c r="C949" s="37"/>
      <c r="D949" s="38"/>
      <c r="G949" s="37"/>
    </row>
    <row r="950" spans="1:7" s="79" customFormat="1" ht="15" customHeight="1" x14ac:dyDescent="0.25">
      <c r="A950" s="852"/>
      <c r="B950" s="37"/>
      <c r="C950" s="37"/>
      <c r="D950" s="38"/>
      <c r="G950" s="37"/>
    </row>
    <row r="951" spans="1:7" s="79" customFormat="1" ht="15" customHeight="1" x14ac:dyDescent="0.25">
      <c r="A951" s="852"/>
      <c r="B951" s="37"/>
      <c r="C951" s="37"/>
      <c r="D951" s="38"/>
      <c r="G951" s="37"/>
    </row>
    <row r="952" spans="1:7" s="79" customFormat="1" ht="15" customHeight="1" x14ac:dyDescent="0.25">
      <c r="A952" s="852"/>
      <c r="B952" s="37"/>
      <c r="C952" s="37"/>
      <c r="D952" s="38"/>
      <c r="G952" s="37"/>
    </row>
    <row r="953" spans="1:7" s="79" customFormat="1" ht="15" customHeight="1" x14ac:dyDescent="0.25">
      <c r="A953" s="852"/>
      <c r="B953" s="37"/>
      <c r="C953" s="37"/>
      <c r="D953" s="38"/>
      <c r="G953" s="37"/>
    </row>
    <row r="954" spans="1:7" s="79" customFormat="1" ht="15" customHeight="1" x14ac:dyDescent="0.25">
      <c r="A954" s="852"/>
      <c r="B954" s="37"/>
      <c r="C954" s="37"/>
      <c r="D954" s="38"/>
      <c r="G954" s="37"/>
    </row>
    <row r="955" spans="1:7" s="79" customFormat="1" ht="15" customHeight="1" x14ac:dyDescent="0.25">
      <c r="A955" s="852"/>
      <c r="B955" s="37"/>
      <c r="C955" s="37"/>
      <c r="D955" s="38"/>
      <c r="G955" s="37"/>
    </row>
    <row r="956" spans="1:7" s="79" customFormat="1" ht="15" customHeight="1" x14ac:dyDescent="0.25">
      <c r="A956" s="852"/>
      <c r="B956" s="37"/>
      <c r="C956" s="37"/>
      <c r="D956" s="38"/>
      <c r="G956" s="37"/>
    </row>
    <row r="957" spans="1:7" s="79" customFormat="1" ht="15" customHeight="1" x14ac:dyDescent="0.25">
      <c r="A957" s="852"/>
      <c r="B957" s="37"/>
      <c r="C957" s="37"/>
      <c r="D957" s="38"/>
      <c r="G957" s="37"/>
    </row>
    <row r="958" spans="1:7" s="79" customFormat="1" ht="15" customHeight="1" x14ac:dyDescent="0.25">
      <c r="A958" s="852"/>
      <c r="B958" s="37"/>
      <c r="C958" s="37"/>
      <c r="D958" s="38"/>
      <c r="G958" s="37"/>
    </row>
    <row r="959" spans="1:7" s="79" customFormat="1" ht="15" customHeight="1" x14ac:dyDescent="0.25">
      <c r="A959" s="852"/>
      <c r="B959" s="37"/>
      <c r="C959" s="37"/>
      <c r="D959" s="38"/>
      <c r="G959" s="37"/>
    </row>
    <row r="960" spans="1:7" s="79" customFormat="1" ht="15" customHeight="1" x14ac:dyDescent="0.25">
      <c r="A960" s="852"/>
      <c r="B960" s="37"/>
      <c r="C960" s="37"/>
      <c r="D960" s="38"/>
      <c r="G960" s="37"/>
    </row>
    <row r="961" spans="1:7" s="79" customFormat="1" ht="15" customHeight="1" x14ac:dyDescent="0.25">
      <c r="A961" s="852"/>
      <c r="B961" s="37"/>
      <c r="C961" s="37"/>
      <c r="D961" s="38"/>
      <c r="G961" s="37"/>
    </row>
    <row r="962" spans="1:7" s="79" customFormat="1" ht="15" customHeight="1" x14ac:dyDescent="0.25">
      <c r="A962" s="852"/>
      <c r="B962" s="37"/>
      <c r="C962" s="37"/>
      <c r="D962" s="38"/>
      <c r="G962" s="37"/>
    </row>
    <row r="963" spans="1:7" s="79" customFormat="1" ht="15" customHeight="1" x14ac:dyDescent="0.25">
      <c r="A963" s="852"/>
      <c r="B963" s="37"/>
      <c r="C963" s="37"/>
      <c r="D963" s="38"/>
      <c r="G963" s="37"/>
    </row>
    <row r="964" spans="1:7" s="79" customFormat="1" ht="15" customHeight="1" x14ac:dyDescent="0.25">
      <c r="A964" s="852"/>
      <c r="B964" s="37"/>
      <c r="C964" s="37"/>
      <c r="D964" s="38"/>
      <c r="G964" s="37"/>
    </row>
    <row r="965" spans="1:7" s="79" customFormat="1" ht="15" customHeight="1" x14ac:dyDescent="0.25">
      <c r="A965" s="852"/>
      <c r="B965" s="37"/>
      <c r="C965" s="37"/>
      <c r="D965" s="38"/>
      <c r="G965" s="37"/>
    </row>
    <row r="966" spans="1:7" s="79" customFormat="1" ht="15" customHeight="1" x14ac:dyDescent="0.25">
      <c r="A966" s="852"/>
      <c r="B966" s="37"/>
      <c r="C966" s="37"/>
      <c r="D966" s="38"/>
      <c r="G966" s="37"/>
    </row>
    <row r="967" spans="1:7" s="79" customFormat="1" ht="15" customHeight="1" x14ac:dyDescent="0.25">
      <c r="A967" s="852"/>
      <c r="B967" s="37"/>
      <c r="C967" s="37"/>
      <c r="D967" s="38"/>
      <c r="G967" s="37"/>
    </row>
    <row r="968" spans="1:7" s="79" customFormat="1" ht="15" customHeight="1" x14ac:dyDescent="0.25">
      <c r="A968" s="852"/>
      <c r="B968" s="37"/>
      <c r="C968" s="37"/>
      <c r="D968" s="38"/>
      <c r="G968" s="37"/>
    </row>
    <row r="969" spans="1:7" s="79" customFormat="1" ht="15" customHeight="1" x14ac:dyDescent="0.25">
      <c r="A969" s="852"/>
      <c r="B969" s="37"/>
      <c r="C969" s="37"/>
      <c r="D969" s="38"/>
      <c r="G969" s="37"/>
    </row>
    <row r="970" spans="1:7" s="79" customFormat="1" ht="15" customHeight="1" x14ac:dyDescent="0.25">
      <c r="A970" s="852"/>
      <c r="B970" s="37"/>
      <c r="C970" s="37"/>
      <c r="D970" s="38"/>
      <c r="G970" s="37"/>
    </row>
    <row r="971" spans="1:7" s="79" customFormat="1" ht="15" customHeight="1" x14ac:dyDescent="0.25">
      <c r="A971" s="852"/>
      <c r="B971" s="37"/>
      <c r="C971" s="37"/>
      <c r="D971" s="38"/>
      <c r="G971" s="37"/>
    </row>
    <row r="972" spans="1:7" s="79" customFormat="1" ht="15" customHeight="1" x14ac:dyDescent="0.25">
      <c r="A972" s="852"/>
      <c r="B972" s="37"/>
      <c r="C972" s="37"/>
      <c r="D972" s="38"/>
      <c r="G972" s="37"/>
    </row>
    <row r="973" spans="1:7" s="79" customFormat="1" ht="15" customHeight="1" x14ac:dyDescent="0.25">
      <c r="A973" s="852"/>
      <c r="B973" s="37"/>
      <c r="C973" s="37"/>
      <c r="D973" s="38"/>
      <c r="G973" s="37"/>
    </row>
    <row r="974" spans="1:7" s="79" customFormat="1" ht="15" customHeight="1" x14ac:dyDescent="0.25">
      <c r="A974" s="852"/>
      <c r="B974" s="37"/>
      <c r="C974" s="37"/>
      <c r="D974" s="38"/>
      <c r="G974" s="37"/>
    </row>
    <row r="975" spans="1:7" s="79" customFormat="1" ht="15" customHeight="1" x14ac:dyDescent="0.25">
      <c r="A975" s="852"/>
      <c r="B975" s="37"/>
      <c r="C975" s="37"/>
      <c r="D975" s="38"/>
      <c r="G975" s="37"/>
    </row>
    <row r="976" spans="1:7" s="79" customFormat="1" ht="15" customHeight="1" x14ac:dyDescent="0.25">
      <c r="A976" s="852"/>
      <c r="B976" s="37"/>
      <c r="C976" s="37"/>
      <c r="D976" s="38"/>
      <c r="G976" s="37"/>
    </row>
    <row r="977" spans="1:7" s="79" customFormat="1" ht="15" customHeight="1" x14ac:dyDescent="0.25">
      <c r="A977" s="852"/>
      <c r="B977" s="37"/>
      <c r="C977" s="37"/>
      <c r="D977" s="38"/>
      <c r="G977" s="37"/>
    </row>
    <row r="978" spans="1:7" s="79" customFormat="1" ht="15" customHeight="1" x14ac:dyDescent="0.25">
      <c r="A978" s="852"/>
      <c r="B978" s="37"/>
      <c r="C978" s="37"/>
      <c r="D978" s="38"/>
      <c r="G978" s="37"/>
    </row>
    <row r="979" spans="1:7" s="79" customFormat="1" ht="15" customHeight="1" x14ac:dyDescent="0.25">
      <c r="A979" s="852"/>
      <c r="B979" s="37"/>
      <c r="C979" s="37"/>
      <c r="D979" s="38"/>
      <c r="G979" s="37"/>
    </row>
    <row r="980" spans="1:7" s="79" customFormat="1" ht="15" customHeight="1" x14ac:dyDescent="0.25">
      <c r="A980" s="852"/>
      <c r="B980" s="37"/>
      <c r="C980" s="37"/>
      <c r="D980" s="38"/>
      <c r="G980" s="37"/>
    </row>
    <row r="981" spans="1:7" s="79" customFormat="1" ht="15" customHeight="1" x14ac:dyDescent="0.25">
      <c r="A981" s="852"/>
      <c r="B981" s="37"/>
      <c r="C981" s="37"/>
      <c r="D981" s="38"/>
      <c r="G981" s="37"/>
    </row>
    <row r="982" spans="1:7" s="79" customFormat="1" ht="15" customHeight="1" x14ac:dyDescent="0.25">
      <c r="A982" s="852"/>
      <c r="B982" s="37"/>
      <c r="C982" s="37"/>
      <c r="D982" s="38"/>
      <c r="G982" s="37"/>
    </row>
    <row r="983" spans="1:7" s="79" customFormat="1" ht="15" customHeight="1" x14ac:dyDescent="0.25">
      <c r="A983" s="852"/>
      <c r="B983" s="37"/>
      <c r="C983" s="37"/>
      <c r="D983" s="38"/>
      <c r="G983" s="37"/>
    </row>
    <row r="984" spans="1:7" s="79" customFormat="1" ht="15" customHeight="1" x14ac:dyDescent="0.25">
      <c r="A984" s="852"/>
      <c r="B984" s="37"/>
      <c r="C984" s="37"/>
      <c r="D984" s="38"/>
      <c r="G984" s="37"/>
    </row>
    <row r="985" spans="1:7" s="79" customFormat="1" ht="15" customHeight="1" x14ac:dyDescent="0.25">
      <c r="A985" s="852"/>
      <c r="B985" s="37"/>
      <c r="C985" s="37"/>
      <c r="D985" s="38"/>
      <c r="G985" s="37"/>
    </row>
    <row r="986" spans="1:7" s="79" customFormat="1" ht="15" customHeight="1" x14ac:dyDescent="0.25">
      <c r="A986" s="852"/>
      <c r="B986" s="37"/>
      <c r="C986" s="37"/>
      <c r="D986" s="38"/>
      <c r="G986" s="37"/>
    </row>
    <row r="987" spans="1:7" s="79" customFormat="1" ht="15" customHeight="1" x14ac:dyDescent="0.25">
      <c r="A987" s="852"/>
      <c r="B987" s="37"/>
      <c r="C987" s="37"/>
      <c r="D987" s="38"/>
      <c r="G987" s="37"/>
    </row>
    <row r="988" spans="1:7" s="79" customFormat="1" ht="15" customHeight="1" x14ac:dyDescent="0.25">
      <c r="A988" s="852"/>
      <c r="B988" s="37"/>
      <c r="C988" s="37"/>
      <c r="D988" s="38"/>
      <c r="G988" s="37"/>
    </row>
    <row r="989" spans="1:7" s="79" customFormat="1" ht="15" customHeight="1" x14ac:dyDescent="0.25">
      <c r="A989" s="852"/>
      <c r="B989" s="37"/>
      <c r="C989" s="37"/>
      <c r="D989" s="38"/>
      <c r="G989" s="37"/>
    </row>
    <row r="990" spans="1:7" s="79" customFormat="1" ht="15" customHeight="1" x14ac:dyDescent="0.25">
      <c r="A990" s="852"/>
      <c r="B990" s="37"/>
      <c r="C990" s="37"/>
      <c r="D990" s="38"/>
      <c r="G990" s="37"/>
    </row>
    <row r="991" spans="1:7" s="79" customFormat="1" ht="15" customHeight="1" x14ac:dyDescent="0.25">
      <c r="A991" s="852"/>
      <c r="B991" s="37"/>
      <c r="C991" s="37"/>
      <c r="D991" s="38"/>
      <c r="G991" s="37"/>
    </row>
    <row r="992" spans="1:7" s="79" customFormat="1" ht="15" customHeight="1" x14ac:dyDescent="0.25">
      <c r="A992" s="852"/>
      <c r="B992" s="37"/>
      <c r="C992" s="37"/>
      <c r="D992" s="38"/>
      <c r="G992" s="37"/>
    </row>
    <row r="993" spans="1:7" s="79" customFormat="1" ht="15" customHeight="1" x14ac:dyDescent="0.25">
      <c r="A993" s="852"/>
      <c r="B993" s="37"/>
      <c r="C993" s="37"/>
      <c r="D993" s="38"/>
      <c r="G993" s="37"/>
    </row>
    <row r="994" spans="1:7" s="79" customFormat="1" ht="15" customHeight="1" x14ac:dyDescent="0.25">
      <c r="A994" s="852"/>
      <c r="B994" s="37"/>
      <c r="C994" s="37"/>
      <c r="D994" s="38"/>
      <c r="G994" s="37"/>
    </row>
    <row r="995" spans="1:7" s="79" customFormat="1" ht="15" customHeight="1" x14ac:dyDescent="0.25">
      <c r="A995" s="852"/>
      <c r="B995" s="37"/>
      <c r="C995" s="37"/>
      <c r="D995" s="38"/>
      <c r="G995" s="37"/>
    </row>
    <row r="996" spans="1:7" s="79" customFormat="1" ht="15" customHeight="1" x14ac:dyDescent="0.25">
      <c r="A996" s="852"/>
      <c r="B996" s="37"/>
      <c r="C996" s="37"/>
      <c r="D996" s="38"/>
      <c r="G996" s="37"/>
    </row>
    <row r="997" spans="1:7" s="79" customFormat="1" ht="15" customHeight="1" x14ac:dyDescent="0.25">
      <c r="A997" s="852"/>
      <c r="B997" s="37"/>
      <c r="C997" s="37"/>
      <c r="D997" s="38"/>
      <c r="G997" s="37"/>
    </row>
    <row r="998" spans="1:7" s="79" customFormat="1" ht="15" customHeight="1" x14ac:dyDescent="0.25">
      <c r="A998" s="852"/>
      <c r="B998" s="37"/>
      <c r="C998" s="37"/>
      <c r="D998" s="38"/>
      <c r="G998" s="37"/>
    </row>
    <row r="999" spans="1:7" s="79" customFormat="1" ht="15" customHeight="1" x14ac:dyDescent="0.25">
      <c r="A999" s="852"/>
      <c r="B999" s="37"/>
      <c r="C999" s="37"/>
      <c r="D999" s="38"/>
      <c r="G999" s="37"/>
    </row>
    <row r="1000" spans="1:7" s="79" customFormat="1" ht="15" customHeight="1" x14ac:dyDescent="0.25">
      <c r="A1000" s="852"/>
      <c r="B1000" s="37"/>
      <c r="C1000" s="37"/>
      <c r="D1000" s="38"/>
      <c r="G1000" s="37"/>
    </row>
    <row r="1001" spans="1:7" s="79" customFormat="1" ht="15" customHeight="1" x14ac:dyDescent="0.25">
      <c r="A1001" s="852"/>
      <c r="B1001" s="37"/>
      <c r="C1001" s="37"/>
      <c r="D1001" s="38"/>
      <c r="G1001" s="37"/>
    </row>
    <row r="1002" spans="1:7" s="79" customFormat="1" ht="15" customHeight="1" x14ac:dyDescent="0.25">
      <c r="A1002" s="852"/>
      <c r="B1002" s="37"/>
      <c r="C1002" s="37"/>
      <c r="D1002" s="38"/>
      <c r="G1002" s="37"/>
    </row>
    <row r="1003" spans="1:7" s="79" customFormat="1" ht="15" customHeight="1" x14ac:dyDescent="0.25">
      <c r="A1003" s="852"/>
      <c r="B1003" s="37"/>
      <c r="C1003" s="37"/>
      <c r="D1003" s="38"/>
      <c r="G1003" s="37"/>
    </row>
    <row r="1004" spans="1:7" s="79" customFormat="1" ht="15" customHeight="1" x14ac:dyDescent="0.25">
      <c r="A1004" s="852"/>
      <c r="B1004" s="37"/>
      <c r="C1004" s="37"/>
      <c r="D1004" s="38"/>
      <c r="G1004" s="37"/>
    </row>
    <row r="1005" spans="1:7" s="79" customFormat="1" ht="15" customHeight="1" x14ac:dyDescent="0.25">
      <c r="A1005" s="852"/>
      <c r="B1005" s="37"/>
      <c r="C1005" s="37"/>
      <c r="D1005" s="38"/>
      <c r="G1005" s="37"/>
    </row>
    <row r="1006" spans="1:7" s="79" customFormat="1" ht="15" customHeight="1" x14ac:dyDescent="0.25">
      <c r="A1006" s="852"/>
      <c r="B1006" s="37"/>
      <c r="C1006" s="37"/>
      <c r="D1006" s="38"/>
      <c r="G1006" s="37"/>
    </row>
    <row r="1007" spans="1:7" s="79" customFormat="1" ht="15" customHeight="1" x14ac:dyDescent="0.25">
      <c r="A1007" s="852"/>
      <c r="B1007" s="37"/>
      <c r="C1007" s="37"/>
      <c r="D1007" s="38"/>
      <c r="G1007" s="37"/>
    </row>
    <row r="1008" spans="1:7" s="79" customFormat="1" ht="15" customHeight="1" x14ac:dyDescent="0.25">
      <c r="A1008" s="852"/>
      <c r="B1008" s="37"/>
      <c r="C1008" s="37"/>
      <c r="D1008" s="38"/>
      <c r="G1008" s="37"/>
    </row>
    <row r="1009" spans="1:7" s="79" customFormat="1" ht="15" customHeight="1" x14ac:dyDescent="0.25">
      <c r="A1009" s="852"/>
      <c r="B1009" s="37"/>
      <c r="C1009" s="37"/>
      <c r="D1009" s="38"/>
      <c r="G1009" s="37"/>
    </row>
    <row r="1010" spans="1:7" s="79" customFormat="1" ht="15" customHeight="1" x14ac:dyDescent="0.25">
      <c r="A1010" s="852"/>
      <c r="B1010" s="37"/>
      <c r="C1010" s="37"/>
      <c r="D1010" s="38"/>
      <c r="G1010" s="37"/>
    </row>
    <row r="1011" spans="1:7" s="79" customFormat="1" ht="15" customHeight="1" x14ac:dyDescent="0.25">
      <c r="A1011" s="852"/>
      <c r="B1011" s="37"/>
      <c r="C1011" s="37"/>
      <c r="D1011" s="38"/>
      <c r="G1011" s="37"/>
    </row>
    <row r="1012" spans="1:7" s="79" customFormat="1" ht="15" customHeight="1" x14ac:dyDescent="0.25">
      <c r="A1012" s="852"/>
      <c r="B1012" s="37"/>
      <c r="C1012" s="37"/>
      <c r="D1012" s="38"/>
      <c r="G1012" s="37"/>
    </row>
    <row r="1013" spans="1:7" s="79" customFormat="1" ht="15" customHeight="1" x14ac:dyDescent="0.25">
      <c r="A1013" s="852"/>
      <c r="B1013" s="37"/>
      <c r="C1013" s="37"/>
      <c r="D1013" s="38"/>
      <c r="G1013" s="37"/>
    </row>
    <row r="1014" spans="1:7" s="79" customFormat="1" ht="15" customHeight="1" x14ac:dyDescent="0.25">
      <c r="A1014" s="852"/>
      <c r="B1014" s="37"/>
      <c r="C1014" s="37"/>
      <c r="D1014" s="38"/>
      <c r="G1014" s="37"/>
    </row>
    <row r="1015" spans="1:7" s="79" customFormat="1" ht="15" customHeight="1" x14ac:dyDescent="0.25">
      <c r="A1015" s="852"/>
      <c r="B1015" s="37"/>
      <c r="C1015" s="37"/>
      <c r="D1015" s="38"/>
      <c r="G1015" s="37"/>
    </row>
    <row r="1016" spans="1:7" s="79" customFormat="1" ht="15" customHeight="1" x14ac:dyDescent="0.25">
      <c r="A1016" s="852"/>
      <c r="B1016" s="37"/>
      <c r="C1016" s="37"/>
      <c r="D1016" s="38"/>
      <c r="G1016" s="37"/>
    </row>
    <row r="1017" spans="1:7" s="79" customFormat="1" ht="15" customHeight="1" x14ac:dyDescent="0.25">
      <c r="A1017" s="852"/>
      <c r="B1017" s="37"/>
      <c r="C1017" s="37"/>
      <c r="D1017" s="38"/>
      <c r="G1017" s="37"/>
    </row>
    <row r="1018" spans="1:7" s="79" customFormat="1" ht="15" customHeight="1" x14ac:dyDescent="0.25">
      <c r="A1018" s="852"/>
      <c r="B1018" s="37"/>
      <c r="C1018" s="37"/>
      <c r="D1018" s="38"/>
      <c r="G1018" s="37"/>
    </row>
    <row r="1019" spans="1:7" s="79" customFormat="1" ht="15" customHeight="1" x14ac:dyDescent="0.25">
      <c r="A1019" s="852"/>
      <c r="B1019" s="37"/>
      <c r="C1019" s="37"/>
      <c r="D1019" s="38"/>
      <c r="G1019" s="37"/>
    </row>
    <row r="1020" spans="1:7" s="79" customFormat="1" ht="15" customHeight="1" x14ac:dyDescent="0.25">
      <c r="A1020" s="852"/>
      <c r="B1020" s="37"/>
      <c r="C1020" s="37"/>
      <c r="D1020" s="38"/>
      <c r="G1020" s="37"/>
    </row>
    <row r="1021" spans="1:7" s="79" customFormat="1" ht="15" customHeight="1" x14ac:dyDescent="0.25">
      <c r="A1021" s="852"/>
      <c r="B1021" s="37"/>
      <c r="C1021" s="37"/>
      <c r="D1021" s="38"/>
      <c r="G1021" s="37"/>
    </row>
    <row r="1022" spans="1:7" s="79" customFormat="1" ht="15" customHeight="1" x14ac:dyDescent="0.25">
      <c r="A1022" s="852"/>
      <c r="B1022" s="37"/>
      <c r="C1022" s="37"/>
      <c r="D1022" s="38"/>
      <c r="G1022" s="37"/>
    </row>
    <row r="1023" spans="1:7" s="79" customFormat="1" ht="15" customHeight="1" x14ac:dyDescent="0.25">
      <c r="A1023" s="852"/>
      <c r="B1023" s="37"/>
      <c r="C1023" s="37"/>
      <c r="D1023" s="38"/>
      <c r="G1023" s="37"/>
    </row>
    <row r="1024" spans="1:7" s="79" customFormat="1" ht="15" customHeight="1" x14ac:dyDescent="0.25">
      <c r="A1024" s="852"/>
      <c r="B1024" s="37"/>
      <c r="C1024" s="37"/>
      <c r="D1024" s="38"/>
      <c r="G1024" s="37"/>
    </row>
    <row r="1025" spans="1:7" s="79" customFormat="1" ht="15" customHeight="1" x14ac:dyDescent="0.25">
      <c r="A1025" s="852"/>
      <c r="B1025" s="37"/>
      <c r="C1025" s="37"/>
      <c r="D1025" s="38"/>
      <c r="G1025" s="37"/>
    </row>
    <row r="1026" spans="1:7" s="79" customFormat="1" ht="15" customHeight="1" x14ac:dyDescent="0.25">
      <c r="A1026" s="852"/>
      <c r="B1026" s="37"/>
      <c r="C1026" s="37"/>
      <c r="D1026" s="38"/>
      <c r="G1026" s="37"/>
    </row>
    <row r="1027" spans="1:7" s="79" customFormat="1" ht="15" customHeight="1" x14ac:dyDescent="0.25">
      <c r="A1027" s="852"/>
      <c r="B1027" s="37"/>
      <c r="C1027" s="37"/>
      <c r="D1027" s="38"/>
      <c r="G1027" s="37"/>
    </row>
    <row r="1028" spans="1:7" s="79" customFormat="1" ht="15" customHeight="1" x14ac:dyDescent="0.25">
      <c r="A1028" s="852"/>
      <c r="B1028" s="37"/>
      <c r="C1028" s="37"/>
      <c r="D1028" s="38"/>
      <c r="G1028" s="37"/>
    </row>
    <row r="1029" spans="1:7" s="79" customFormat="1" ht="15" customHeight="1" x14ac:dyDescent="0.25">
      <c r="A1029" s="852"/>
      <c r="B1029" s="37"/>
      <c r="C1029" s="37"/>
      <c r="D1029" s="38"/>
      <c r="G1029" s="37"/>
    </row>
    <row r="1030" spans="1:7" s="79" customFormat="1" ht="15" customHeight="1" x14ac:dyDescent="0.25">
      <c r="A1030" s="852"/>
      <c r="B1030" s="37"/>
      <c r="C1030" s="37"/>
      <c r="D1030" s="38"/>
      <c r="G1030" s="37"/>
    </row>
    <row r="1031" spans="1:7" s="79" customFormat="1" ht="15" customHeight="1" x14ac:dyDescent="0.25">
      <c r="A1031" s="852"/>
      <c r="B1031" s="37"/>
      <c r="C1031" s="37"/>
      <c r="D1031" s="38"/>
      <c r="G1031" s="37"/>
    </row>
    <row r="1032" spans="1:7" s="79" customFormat="1" ht="15" customHeight="1" x14ac:dyDescent="0.25">
      <c r="A1032" s="852"/>
      <c r="B1032" s="37"/>
      <c r="C1032" s="37"/>
      <c r="D1032" s="38"/>
      <c r="G1032" s="37"/>
    </row>
    <row r="1033" spans="1:7" s="79" customFormat="1" ht="15" customHeight="1" x14ac:dyDescent="0.25">
      <c r="A1033" s="852"/>
      <c r="B1033" s="37"/>
      <c r="C1033" s="37"/>
      <c r="D1033" s="38"/>
      <c r="G1033" s="37"/>
    </row>
    <row r="1034" spans="1:7" s="79" customFormat="1" ht="15" customHeight="1" x14ac:dyDescent="0.25">
      <c r="A1034" s="852"/>
      <c r="B1034" s="37"/>
      <c r="C1034" s="37"/>
      <c r="D1034" s="38"/>
      <c r="G1034" s="37"/>
    </row>
    <row r="1035" spans="1:7" s="79" customFormat="1" ht="15" customHeight="1" x14ac:dyDescent="0.25">
      <c r="A1035" s="852"/>
      <c r="B1035" s="37"/>
      <c r="C1035" s="37"/>
      <c r="D1035" s="38"/>
      <c r="G1035" s="37"/>
    </row>
    <row r="1036" spans="1:7" s="79" customFormat="1" ht="15" customHeight="1" x14ac:dyDescent="0.25">
      <c r="A1036" s="852"/>
      <c r="B1036" s="37"/>
      <c r="C1036" s="37"/>
      <c r="D1036" s="38"/>
      <c r="G1036" s="37"/>
    </row>
    <row r="1037" spans="1:7" s="79" customFormat="1" ht="15" customHeight="1" x14ac:dyDescent="0.25">
      <c r="A1037" s="852"/>
      <c r="B1037" s="37"/>
      <c r="C1037" s="37"/>
      <c r="D1037" s="38"/>
      <c r="G1037" s="37"/>
    </row>
    <row r="1038" spans="1:7" s="79" customFormat="1" ht="15" customHeight="1" x14ac:dyDescent="0.25">
      <c r="A1038" s="852"/>
      <c r="B1038" s="37"/>
      <c r="C1038" s="37"/>
      <c r="D1038" s="38"/>
      <c r="G1038" s="37"/>
    </row>
    <row r="1039" spans="1:7" s="79" customFormat="1" ht="15" customHeight="1" x14ac:dyDescent="0.25">
      <c r="A1039" s="852"/>
      <c r="B1039" s="37"/>
      <c r="C1039" s="37"/>
      <c r="D1039" s="38"/>
      <c r="G1039" s="37"/>
    </row>
    <row r="1040" spans="1:7" s="79" customFormat="1" ht="15" customHeight="1" x14ac:dyDescent="0.25">
      <c r="A1040" s="852"/>
      <c r="B1040" s="37"/>
      <c r="C1040" s="37"/>
      <c r="D1040" s="38"/>
      <c r="G1040" s="37"/>
    </row>
    <row r="1041" spans="1:7" s="79" customFormat="1" ht="15" customHeight="1" x14ac:dyDescent="0.25">
      <c r="A1041" s="852"/>
      <c r="B1041" s="37"/>
      <c r="C1041" s="37"/>
      <c r="D1041" s="38"/>
      <c r="G1041" s="37"/>
    </row>
    <row r="1042" spans="1:7" s="79" customFormat="1" ht="15" customHeight="1" x14ac:dyDescent="0.25">
      <c r="A1042" s="852"/>
      <c r="B1042" s="37"/>
      <c r="C1042" s="37"/>
      <c r="D1042" s="38"/>
      <c r="G1042" s="37"/>
    </row>
    <row r="1043" spans="1:7" s="79" customFormat="1" ht="15" customHeight="1" x14ac:dyDescent="0.25">
      <c r="A1043" s="852"/>
      <c r="B1043" s="37"/>
      <c r="C1043" s="37"/>
      <c r="D1043" s="38"/>
      <c r="G1043" s="37"/>
    </row>
    <row r="1044" spans="1:7" s="79" customFormat="1" ht="15" customHeight="1" x14ac:dyDescent="0.25">
      <c r="A1044" s="852"/>
      <c r="B1044" s="37"/>
      <c r="C1044" s="37"/>
      <c r="D1044" s="38"/>
      <c r="G1044" s="37"/>
    </row>
    <row r="1045" spans="1:7" s="79" customFormat="1" ht="15" customHeight="1" x14ac:dyDescent="0.25">
      <c r="A1045" s="852"/>
      <c r="B1045" s="37"/>
      <c r="C1045" s="37"/>
      <c r="D1045" s="38"/>
      <c r="G1045" s="37"/>
    </row>
    <row r="1046" spans="1:7" s="79" customFormat="1" ht="15" customHeight="1" x14ac:dyDescent="0.25">
      <c r="A1046" s="852"/>
      <c r="B1046" s="37"/>
      <c r="C1046" s="37"/>
      <c r="D1046" s="38"/>
      <c r="G1046" s="37"/>
    </row>
    <row r="1047" spans="1:7" s="79" customFormat="1" ht="15" customHeight="1" x14ac:dyDescent="0.25">
      <c r="A1047" s="852"/>
      <c r="B1047" s="37"/>
      <c r="C1047" s="37"/>
      <c r="D1047" s="38"/>
      <c r="G1047" s="37"/>
    </row>
    <row r="1048" spans="1:7" s="79" customFormat="1" ht="15" customHeight="1" x14ac:dyDescent="0.25">
      <c r="A1048" s="852"/>
      <c r="B1048" s="37"/>
      <c r="C1048" s="37"/>
      <c r="D1048" s="38"/>
      <c r="G1048" s="37"/>
    </row>
    <row r="1049" spans="1:7" s="79" customFormat="1" ht="15" customHeight="1" x14ac:dyDescent="0.25">
      <c r="A1049" s="852"/>
      <c r="B1049" s="37"/>
      <c r="C1049" s="37"/>
      <c r="D1049" s="38"/>
      <c r="G1049" s="37"/>
    </row>
    <row r="1050" spans="1:7" s="79" customFormat="1" ht="15" customHeight="1" x14ac:dyDescent="0.25">
      <c r="A1050" s="852"/>
      <c r="B1050" s="37"/>
      <c r="C1050" s="37"/>
      <c r="D1050" s="38"/>
      <c r="G1050" s="37"/>
    </row>
    <row r="1051" spans="1:7" s="79" customFormat="1" ht="15" customHeight="1" x14ac:dyDescent="0.25">
      <c r="A1051" s="852"/>
      <c r="B1051" s="37"/>
      <c r="C1051" s="37"/>
      <c r="D1051" s="38"/>
      <c r="G1051" s="37"/>
    </row>
    <row r="1052" spans="1:7" s="79" customFormat="1" ht="15" customHeight="1" x14ac:dyDescent="0.25">
      <c r="A1052" s="852"/>
      <c r="B1052" s="37"/>
      <c r="C1052" s="37"/>
      <c r="D1052" s="38"/>
      <c r="G1052" s="37"/>
    </row>
    <row r="1053" spans="1:7" s="79" customFormat="1" ht="15" customHeight="1" x14ac:dyDescent="0.25">
      <c r="A1053" s="852"/>
      <c r="B1053" s="37"/>
      <c r="C1053" s="37"/>
      <c r="D1053" s="38"/>
      <c r="G1053" s="37"/>
    </row>
    <row r="1054" spans="1:7" s="79" customFormat="1" ht="15" customHeight="1" x14ac:dyDescent="0.25">
      <c r="A1054" s="852"/>
      <c r="B1054" s="37"/>
      <c r="C1054" s="37"/>
      <c r="D1054" s="38"/>
      <c r="G1054" s="37"/>
    </row>
    <row r="1055" spans="1:7" s="79" customFormat="1" ht="15" customHeight="1" x14ac:dyDescent="0.25">
      <c r="A1055" s="852"/>
      <c r="B1055" s="37"/>
      <c r="C1055" s="37"/>
      <c r="D1055" s="38"/>
      <c r="G1055" s="37"/>
    </row>
    <row r="1056" spans="1:7" s="79" customFormat="1" ht="15" customHeight="1" x14ac:dyDescent="0.25">
      <c r="A1056" s="852"/>
      <c r="B1056" s="37"/>
      <c r="C1056" s="37"/>
      <c r="D1056" s="38"/>
      <c r="G1056" s="37"/>
    </row>
    <row r="1057" spans="1:7" s="79" customFormat="1" ht="15" customHeight="1" x14ac:dyDescent="0.25">
      <c r="A1057" s="852"/>
      <c r="B1057" s="37"/>
      <c r="C1057" s="37"/>
      <c r="D1057" s="38"/>
      <c r="G1057" s="37"/>
    </row>
    <row r="1058" spans="1:7" s="79" customFormat="1" ht="15" customHeight="1" x14ac:dyDescent="0.25">
      <c r="A1058" s="852"/>
      <c r="B1058" s="37"/>
      <c r="C1058" s="37"/>
      <c r="D1058" s="38"/>
      <c r="G1058" s="37"/>
    </row>
    <row r="1059" spans="1:7" s="79" customFormat="1" ht="15" customHeight="1" x14ac:dyDescent="0.25">
      <c r="A1059" s="852"/>
      <c r="B1059" s="37"/>
      <c r="C1059" s="37"/>
      <c r="D1059" s="38"/>
      <c r="G1059" s="37"/>
    </row>
    <row r="1060" spans="1:7" s="79" customFormat="1" ht="15" customHeight="1" x14ac:dyDescent="0.25">
      <c r="A1060" s="852"/>
      <c r="B1060" s="37"/>
      <c r="C1060" s="37"/>
      <c r="D1060" s="38"/>
      <c r="G1060" s="37"/>
    </row>
    <row r="1061" spans="1:7" s="79" customFormat="1" ht="15" customHeight="1" x14ac:dyDescent="0.25">
      <c r="A1061" s="852"/>
      <c r="B1061" s="37"/>
      <c r="C1061" s="37"/>
      <c r="D1061" s="38"/>
      <c r="G1061" s="37"/>
    </row>
    <row r="1062" spans="1:7" s="79" customFormat="1" ht="15" customHeight="1" x14ac:dyDescent="0.25">
      <c r="A1062" s="852"/>
      <c r="B1062" s="37"/>
      <c r="C1062" s="37"/>
      <c r="D1062" s="38"/>
      <c r="G1062" s="37"/>
    </row>
    <row r="1063" spans="1:7" s="79" customFormat="1" ht="15" customHeight="1" x14ac:dyDescent="0.25">
      <c r="A1063" s="852"/>
      <c r="B1063" s="37"/>
      <c r="C1063" s="37"/>
      <c r="D1063" s="38"/>
      <c r="G1063" s="37"/>
    </row>
    <row r="1064" spans="1:7" s="79" customFormat="1" ht="15" customHeight="1" x14ac:dyDescent="0.25">
      <c r="A1064" s="852"/>
      <c r="B1064" s="37"/>
      <c r="C1064" s="37"/>
      <c r="D1064" s="38"/>
      <c r="G1064" s="37"/>
    </row>
    <row r="1065" spans="1:7" s="79" customFormat="1" ht="15" customHeight="1" x14ac:dyDescent="0.25">
      <c r="A1065" s="852"/>
      <c r="B1065" s="37"/>
      <c r="C1065" s="37"/>
      <c r="D1065" s="38"/>
      <c r="G1065" s="37"/>
    </row>
    <row r="1066" spans="1:7" s="79" customFormat="1" ht="15" customHeight="1" x14ac:dyDescent="0.25">
      <c r="A1066" s="852"/>
      <c r="B1066" s="37"/>
      <c r="C1066" s="37"/>
      <c r="D1066" s="38"/>
      <c r="G1066" s="37"/>
    </row>
    <row r="1067" spans="1:7" s="79" customFormat="1" ht="15" customHeight="1" x14ac:dyDescent="0.25">
      <c r="A1067" s="852"/>
      <c r="B1067" s="37"/>
      <c r="C1067" s="37"/>
      <c r="D1067" s="38"/>
      <c r="G1067" s="37"/>
    </row>
    <row r="1068" spans="1:7" s="79" customFormat="1" ht="15" customHeight="1" x14ac:dyDescent="0.25">
      <c r="A1068" s="852"/>
      <c r="B1068" s="37"/>
      <c r="C1068" s="37"/>
      <c r="D1068" s="38"/>
      <c r="G1068" s="37"/>
    </row>
    <row r="1069" spans="1:7" s="79" customFormat="1" ht="15" customHeight="1" x14ac:dyDescent="0.25">
      <c r="A1069" s="852"/>
      <c r="B1069" s="37"/>
      <c r="C1069" s="37"/>
      <c r="D1069" s="38"/>
      <c r="G1069" s="37"/>
    </row>
    <row r="1070" spans="1:7" s="79" customFormat="1" ht="15" customHeight="1" x14ac:dyDescent="0.25">
      <c r="A1070" s="852"/>
      <c r="B1070" s="37"/>
      <c r="C1070" s="37"/>
      <c r="D1070" s="38"/>
      <c r="G1070" s="37"/>
    </row>
    <row r="1071" spans="1:7" s="79" customFormat="1" ht="15" customHeight="1" x14ac:dyDescent="0.25">
      <c r="A1071" s="852"/>
      <c r="B1071" s="37"/>
      <c r="C1071" s="37"/>
      <c r="D1071" s="38"/>
      <c r="G1071" s="37"/>
    </row>
    <row r="1072" spans="1:7" s="79" customFormat="1" ht="15" customHeight="1" x14ac:dyDescent="0.25">
      <c r="A1072" s="852"/>
      <c r="B1072" s="37"/>
      <c r="C1072" s="37"/>
      <c r="D1072" s="38"/>
      <c r="G1072" s="37"/>
    </row>
    <row r="1073" spans="1:7" s="79" customFormat="1" ht="15" customHeight="1" x14ac:dyDescent="0.25">
      <c r="A1073" s="852"/>
      <c r="B1073" s="37"/>
      <c r="C1073" s="37"/>
      <c r="D1073" s="38"/>
      <c r="G1073" s="37"/>
    </row>
    <row r="1074" spans="1:7" s="79" customFormat="1" ht="15" customHeight="1" x14ac:dyDescent="0.25">
      <c r="A1074" s="852"/>
      <c r="B1074" s="37"/>
      <c r="C1074" s="37"/>
      <c r="D1074" s="38"/>
      <c r="G1074" s="37"/>
    </row>
    <row r="1075" spans="1:7" s="79" customFormat="1" ht="15" customHeight="1" x14ac:dyDescent="0.25">
      <c r="A1075" s="852"/>
      <c r="B1075" s="37"/>
      <c r="C1075" s="37"/>
      <c r="D1075" s="38"/>
      <c r="G1075" s="37"/>
    </row>
    <row r="1076" spans="1:7" s="79" customFormat="1" ht="15" customHeight="1" x14ac:dyDescent="0.25">
      <c r="A1076" s="852"/>
      <c r="B1076" s="37"/>
      <c r="C1076" s="37"/>
      <c r="D1076" s="38"/>
      <c r="G1076" s="37"/>
    </row>
    <row r="1077" spans="1:7" s="79" customFormat="1" ht="15" customHeight="1" x14ac:dyDescent="0.25">
      <c r="A1077" s="852"/>
      <c r="B1077" s="37"/>
      <c r="C1077" s="37"/>
      <c r="D1077" s="38"/>
      <c r="G1077" s="37"/>
    </row>
    <row r="1078" spans="1:7" s="79" customFormat="1" ht="15" customHeight="1" x14ac:dyDescent="0.25">
      <c r="A1078" s="852"/>
      <c r="B1078" s="37"/>
      <c r="C1078" s="37"/>
      <c r="D1078" s="38"/>
      <c r="G1078" s="37"/>
    </row>
    <row r="1079" spans="1:7" s="79" customFormat="1" ht="15" customHeight="1" x14ac:dyDescent="0.25">
      <c r="A1079" s="852"/>
      <c r="B1079" s="37"/>
      <c r="C1079" s="37"/>
      <c r="D1079" s="38"/>
      <c r="G1079" s="37"/>
    </row>
    <row r="1080" spans="1:7" s="79" customFormat="1" ht="15" customHeight="1" x14ac:dyDescent="0.25">
      <c r="A1080" s="852"/>
      <c r="B1080" s="37"/>
      <c r="C1080" s="37"/>
      <c r="D1080" s="38"/>
      <c r="G1080" s="37"/>
    </row>
    <row r="1081" spans="1:7" s="79" customFormat="1" ht="15" customHeight="1" x14ac:dyDescent="0.25">
      <c r="A1081" s="852"/>
      <c r="B1081" s="37"/>
      <c r="C1081" s="37"/>
      <c r="D1081" s="38"/>
      <c r="G1081" s="37"/>
    </row>
    <row r="1082" spans="1:7" s="79" customFormat="1" ht="15" customHeight="1" x14ac:dyDescent="0.25">
      <c r="A1082" s="852"/>
      <c r="B1082" s="37"/>
      <c r="C1082" s="37"/>
      <c r="D1082" s="38"/>
      <c r="G1082" s="37"/>
    </row>
    <row r="1083" spans="1:7" s="79" customFormat="1" ht="15" customHeight="1" x14ac:dyDescent="0.25">
      <c r="A1083" s="852"/>
      <c r="B1083" s="37"/>
      <c r="C1083" s="37"/>
      <c r="D1083" s="38"/>
      <c r="G1083" s="37"/>
    </row>
    <row r="1084" spans="1:7" s="79" customFormat="1" ht="15" customHeight="1" x14ac:dyDescent="0.25">
      <c r="A1084" s="852"/>
      <c r="B1084" s="37"/>
      <c r="C1084" s="37"/>
      <c r="D1084" s="38"/>
      <c r="G1084" s="37"/>
    </row>
    <row r="1085" spans="1:7" s="79" customFormat="1" ht="15" customHeight="1" x14ac:dyDescent="0.25">
      <c r="A1085" s="852"/>
      <c r="B1085" s="37"/>
      <c r="C1085" s="37"/>
      <c r="D1085" s="38"/>
      <c r="G1085" s="37"/>
    </row>
    <row r="1086" spans="1:7" s="79" customFormat="1" ht="15" customHeight="1" x14ac:dyDescent="0.25">
      <c r="A1086" s="852"/>
      <c r="B1086" s="37"/>
      <c r="C1086" s="37"/>
      <c r="D1086" s="38"/>
      <c r="G1086" s="37"/>
    </row>
    <row r="1087" spans="1:7" s="79" customFormat="1" ht="15" customHeight="1" x14ac:dyDescent="0.25">
      <c r="A1087" s="852"/>
      <c r="B1087" s="37"/>
      <c r="C1087" s="37"/>
      <c r="D1087" s="38"/>
      <c r="G1087" s="37"/>
    </row>
    <row r="1088" spans="1:7" s="79" customFormat="1" ht="15" customHeight="1" x14ac:dyDescent="0.25">
      <c r="A1088" s="852"/>
      <c r="B1088" s="37"/>
      <c r="C1088" s="37"/>
      <c r="D1088" s="38"/>
      <c r="G1088" s="37"/>
    </row>
  </sheetData>
  <mergeCells count="4">
    <mergeCell ref="B1:G1"/>
    <mergeCell ref="B2:G2"/>
    <mergeCell ref="B4:C4"/>
    <mergeCell ref="D4:E4"/>
  </mergeCells>
  <printOptions horizontalCentered="1" verticalCentered="1"/>
  <pageMargins left="0" right="0" top="0" bottom="0" header="0.11811023622047245" footer="0"/>
  <pageSetup paperSize="9" scale="50" orientation="portrait" r:id="rId1"/>
  <headerFooter alignWithMargins="0">
    <oddHeader xml:space="preserve">&amp;C
&amp;R&amp;"Arial,Félkövér"&amp;14 18. melléklet a …../2018. (…….) önkormányzati rendelethez
</oddHeader>
  </headerFooter>
  <rowBreaks count="3" manualBreakCount="3">
    <brk id="62" min="1" max="6" man="1"/>
    <brk id="111" min="1" max="6" man="1"/>
    <brk id="145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S107"/>
  <sheetViews>
    <sheetView zoomScale="75" zoomScaleNormal="75" zoomScaleSheetLayoutView="50" workbookViewId="0">
      <selection activeCell="K9" sqref="K9"/>
    </sheetView>
  </sheetViews>
  <sheetFormatPr defaultColWidth="12" defaultRowHeight="15" x14ac:dyDescent="0.2"/>
  <cols>
    <col min="1" max="1" width="9.1640625" style="1018" customWidth="1"/>
    <col min="2" max="2" width="82.6640625" style="1018" customWidth="1"/>
    <col min="3" max="3" width="24" style="1018" customWidth="1"/>
    <col min="4" max="4" width="20.6640625" style="1019" bestFit="1" customWidth="1"/>
    <col min="5" max="5" width="18.5" style="1019" customWidth="1"/>
    <col min="6" max="6" width="15.1640625" style="1019" bestFit="1" customWidth="1"/>
    <col min="7" max="7" width="12.1640625" style="1019" bestFit="1" customWidth="1"/>
    <col min="8" max="8" width="16.6640625" style="1019" bestFit="1" customWidth="1"/>
    <col min="9" max="9" width="14" style="1019" bestFit="1" customWidth="1"/>
    <col min="10" max="10" width="19.5" style="1019" customWidth="1"/>
    <col min="11" max="11" width="12.1640625" style="1019" bestFit="1" customWidth="1"/>
    <col min="12" max="14" width="12" style="1019"/>
    <col min="15" max="15" width="22.83203125" style="1019" customWidth="1"/>
    <col min="16" max="16" width="16.1640625" style="1019" customWidth="1"/>
    <col min="17" max="19" width="12" style="1019"/>
    <col min="20" max="16384" width="12" style="1018"/>
  </cols>
  <sheetData>
    <row r="1" spans="2:11" ht="18.75" customHeight="1" x14ac:dyDescent="0.2"/>
    <row r="2" spans="2:11" ht="18.75" customHeight="1" x14ac:dyDescent="0.2"/>
    <row r="3" spans="2:11" ht="33.75" customHeight="1" x14ac:dyDescent="0.2"/>
    <row r="4" spans="2:11" ht="40.5" customHeight="1" x14ac:dyDescent="0.25">
      <c r="B4" s="2678" t="s">
        <v>692</v>
      </c>
      <c r="C4" s="2678"/>
    </row>
    <row r="5" spans="2:11" ht="43.5" customHeight="1" thickBot="1" x14ac:dyDescent="0.25">
      <c r="C5" s="1020" t="s">
        <v>32</v>
      </c>
    </row>
    <row r="6" spans="2:11" s="1019" customFormat="1" ht="39.950000000000003" customHeight="1" x14ac:dyDescent="0.2">
      <c r="B6" s="1021" t="s">
        <v>693</v>
      </c>
      <c r="C6" s="1913">
        <v>11746817</v>
      </c>
      <c r="D6" s="1022"/>
      <c r="F6" s="1023"/>
      <c r="G6" s="1023"/>
      <c r="H6" s="1023"/>
      <c r="I6" s="1023"/>
      <c r="J6" s="1023"/>
      <c r="K6" s="1023"/>
    </row>
    <row r="7" spans="2:11" s="1025" customFormat="1" ht="39.950000000000003" customHeight="1" x14ac:dyDescent="0.25">
      <c r="B7" s="1024" t="s">
        <v>694</v>
      </c>
      <c r="C7" s="1914">
        <f>+'1 kiemelt előirányzatok telj. '!E20</f>
        <v>33048244</v>
      </c>
      <c r="D7" s="1026"/>
      <c r="F7" s="1027"/>
      <c r="G7" s="1027"/>
      <c r="H7" s="1027"/>
      <c r="I7" s="1027"/>
      <c r="J7" s="1023"/>
      <c r="K7" s="1027"/>
    </row>
    <row r="8" spans="2:11" s="1019" customFormat="1" ht="39.950000000000003" customHeight="1" x14ac:dyDescent="0.2">
      <c r="B8" s="1028" t="s">
        <v>695</v>
      </c>
      <c r="C8" s="1029">
        <f>23105-173820+338+10121-7448-276169+454480+1</f>
        <v>30608</v>
      </c>
      <c r="D8" s="1030"/>
      <c r="F8" s="1023"/>
      <c r="G8" s="1023"/>
      <c r="H8" s="1023"/>
      <c r="I8" s="1023"/>
      <c r="J8" s="1023"/>
      <c r="K8" s="1023"/>
    </row>
    <row r="9" spans="2:11" s="1019" customFormat="1" ht="39.950000000000003" customHeight="1" x14ac:dyDescent="0.2">
      <c r="B9" s="1031" t="s">
        <v>1332</v>
      </c>
      <c r="C9" s="1915">
        <v>-11504211</v>
      </c>
      <c r="D9" s="1030"/>
      <c r="F9" s="1023"/>
      <c r="G9" s="1023"/>
      <c r="H9" s="1023"/>
      <c r="I9" s="1023"/>
      <c r="J9" s="1023"/>
      <c r="K9" s="1023"/>
    </row>
    <row r="10" spans="2:11" s="1025" customFormat="1" ht="39.950000000000003" customHeight="1" x14ac:dyDescent="0.25">
      <c r="B10" s="1024" t="s">
        <v>696</v>
      </c>
      <c r="C10" s="1914">
        <f>-'1 kiemelt előirányzatok telj. '!J20</f>
        <v>-24262429</v>
      </c>
      <c r="D10" s="1026"/>
      <c r="F10" s="1027"/>
      <c r="G10" s="1027"/>
      <c r="H10" s="1027"/>
      <c r="I10" s="1027"/>
      <c r="J10" s="1023"/>
      <c r="K10" s="1027"/>
    </row>
    <row r="11" spans="2:11" s="1019" customFormat="1" ht="39.950000000000003" customHeight="1" thickBot="1" x14ac:dyDescent="0.25">
      <c r="B11" s="1032" t="s">
        <v>697</v>
      </c>
      <c r="C11" s="1033">
        <f>SUM(C6:C10)</f>
        <v>9059029</v>
      </c>
      <c r="D11" s="1034"/>
      <c r="E11" s="1023"/>
      <c r="F11" s="1023"/>
      <c r="G11" s="1023"/>
      <c r="H11" s="1023"/>
      <c r="I11" s="1023"/>
      <c r="J11" s="1023"/>
      <c r="K11" s="1023"/>
    </row>
    <row r="12" spans="2:11" ht="39.950000000000003" customHeight="1" x14ac:dyDescent="0.2">
      <c r="B12" s="1035" t="s">
        <v>698</v>
      </c>
      <c r="C12" s="1036"/>
      <c r="D12" s="385"/>
      <c r="F12" s="1023"/>
      <c r="G12" s="1023"/>
      <c r="H12" s="1023"/>
      <c r="I12" s="1023"/>
      <c r="J12" s="1023"/>
      <c r="K12" s="1023"/>
    </row>
    <row r="13" spans="2:11" ht="39.950000000000003" customHeight="1" x14ac:dyDescent="0.2">
      <c r="B13" s="1037" t="s">
        <v>699</v>
      </c>
      <c r="C13" s="1916">
        <v>206049</v>
      </c>
      <c r="D13" s="385"/>
      <c r="F13" s="1023"/>
      <c r="G13" s="1023"/>
      <c r="H13" s="1023"/>
    </row>
    <row r="14" spans="2:11" ht="39.950000000000003" customHeight="1" thickBot="1" x14ac:dyDescent="0.25">
      <c r="B14" s="1038" t="s">
        <v>700</v>
      </c>
      <c r="C14" s="1917">
        <v>8852980</v>
      </c>
      <c r="D14" s="385"/>
    </row>
    <row r="15" spans="2:11" ht="35.1" customHeight="1" x14ac:dyDescent="0.2"/>
    <row r="16" spans="2:11" s="1019" customFormat="1" ht="35.1" customHeight="1" x14ac:dyDescent="0.2"/>
    <row r="17" spans="2:3" s="1019" customFormat="1" ht="35.1" customHeight="1" x14ac:dyDescent="0.2"/>
    <row r="18" spans="2:3" s="1019" customFormat="1" ht="35.1" customHeight="1" x14ac:dyDescent="0.2"/>
    <row r="19" spans="2:3" s="1019" customFormat="1" ht="35.1" customHeight="1" x14ac:dyDescent="0.2"/>
    <row r="20" spans="2:3" s="1019" customFormat="1" ht="35.1" customHeight="1" x14ac:dyDescent="0.2"/>
    <row r="21" spans="2:3" s="1019" customFormat="1" ht="35.1" customHeight="1" x14ac:dyDescent="0.2"/>
    <row r="22" spans="2:3" s="1019" customFormat="1" ht="35.1" customHeight="1" x14ac:dyDescent="0.2"/>
    <row r="23" spans="2:3" s="1019" customFormat="1" ht="35.1" customHeight="1" x14ac:dyDescent="0.2"/>
    <row r="24" spans="2:3" s="1019" customFormat="1" ht="35.1" customHeight="1" x14ac:dyDescent="0.2">
      <c r="B24" s="1039"/>
    </row>
    <row r="25" spans="2:3" s="1019" customFormat="1" ht="35.1" customHeight="1" x14ac:dyDescent="0.2">
      <c r="B25" s="1039"/>
      <c r="C25" s="1039"/>
    </row>
    <row r="26" spans="2:3" s="1019" customFormat="1" ht="35.1" customHeight="1" x14ac:dyDescent="0.2">
      <c r="B26" s="1039"/>
    </row>
    <row r="27" spans="2:3" s="1019" customFormat="1" ht="35.1" customHeight="1" x14ac:dyDescent="0.2"/>
    <row r="28" spans="2:3" s="1019" customFormat="1" ht="35.1" customHeight="1" x14ac:dyDescent="0.2"/>
    <row r="29" spans="2:3" s="1019" customFormat="1" ht="35.1" customHeight="1" x14ac:dyDescent="0.2"/>
    <row r="30" spans="2:3" s="1019" customFormat="1" ht="35.1" customHeight="1" x14ac:dyDescent="0.2"/>
    <row r="31" spans="2:3" ht="35.1" customHeight="1" x14ac:dyDescent="0.2"/>
    <row r="32" spans="2:3" ht="35.1" customHeight="1" x14ac:dyDescent="0.2"/>
    <row r="33" ht="35.1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2" ht="35.1" customHeight="1" x14ac:dyDescent="0.2"/>
    <row r="43" ht="35.1" customHeight="1" x14ac:dyDescent="0.2"/>
    <row r="44" ht="35.1" customHeight="1" x14ac:dyDescent="0.2"/>
    <row r="45" ht="35.1" customHeight="1" x14ac:dyDescent="0.2"/>
    <row r="46" ht="35.1" customHeight="1" x14ac:dyDescent="0.2"/>
    <row r="47" ht="35.1" customHeight="1" x14ac:dyDescent="0.2"/>
    <row r="48" ht="35.1" customHeight="1" x14ac:dyDescent="0.2"/>
    <row r="49" ht="63" customHeight="1" x14ac:dyDescent="0.2"/>
    <row r="50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  <row r="56" ht="35.1" customHeight="1" x14ac:dyDescent="0.2"/>
    <row r="57" ht="35.1" customHeight="1" x14ac:dyDescent="0.2"/>
    <row r="58" ht="35.1" customHeight="1" x14ac:dyDescent="0.2"/>
    <row r="59" ht="35.1" customHeight="1" x14ac:dyDescent="0.2"/>
    <row r="60" ht="35.1" customHeight="1" x14ac:dyDescent="0.2"/>
    <row r="61" ht="35.1" customHeight="1" x14ac:dyDescent="0.2"/>
    <row r="62" ht="35.1" customHeight="1" x14ac:dyDescent="0.2"/>
    <row r="63" ht="35.1" customHeight="1" x14ac:dyDescent="0.2"/>
    <row r="64" ht="35.1" customHeight="1" x14ac:dyDescent="0.2"/>
    <row r="65" ht="35.1" customHeight="1" x14ac:dyDescent="0.2"/>
    <row r="66" ht="35.1" customHeight="1" x14ac:dyDescent="0.2"/>
    <row r="67" ht="35.1" customHeight="1" x14ac:dyDescent="0.2"/>
    <row r="68" ht="35.1" customHeight="1" x14ac:dyDescent="0.2"/>
    <row r="69" ht="35.1" customHeight="1" x14ac:dyDescent="0.2"/>
    <row r="70" ht="35.1" customHeight="1" x14ac:dyDescent="0.2"/>
    <row r="71" ht="35.1" customHeight="1" x14ac:dyDescent="0.2"/>
    <row r="72" ht="35.1" customHeight="1" x14ac:dyDescent="0.2"/>
    <row r="73" ht="35.1" customHeight="1" x14ac:dyDescent="0.2"/>
    <row r="74" ht="35.1" customHeight="1" x14ac:dyDescent="0.2"/>
    <row r="75" ht="35.1" customHeight="1" x14ac:dyDescent="0.2"/>
    <row r="76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  <row r="81" ht="35.1" customHeight="1" x14ac:dyDescent="0.2"/>
    <row r="82" ht="35.1" customHeight="1" x14ac:dyDescent="0.2"/>
    <row r="83" ht="35.1" customHeight="1" x14ac:dyDescent="0.2"/>
    <row r="84" ht="70.5" customHeight="1" x14ac:dyDescent="0.2"/>
    <row r="85" ht="70.5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35.1" customHeight="1" x14ac:dyDescent="0.2"/>
    <row r="95" ht="35.1" customHeight="1" x14ac:dyDescent="0.2"/>
    <row r="96" ht="35.1" customHeight="1" x14ac:dyDescent="0.2"/>
    <row r="97" ht="70.5" customHeight="1" x14ac:dyDescent="0.2"/>
    <row r="98" ht="70.5" customHeight="1" x14ac:dyDescent="0.2"/>
    <row r="99" ht="69" customHeight="1" x14ac:dyDescent="0.2"/>
    <row r="100" ht="35.1" customHeight="1" x14ac:dyDescent="0.2"/>
    <row r="101" ht="75" customHeight="1" x14ac:dyDescent="0.2"/>
    <row r="102" ht="35.1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19.5" customHeight="1" x14ac:dyDescent="0.2"/>
  </sheetData>
  <mergeCells count="1">
    <mergeCell ref="B4:C4"/>
  </mergeCells>
  <printOptions horizontalCentered="1" verticalCentered="1"/>
  <pageMargins left="0.23622047244094491" right="0" top="0.15748031496062992" bottom="7.874015748031496E-2" header="0.31496062992125984" footer="0.15748031496062992"/>
  <pageSetup paperSize="9" scale="90" orientation="portrait" r:id="rId1"/>
  <headerFooter alignWithMargins="0">
    <oddHeader xml:space="preserve">&amp;R&amp;"Arial CE,Normál"&amp;11 &amp;12 &amp;"Arial CE,Félkövér"19. melléklet a …../2018. (…….) önkormányzati rendelethez </oddHeader>
  </headerFooter>
  <rowBreaks count="1" manualBreakCount="1">
    <brk id="2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1"/>
  <sheetViews>
    <sheetView topLeftCell="H1" zoomScale="75" zoomScaleNormal="75" workbookViewId="0">
      <selection activeCell="I70" sqref="I70"/>
    </sheetView>
  </sheetViews>
  <sheetFormatPr defaultColWidth="9.33203125" defaultRowHeight="15" customHeight="1" x14ac:dyDescent="0.25"/>
  <cols>
    <col min="1" max="1" width="3.1640625" style="239" customWidth="1"/>
    <col min="2" max="2" width="5" style="239" customWidth="1"/>
    <col min="3" max="3" width="87.5" style="239" customWidth="1"/>
    <col min="4" max="4" width="26.1640625" style="239" customWidth="1"/>
    <col min="5" max="5" width="26.6640625" style="239" customWidth="1"/>
    <col min="6" max="6" width="24.83203125" style="239" customWidth="1"/>
    <col min="7" max="7" width="23.33203125" style="239" customWidth="1"/>
    <col min="8" max="8" width="8.5" style="239" customWidth="1"/>
    <col min="9" max="9" width="115.83203125" style="239" customWidth="1"/>
    <col min="10" max="10" width="26.5" style="239" customWidth="1"/>
    <col min="11" max="11" width="26" style="239" customWidth="1"/>
    <col min="12" max="12" width="24.6640625" style="239" customWidth="1"/>
    <col min="13" max="13" width="23.83203125" style="239" customWidth="1"/>
    <col min="14" max="14" width="21.33203125" style="239" bestFit="1" customWidth="1"/>
    <col min="15" max="15" width="17.5" style="239" customWidth="1"/>
    <col min="16" max="16" width="9.33203125" style="239"/>
    <col min="17" max="17" width="34.33203125" style="239" customWidth="1"/>
    <col min="18" max="16384" width="9.33203125" style="239"/>
  </cols>
  <sheetData>
    <row r="1" spans="1:13" ht="15" customHeight="1" x14ac:dyDescent="0.25">
      <c r="C1" s="240"/>
    </row>
    <row r="2" spans="1:13" ht="18.75" customHeight="1" x14ac:dyDescent="0.3">
      <c r="A2" s="2538" t="s">
        <v>323</v>
      </c>
      <c r="B2" s="2538"/>
      <c r="C2" s="2538"/>
      <c r="D2" s="2538"/>
      <c r="E2" s="2538"/>
      <c r="F2" s="2538"/>
      <c r="G2" s="2538"/>
      <c r="H2" s="2538"/>
      <c r="I2" s="2538"/>
      <c r="J2" s="2538"/>
      <c r="K2" s="2538"/>
      <c r="L2" s="2538"/>
    </row>
    <row r="3" spans="1:13" ht="15" customHeight="1" thickBot="1" x14ac:dyDescent="0.3">
      <c r="A3" s="241"/>
      <c r="B3" s="241"/>
      <c r="C3" s="241"/>
      <c r="D3" s="242"/>
      <c r="E3" s="242"/>
      <c r="F3" s="127"/>
      <c r="G3" s="127"/>
      <c r="H3" s="241"/>
      <c r="I3" s="241"/>
      <c r="J3" s="127"/>
      <c r="K3" s="127"/>
      <c r="M3" s="127" t="s">
        <v>32</v>
      </c>
    </row>
    <row r="4" spans="1:13" ht="29.25" customHeight="1" x14ac:dyDescent="0.3">
      <c r="A4" s="502"/>
      <c r="B4" s="1804" t="s">
        <v>349</v>
      </c>
      <c r="C4" s="1804"/>
      <c r="D4" s="2539" t="s">
        <v>512</v>
      </c>
      <c r="E4" s="2539"/>
      <c r="F4" s="1805" t="s">
        <v>662</v>
      </c>
      <c r="G4" s="1806" t="s">
        <v>178</v>
      </c>
      <c r="H4" s="1807" t="s">
        <v>350</v>
      </c>
      <c r="I4" s="1808"/>
      <c r="J4" s="2539" t="s">
        <v>512</v>
      </c>
      <c r="K4" s="2539"/>
      <c r="L4" s="1805" t="s">
        <v>662</v>
      </c>
      <c r="M4" s="1806" t="s">
        <v>178</v>
      </c>
    </row>
    <row r="5" spans="1:13" ht="21" thickBot="1" x14ac:dyDescent="0.35">
      <c r="A5" s="1809"/>
      <c r="B5" s="1810"/>
      <c r="C5" s="1810"/>
      <c r="D5" s="1811" t="s">
        <v>335</v>
      </c>
      <c r="E5" s="1811" t="s">
        <v>176</v>
      </c>
      <c r="F5" s="1812" t="s">
        <v>177</v>
      </c>
      <c r="G5" s="1813" t="s">
        <v>179</v>
      </c>
      <c r="H5" s="1814"/>
      <c r="I5" s="1815"/>
      <c r="J5" s="1811" t="s">
        <v>335</v>
      </c>
      <c r="K5" s="1811" t="s">
        <v>176</v>
      </c>
      <c r="L5" s="1812" t="s">
        <v>177</v>
      </c>
      <c r="M5" s="1813" t="s">
        <v>179</v>
      </c>
    </row>
    <row r="6" spans="1:13" ht="30" customHeight="1" x14ac:dyDescent="0.3">
      <c r="A6" s="1817" t="s">
        <v>363</v>
      </c>
      <c r="B6" s="1816"/>
      <c r="C6" s="246"/>
      <c r="D6" s="276">
        <f>+'3 bev.részl'!G111</f>
        <v>1588190</v>
      </c>
      <c r="E6" s="276">
        <f>+'3 bev.részl'!H111</f>
        <v>2634925</v>
      </c>
      <c r="F6" s="276">
        <f>+'3 bev.részl'!I111</f>
        <v>2073129</v>
      </c>
      <c r="G6" s="313">
        <f>+F6/E6*100</f>
        <v>78.678861827186736</v>
      </c>
      <c r="H6" s="474" t="s">
        <v>19</v>
      </c>
      <c r="I6" s="1820"/>
      <c r="J6" s="289">
        <f>+'8 okt.'!D34</f>
        <v>3284192</v>
      </c>
      <c r="K6" s="289">
        <f>+'8 okt.'!E34</f>
        <v>3380381</v>
      </c>
      <c r="L6" s="289">
        <f>+'8 okt.'!F34</f>
        <v>3128901</v>
      </c>
      <c r="M6" s="300">
        <f>+L6/K6*100</f>
        <v>92.560601896650113</v>
      </c>
    </row>
    <row r="7" spans="1:13" ht="30" customHeight="1" x14ac:dyDescent="0.3">
      <c r="A7" s="1818" t="s">
        <v>266</v>
      </c>
      <c r="B7" s="533"/>
      <c r="C7" s="248"/>
      <c r="D7" s="277">
        <f>+'3 bev.részl'!G55</f>
        <v>3174959</v>
      </c>
      <c r="E7" s="277">
        <f>+'3 bev.részl'!H55</f>
        <v>3905487</v>
      </c>
      <c r="F7" s="277">
        <f>+'3 bev.részl'!I55</f>
        <v>3782415</v>
      </c>
      <c r="G7" s="314">
        <f>+F7/E7*100</f>
        <v>96.848741270934966</v>
      </c>
      <c r="H7" s="1819" t="s">
        <v>289</v>
      </c>
      <c r="I7" s="1821"/>
      <c r="J7" s="290">
        <f>+'9 kult.'!C97</f>
        <v>2199363</v>
      </c>
      <c r="K7" s="290">
        <f>+'9 kult.'!D97</f>
        <v>2989627</v>
      </c>
      <c r="L7" s="290">
        <f>+'9 kult.'!E97</f>
        <v>2754621</v>
      </c>
      <c r="M7" s="301">
        <f>+L7/K7*100</f>
        <v>92.139286941146835</v>
      </c>
    </row>
    <row r="8" spans="1:13" ht="30" customHeight="1" x14ac:dyDescent="0.3">
      <c r="A8" s="1819" t="s">
        <v>290</v>
      </c>
      <c r="B8" s="533"/>
      <c r="C8" s="248"/>
      <c r="D8" s="278">
        <f>+'3 bev.részl'!G121</f>
        <v>120000</v>
      </c>
      <c r="E8" s="278">
        <f>+'3 bev.részl'!H121</f>
        <v>306797</v>
      </c>
      <c r="F8" s="278">
        <f>+'3 bev.részl'!I121</f>
        <v>286797</v>
      </c>
      <c r="G8" s="314">
        <f>+F8/E8*100</f>
        <v>93.481031431206958</v>
      </c>
      <c r="H8" s="1819" t="s">
        <v>125</v>
      </c>
      <c r="I8" s="1822"/>
      <c r="J8" s="290">
        <f>+'10 szoc.'!C32</f>
        <v>1006464</v>
      </c>
      <c r="K8" s="290">
        <f>+'10 szoc.'!D32</f>
        <v>1244187</v>
      </c>
      <c r="L8" s="290">
        <f>+'10 szoc.'!E32</f>
        <v>1162861</v>
      </c>
      <c r="M8" s="301">
        <f t="shared" ref="M8:M20" si="0">+L8/K8*100</f>
        <v>93.463522766272277</v>
      </c>
    </row>
    <row r="9" spans="1:13" ht="30" customHeight="1" x14ac:dyDescent="0.3">
      <c r="A9" s="1819" t="s">
        <v>155</v>
      </c>
      <c r="B9" s="248"/>
      <c r="C9" s="249"/>
      <c r="D9" s="277">
        <f>+'3 bev.részl'!G72</f>
        <v>9723200</v>
      </c>
      <c r="E9" s="277">
        <f>+'3 bev.részl'!H72</f>
        <v>9757715</v>
      </c>
      <c r="F9" s="277">
        <f>+'3 bev.részl'!I72</f>
        <v>9757715</v>
      </c>
      <c r="G9" s="314">
        <f>+F9/E9*100</f>
        <v>100</v>
      </c>
      <c r="H9" s="1819" t="s">
        <v>147</v>
      </c>
      <c r="I9" s="1822"/>
      <c r="J9" s="290">
        <f>+'11 eü.'!C26</f>
        <v>582487</v>
      </c>
      <c r="K9" s="290">
        <f>+'11 eü.'!D26</f>
        <v>627237</v>
      </c>
      <c r="L9" s="290">
        <f>+'11 eü.'!E26</f>
        <v>584931</v>
      </c>
      <c r="M9" s="301">
        <f t="shared" si="0"/>
        <v>93.255181055964485</v>
      </c>
    </row>
    <row r="10" spans="1:13" ht="30" customHeight="1" x14ac:dyDescent="0.3">
      <c r="A10" s="1819" t="s">
        <v>1667</v>
      </c>
      <c r="B10" s="249"/>
      <c r="C10" s="248"/>
      <c r="D10" s="278">
        <f>+'3 bev.részl'!G136</f>
        <v>1461371</v>
      </c>
      <c r="E10" s="278">
        <f>+'3 bev.részl'!H136</f>
        <v>1850099</v>
      </c>
      <c r="F10" s="278">
        <f>+'3 bev.részl'!I136</f>
        <v>1846818</v>
      </c>
      <c r="G10" s="314">
        <f>+F10/E10*100</f>
        <v>99.822658138834726</v>
      </c>
      <c r="H10" s="1819" t="s">
        <v>291</v>
      </c>
      <c r="I10" s="1822"/>
      <c r="J10" s="290">
        <f>+'12 Gyerm.'!C15</f>
        <v>653419</v>
      </c>
      <c r="K10" s="290">
        <f>+'12 Gyerm.'!D15</f>
        <v>731432</v>
      </c>
      <c r="L10" s="290">
        <f>+'12 Gyerm.'!E15</f>
        <v>696490</v>
      </c>
      <c r="M10" s="301">
        <f t="shared" si="0"/>
        <v>95.222795830644543</v>
      </c>
    </row>
    <row r="11" spans="1:13" ht="30" customHeight="1" x14ac:dyDescent="0.3">
      <c r="A11" s="250"/>
      <c r="B11" s="247"/>
      <c r="C11" s="247"/>
      <c r="D11" s="279"/>
      <c r="E11" s="279"/>
      <c r="F11" s="279"/>
      <c r="G11" s="1892"/>
      <c r="H11" s="1819" t="s">
        <v>306</v>
      </c>
      <c r="I11" s="1821"/>
      <c r="J11" s="290">
        <f>+'13 egyéb'!C101</f>
        <v>5105185</v>
      </c>
      <c r="K11" s="290">
        <f>+'13 egyéb'!D101</f>
        <v>6233544</v>
      </c>
      <c r="L11" s="290">
        <f>+'13 egyéb'!E101</f>
        <v>5844950</v>
      </c>
      <c r="M11" s="301">
        <f t="shared" si="0"/>
        <v>93.766082344168893</v>
      </c>
    </row>
    <row r="12" spans="1:13" ht="30" customHeight="1" x14ac:dyDescent="0.3">
      <c r="A12" s="250"/>
      <c r="B12" s="251"/>
      <c r="C12" s="247"/>
      <c r="D12" s="279"/>
      <c r="E12" s="279"/>
      <c r="F12" s="279"/>
      <c r="G12" s="1893"/>
      <c r="H12" s="1819" t="s">
        <v>334</v>
      </c>
      <c r="I12" s="1823"/>
      <c r="J12" s="290">
        <f>+'14 sport'!C38</f>
        <v>644600</v>
      </c>
      <c r="K12" s="290">
        <f>+'14 sport'!D38</f>
        <v>757880</v>
      </c>
      <c r="L12" s="290">
        <f>+'14 sport'!E38</f>
        <v>666795</v>
      </c>
      <c r="M12" s="301">
        <f t="shared" si="0"/>
        <v>87.981606586794754</v>
      </c>
    </row>
    <row r="13" spans="1:13" ht="30" customHeight="1" x14ac:dyDescent="0.3">
      <c r="A13" s="250"/>
      <c r="B13" s="244"/>
      <c r="C13" s="251"/>
      <c r="D13" s="279"/>
      <c r="E13" s="279"/>
      <c r="F13" s="279"/>
      <c r="G13" s="274"/>
      <c r="H13" s="1819" t="s">
        <v>292</v>
      </c>
      <c r="I13" s="1824"/>
      <c r="J13" s="290">
        <f>+'15 város.ü.,körny'!G31</f>
        <v>1020796</v>
      </c>
      <c r="K13" s="290">
        <f>+'15 város.ü.,körny'!H31</f>
        <v>1208516</v>
      </c>
      <c r="L13" s="290">
        <f>+'15 város.ü.,körny'!I31</f>
        <v>969504</v>
      </c>
      <c r="M13" s="301">
        <f t="shared" si="0"/>
        <v>80.222686335969073</v>
      </c>
    </row>
    <row r="14" spans="1:13" ht="30" customHeight="1" x14ac:dyDescent="0.3">
      <c r="A14" s="250"/>
      <c r="C14" s="251"/>
      <c r="D14" s="279"/>
      <c r="E14" s="279"/>
      <c r="F14" s="279"/>
      <c r="G14" s="274"/>
      <c r="H14" s="1819" t="s">
        <v>324</v>
      </c>
      <c r="I14" s="1824"/>
      <c r="J14" s="290">
        <f>+'16 út-híd'!C30</f>
        <v>229400</v>
      </c>
      <c r="K14" s="290">
        <f>+'16 út-híd'!D30</f>
        <v>303900</v>
      </c>
      <c r="L14" s="290">
        <f>+'16 út-híd'!E30</f>
        <v>231771</v>
      </c>
      <c r="M14" s="301">
        <f t="shared" si="0"/>
        <v>76.265547877591317</v>
      </c>
    </row>
    <row r="15" spans="1:13" ht="30" customHeight="1" x14ac:dyDescent="0.3">
      <c r="A15" s="250"/>
      <c r="B15" s="244"/>
      <c r="C15" s="251"/>
      <c r="D15" s="279"/>
      <c r="E15" s="279"/>
      <c r="F15" s="279"/>
      <c r="G15" s="274"/>
      <c r="H15" s="647" t="s">
        <v>96</v>
      </c>
      <c r="I15" s="474"/>
      <c r="J15" s="289"/>
      <c r="K15" s="289"/>
      <c r="L15" s="289"/>
      <c r="M15" s="301"/>
    </row>
    <row r="16" spans="1:13" ht="30" customHeight="1" x14ac:dyDescent="0.3">
      <c r="A16" s="252"/>
      <c r="B16" s="246"/>
      <c r="C16" s="246"/>
      <c r="D16" s="279"/>
      <c r="E16" s="279"/>
      <c r="F16" s="279"/>
      <c r="G16" s="274"/>
      <c r="H16" s="474"/>
      <c r="I16" s="631" t="s">
        <v>364</v>
      </c>
      <c r="J16" s="277">
        <v>140709</v>
      </c>
      <c r="K16" s="277">
        <v>0</v>
      </c>
      <c r="L16" s="277"/>
      <c r="M16" s="301"/>
    </row>
    <row r="17" spans="1:13" ht="30" customHeight="1" x14ac:dyDescent="0.3">
      <c r="A17" s="252"/>
      <c r="B17" s="246"/>
      <c r="C17" s="246"/>
      <c r="D17" s="279"/>
      <c r="E17" s="279"/>
      <c r="F17" s="279"/>
      <c r="G17" s="274"/>
      <c r="H17" s="474"/>
      <c r="I17" s="607" t="s">
        <v>383</v>
      </c>
      <c r="J17" s="277">
        <v>2272</v>
      </c>
      <c r="K17" s="277">
        <v>0</v>
      </c>
      <c r="L17" s="277"/>
      <c r="M17" s="301"/>
    </row>
    <row r="18" spans="1:13" ht="30" customHeight="1" x14ac:dyDescent="0.3">
      <c r="A18" s="254"/>
      <c r="B18" s="251"/>
      <c r="C18" s="244"/>
      <c r="D18" s="279"/>
      <c r="E18" s="279"/>
      <c r="F18" s="279"/>
      <c r="G18" s="274"/>
      <c r="H18" s="467"/>
      <c r="I18" s="631" t="s">
        <v>610</v>
      </c>
      <c r="J18" s="432"/>
      <c r="K18" s="432">
        <v>4095</v>
      </c>
      <c r="L18" s="432"/>
      <c r="M18" s="301">
        <f t="shared" si="0"/>
        <v>0</v>
      </c>
    </row>
    <row r="19" spans="1:13" ht="30" customHeight="1" thickBot="1" x14ac:dyDescent="0.35">
      <c r="A19" s="254"/>
      <c r="B19" s="247"/>
      <c r="C19" s="244"/>
      <c r="D19" s="279"/>
      <c r="E19" s="279"/>
      <c r="F19" s="279"/>
      <c r="G19" s="274"/>
      <c r="H19" s="467"/>
      <c r="I19" s="1825" t="s">
        <v>577</v>
      </c>
      <c r="J19" s="432">
        <v>7936</v>
      </c>
      <c r="K19" s="432">
        <v>0</v>
      </c>
      <c r="L19" s="432"/>
      <c r="M19" s="301"/>
    </row>
    <row r="20" spans="1:13" ht="30" customHeight="1" thickBot="1" x14ac:dyDescent="0.35">
      <c r="A20" s="255"/>
      <c r="B20" s="256"/>
      <c r="C20" s="257"/>
      <c r="D20" s="280"/>
      <c r="E20" s="280"/>
      <c r="F20" s="280"/>
      <c r="G20" s="275"/>
      <c r="H20" s="823" t="s">
        <v>293</v>
      </c>
      <c r="I20" s="1802"/>
      <c r="J20" s="286">
        <f>SUM(J16:J19)</f>
        <v>150917</v>
      </c>
      <c r="K20" s="286">
        <f>SUM(K16:K19)</f>
        <v>4095</v>
      </c>
      <c r="L20" s="286">
        <f>SUM(L16:L19)</f>
        <v>0</v>
      </c>
      <c r="M20" s="1803">
        <f t="shared" si="0"/>
        <v>0</v>
      </c>
    </row>
    <row r="21" spans="1:13" ht="30" customHeight="1" thickBot="1" x14ac:dyDescent="0.35">
      <c r="A21" s="1826" t="s">
        <v>294</v>
      </c>
      <c r="B21" s="245"/>
      <c r="C21" s="245"/>
      <c r="D21" s="281">
        <f>SUM(D6:D20)</f>
        <v>16067720</v>
      </c>
      <c r="E21" s="281">
        <f>SUM(E6:E20)</f>
        <v>18455023</v>
      </c>
      <c r="F21" s="281">
        <f>SUM(F6:F20)</f>
        <v>17746874</v>
      </c>
      <c r="G21" s="296">
        <f>+F21/E21*100</f>
        <v>96.162838702503919</v>
      </c>
      <c r="H21" s="245" t="s">
        <v>332</v>
      </c>
      <c r="I21" s="245"/>
      <c r="J21" s="291">
        <f>+J20+J14+J13+J12+J11+J10+J9+J8+J7+J6</f>
        <v>14876823</v>
      </c>
      <c r="K21" s="291">
        <f>+K20+K14+K13+K12+K11+K10+K9+K8+K7+K6</f>
        <v>17480799</v>
      </c>
      <c r="L21" s="291">
        <f>+L20+L14+L13+L12+L11+L10+L9+L8+L7+L6</f>
        <v>16040824</v>
      </c>
      <c r="M21" s="302">
        <f>+L21/K21*100</f>
        <v>91.762533280086345</v>
      </c>
    </row>
    <row r="22" spans="1:13" ht="18.75" customHeight="1" thickBot="1" x14ac:dyDescent="0.3">
      <c r="A22" s="258"/>
      <c r="B22" s="258"/>
      <c r="C22" s="258"/>
      <c r="D22" s="258"/>
      <c r="E22" s="258"/>
      <c r="F22" s="258"/>
      <c r="G22" s="258"/>
      <c r="H22" s="241"/>
      <c r="I22" s="241"/>
      <c r="J22" s="279"/>
      <c r="K22" s="279"/>
      <c r="L22" s="279"/>
      <c r="M22" s="303" t="s">
        <v>32</v>
      </c>
    </row>
    <row r="23" spans="1:13" ht="29.25" customHeight="1" x14ac:dyDescent="0.3">
      <c r="A23" s="502"/>
      <c r="B23" s="1804"/>
      <c r="C23" s="1804" t="s">
        <v>456</v>
      </c>
      <c r="D23" s="2539" t="s">
        <v>512</v>
      </c>
      <c r="E23" s="2539"/>
      <c r="F23" s="1805" t="s">
        <v>662</v>
      </c>
      <c r="G23" s="1806" t="s">
        <v>178</v>
      </c>
      <c r="H23" s="502"/>
      <c r="I23" s="1804" t="s">
        <v>295</v>
      </c>
      <c r="J23" s="2539" t="s">
        <v>512</v>
      </c>
      <c r="K23" s="2539"/>
      <c r="L23" s="1805" t="s">
        <v>662</v>
      </c>
      <c r="M23" s="1862" t="s">
        <v>178</v>
      </c>
    </row>
    <row r="24" spans="1:13" ht="18.75" customHeight="1" x14ac:dyDescent="0.3">
      <c r="A24" s="1863"/>
      <c r="B24" s="1859"/>
      <c r="C24" s="1859"/>
      <c r="D24" s="1864" t="s">
        <v>335</v>
      </c>
      <c r="E24" s="1864" t="s">
        <v>176</v>
      </c>
      <c r="F24" s="1865" t="s">
        <v>177</v>
      </c>
      <c r="G24" s="1866" t="s">
        <v>179</v>
      </c>
      <c r="H24" s="1863"/>
      <c r="I24" s="1859"/>
      <c r="J24" s="1864" t="s">
        <v>335</v>
      </c>
      <c r="K24" s="1864" t="s">
        <v>176</v>
      </c>
      <c r="L24" s="1865" t="s">
        <v>177</v>
      </c>
      <c r="M24" s="1867" t="s">
        <v>179</v>
      </c>
    </row>
    <row r="25" spans="1:13" ht="18.75" customHeight="1" thickBot="1" x14ac:dyDescent="0.35">
      <c r="A25" s="1868"/>
      <c r="B25" s="1869"/>
      <c r="C25" s="1869"/>
      <c r="D25" s="1870"/>
      <c r="E25" s="1870"/>
      <c r="F25" s="1870"/>
      <c r="G25" s="1871"/>
      <c r="H25" s="507"/>
      <c r="I25" s="1872"/>
      <c r="J25" s="1870"/>
      <c r="K25" s="1870"/>
      <c r="L25" s="1870"/>
      <c r="M25" s="1873"/>
    </row>
    <row r="26" spans="1:13" ht="30" customHeight="1" x14ac:dyDescent="0.3">
      <c r="A26" s="1827" t="s">
        <v>302</v>
      </c>
      <c r="B26" s="1828"/>
      <c r="C26" s="1829"/>
      <c r="D26" s="283">
        <f>+'17 fbev.'!D48</f>
        <v>550000</v>
      </c>
      <c r="E26" s="283">
        <f>+'17 fbev.'!E48</f>
        <v>144379</v>
      </c>
      <c r="F26" s="283">
        <f>+'17 fbev.'!F48</f>
        <v>144379</v>
      </c>
      <c r="G26" s="297">
        <f>+F26/E26*100</f>
        <v>100</v>
      </c>
      <c r="H26" s="1834" t="s">
        <v>296</v>
      </c>
      <c r="I26" s="1835"/>
      <c r="J26" s="284"/>
      <c r="K26" s="284"/>
      <c r="L26" s="284"/>
      <c r="M26" s="304"/>
    </row>
    <row r="27" spans="1:13" ht="44.25" customHeight="1" x14ac:dyDescent="0.3">
      <c r="A27" s="2535" t="s">
        <v>297</v>
      </c>
      <c r="B27" s="2536"/>
      <c r="C27" s="2537"/>
      <c r="D27" s="278">
        <f>+'17 fbev.'!D43</f>
        <v>0</v>
      </c>
      <c r="E27" s="278">
        <f>+'17 fbev.'!E43</f>
        <v>9397324</v>
      </c>
      <c r="F27" s="278">
        <f>+'17 fbev.'!F43</f>
        <v>492498</v>
      </c>
      <c r="G27" s="298">
        <f>+F27/E27*100</f>
        <v>5.2408323901570277</v>
      </c>
      <c r="H27" s="1836" t="s">
        <v>19</v>
      </c>
      <c r="I27" s="1837"/>
      <c r="J27" s="292">
        <f>+'8 okt.'!D42</f>
        <v>0</v>
      </c>
      <c r="K27" s="292">
        <f>+'8 okt.'!E42</f>
        <v>223461</v>
      </c>
      <c r="L27" s="292">
        <f>+'8 okt.'!F42</f>
        <v>190479</v>
      </c>
      <c r="M27" s="301">
        <f t="shared" ref="M27:M32" si="1">+L27/K27*100</f>
        <v>85.24037751553962</v>
      </c>
    </row>
    <row r="28" spans="1:13" ht="30" customHeight="1" x14ac:dyDescent="0.3">
      <c r="A28" s="1830" t="s">
        <v>298</v>
      </c>
      <c r="B28" s="1831"/>
      <c r="C28" s="1831"/>
      <c r="D28" s="278">
        <f>+'17 fbev.'!D55</f>
        <v>33000</v>
      </c>
      <c r="E28" s="278">
        <f>+'17 fbev.'!E55</f>
        <v>35482</v>
      </c>
      <c r="F28" s="278">
        <f>+'17 fbev.'!F55</f>
        <v>35482</v>
      </c>
      <c r="G28" s="298">
        <f>+F28/E28*100</f>
        <v>100</v>
      </c>
      <c r="H28" s="1836" t="s">
        <v>289</v>
      </c>
      <c r="I28" s="1837"/>
      <c r="J28" s="292">
        <f>+'9 kult.'!C121</f>
        <v>13000</v>
      </c>
      <c r="K28" s="292">
        <f>+'9 kult.'!D121</f>
        <v>93390</v>
      </c>
      <c r="L28" s="292">
        <f>+'9 kult.'!E121</f>
        <v>68610</v>
      </c>
      <c r="M28" s="301">
        <f t="shared" si="1"/>
        <v>73.466109861869583</v>
      </c>
    </row>
    <row r="29" spans="1:13" ht="30" customHeight="1" x14ac:dyDescent="0.3">
      <c r="A29" s="1832" t="s">
        <v>1668</v>
      </c>
      <c r="B29" s="1833"/>
      <c r="C29" s="1833"/>
      <c r="D29" s="292">
        <f>'17 fbev.'!D71</f>
        <v>1990</v>
      </c>
      <c r="E29" s="292">
        <f>'17 fbev.'!E71</f>
        <v>28246</v>
      </c>
      <c r="F29" s="292">
        <f>'17 fbev.'!F71</f>
        <v>28247</v>
      </c>
      <c r="G29" s="298">
        <f>+F29/E29*100</f>
        <v>100.00354032429371</v>
      </c>
      <c r="H29" s="1836" t="s">
        <v>125</v>
      </c>
      <c r="I29" s="1837"/>
      <c r="J29" s="292">
        <f>+'10 szoc.'!C39</f>
        <v>0</v>
      </c>
      <c r="K29" s="292">
        <f>+'10 szoc.'!D39</f>
        <v>28701</v>
      </c>
      <c r="L29" s="292">
        <f>+'10 szoc.'!E39</f>
        <v>14759</v>
      </c>
      <c r="M29" s="301">
        <f t="shared" si="1"/>
        <v>51.423295355562523</v>
      </c>
    </row>
    <row r="30" spans="1:13" ht="30" customHeight="1" x14ac:dyDescent="0.3">
      <c r="A30" s="260"/>
      <c r="B30" s="259"/>
      <c r="C30" s="259"/>
      <c r="D30" s="285"/>
      <c r="E30" s="285"/>
      <c r="F30" s="285"/>
      <c r="G30" s="282"/>
      <c r="H30" s="1836" t="s">
        <v>147</v>
      </c>
      <c r="I30" s="1837"/>
      <c r="J30" s="292">
        <f>+'11 eü.'!C34</f>
        <v>5129</v>
      </c>
      <c r="K30" s="292">
        <f>+'11 eü.'!D34</f>
        <v>108370</v>
      </c>
      <c r="L30" s="292">
        <f>+'11 eü.'!E34</f>
        <v>15203</v>
      </c>
      <c r="M30" s="301">
        <f t="shared" si="1"/>
        <v>14.028790255605795</v>
      </c>
    </row>
    <row r="31" spans="1:13" ht="30" customHeight="1" x14ac:dyDescent="0.3">
      <c r="A31" s="260"/>
      <c r="B31" s="259"/>
      <c r="C31" s="259"/>
      <c r="D31" s="285"/>
      <c r="E31" s="285"/>
      <c r="F31" s="285"/>
      <c r="G31" s="282"/>
      <c r="H31" s="1836" t="s">
        <v>291</v>
      </c>
      <c r="I31" s="1837"/>
      <c r="J31" s="292">
        <f>+'12 Gyerm.'!C23</f>
        <v>6638</v>
      </c>
      <c r="K31" s="292">
        <f>+'12 Gyerm.'!D23</f>
        <v>16975</v>
      </c>
      <c r="L31" s="292">
        <f>+'12 Gyerm.'!E23</f>
        <v>11738</v>
      </c>
      <c r="M31" s="301">
        <f t="shared" si="1"/>
        <v>69.148748159057433</v>
      </c>
    </row>
    <row r="32" spans="1:13" ht="30" customHeight="1" thickBot="1" x14ac:dyDescent="0.35">
      <c r="A32" s="261"/>
      <c r="B32" s="262"/>
      <c r="C32" s="262"/>
      <c r="D32" s="285"/>
      <c r="E32" s="285"/>
      <c r="F32" s="285"/>
      <c r="G32" s="282"/>
      <c r="H32" s="1836" t="s">
        <v>306</v>
      </c>
      <c r="I32" s="1837"/>
      <c r="J32" s="292">
        <f>+'13 egyéb'!C109</f>
        <v>27670</v>
      </c>
      <c r="K32" s="292">
        <f>+'13 egyéb'!D109</f>
        <v>94301</v>
      </c>
      <c r="L32" s="292">
        <f>+'13 egyéb'!E109</f>
        <v>68762</v>
      </c>
      <c r="M32" s="301">
        <f t="shared" si="1"/>
        <v>72.917572454162737</v>
      </c>
    </row>
    <row r="33" spans="1:13" ht="30" customHeight="1" thickBot="1" x14ac:dyDescent="0.35">
      <c r="A33" s="261"/>
      <c r="B33" s="262"/>
      <c r="C33" s="262"/>
      <c r="D33" s="285"/>
      <c r="E33" s="285"/>
      <c r="F33" s="285"/>
      <c r="G33" s="272"/>
      <c r="H33" s="823" t="s">
        <v>299</v>
      </c>
      <c r="I33" s="1838"/>
      <c r="J33" s="293">
        <f>SUM(J26:J32)</f>
        <v>52437</v>
      </c>
      <c r="K33" s="293">
        <f>SUM(K26:K32)</f>
        <v>565198</v>
      </c>
      <c r="L33" s="293">
        <f>SUM(L26:L32)</f>
        <v>369551</v>
      </c>
      <c r="M33" s="299">
        <f>+L33/K33*100</f>
        <v>65.384343185927762</v>
      </c>
    </row>
    <row r="34" spans="1:13" ht="30" customHeight="1" x14ac:dyDescent="0.3">
      <c r="A34" s="250"/>
      <c r="B34" s="244"/>
      <c r="C34" s="244"/>
      <c r="D34" s="279"/>
      <c r="E34" s="279"/>
      <c r="F34" s="279"/>
      <c r="G34" s="274"/>
      <c r="H34" s="1839" t="s">
        <v>150</v>
      </c>
      <c r="I34" s="1840"/>
      <c r="J34" s="276">
        <f>+'18 fkia.'!D15</f>
        <v>144455</v>
      </c>
      <c r="K34" s="276">
        <f>+'18 fkia.'!E15</f>
        <v>170955</v>
      </c>
      <c r="L34" s="276">
        <f>+'18 fkia.'!F15</f>
        <v>72550</v>
      </c>
      <c r="M34" s="301">
        <f>+L34/K34*100</f>
        <v>42.438068497557836</v>
      </c>
    </row>
    <row r="35" spans="1:13" ht="30" customHeight="1" x14ac:dyDescent="0.3">
      <c r="A35" s="250"/>
      <c r="B35" s="244"/>
      <c r="C35" s="244"/>
      <c r="D35" s="279"/>
      <c r="E35" s="279"/>
      <c r="F35" s="279"/>
      <c r="G35" s="274"/>
      <c r="H35" s="1836" t="s">
        <v>59</v>
      </c>
      <c r="I35" s="1841"/>
      <c r="J35" s="277">
        <f>+'18 fkia.'!D18</f>
        <v>50000</v>
      </c>
      <c r="K35" s="277">
        <f>+'18 fkia.'!E18</f>
        <v>0</v>
      </c>
      <c r="L35" s="277">
        <f>+'18 fkia.'!F18</f>
        <v>0</v>
      </c>
      <c r="M35" s="301"/>
    </row>
    <row r="36" spans="1:13" ht="30" customHeight="1" x14ac:dyDescent="0.3">
      <c r="A36" s="250"/>
      <c r="B36" s="244"/>
      <c r="C36" s="244"/>
      <c r="D36" s="279"/>
      <c r="E36" s="279"/>
      <c r="F36" s="279"/>
      <c r="G36" s="274"/>
      <c r="H36" s="1836" t="s">
        <v>311</v>
      </c>
      <c r="I36" s="1842"/>
      <c r="J36" s="277">
        <f>+'18 fkia.'!D22</f>
        <v>41357</v>
      </c>
      <c r="K36" s="277">
        <f>+'18 fkia.'!E22</f>
        <v>88520</v>
      </c>
      <c r="L36" s="277">
        <f>+'18 fkia.'!F22</f>
        <v>56718</v>
      </c>
      <c r="M36" s="301">
        <f t="shared" ref="M36:M40" si="2">+L36/K36*100</f>
        <v>64.073655671034786</v>
      </c>
    </row>
    <row r="37" spans="1:13" ht="30" customHeight="1" x14ac:dyDescent="0.3">
      <c r="A37" s="264"/>
      <c r="B37" s="263"/>
      <c r="C37" s="244"/>
      <c r="D37" s="279"/>
      <c r="E37" s="279"/>
      <c r="F37" s="279"/>
      <c r="G37" s="274"/>
      <c r="H37" s="1836" t="s">
        <v>315</v>
      </c>
      <c r="I37" s="1842"/>
      <c r="J37" s="277">
        <f>+'18 fkia.'!D30</f>
        <v>527832</v>
      </c>
      <c r="K37" s="277">
        <f>+'18 fkia.'!E30</f>
        <v>764418</v>
      </c>
      <c r="L37" s="277">
        <f>+'18 fkia.'!F30</f>
        <v>672048</v>
      </c>
      <c r="M37" s="301">
        <f t="shared" si="2"/>
        <v>87.916297104463794</v>
      </c>
    </row>
    <row r="38" spans="1:13" ht="30" customHeight="1" x14ac:dyDescent="0.3">
      <c r="A38" s="264"/>
      <c r="B38" s="263"/>
      <c r="C38" s="265"/>
      <c r="D38" s="279"/>
      <c r="E38" s="279"/>
      <c r="F38" s="279"/>
      <c r="G38" s="274"/>
      <c r="H38" s="1836" t="s">
        <v>322</v>
      </c>
      <c r="I38" s="1842"/>
      <c r="J38" s="277">
        <f>+'18 fkia.'!D139</f>
        <v>14726500</v>
      </c>
      <c r="K38" s="277">
        <f>+'18 fkia.'!E139</f>
        <v>20871517</v>
      </c>
      <c r="L38" s="277">
        <f>+'18 fkia.'!F139</f>
        <v>3932021</v>
      </c>
      <c r="M38" s="301">
        <f t="shared" si="2"/>
        <v>18.839172064014324</v>
      </c>
    </row>
    <row r="39" spans="1:13" ht="30" customHeight="1" x14ac:dyDescent="0.3">
      <c r="A39" s="253"/>
      <c r="B39" s="266"/>
      <c r="C39" s="265"/>
      <c r="D39" s="279"/>
      <c r="E39" s="279"/>
      <c r="F39" s="279"/>
      <c r="G39" s="274"/>
      <c r="H39" s="1836" t="s">
        <v>333</v>
      </c>
      <c r="I39" s="1843"/>
      <c r="J39" s="277">
        <f>+'18 fkia.'!D143</f>
        <v>4960</v>
      </c>
      <c r="K39" s="277">
        <f>+'18 fkia.'!E143</f>
        <v>0</v>
      </c>
      <c r="L39" s="277">
        <f>+'18 fkia.'!F143</f>
        <v>0</v>
      </c>
      <c r="M39" s="301"/>
    </row>
    <row r="40" spans="1:13" ht="30" customHeight="1" x14ac:dyDescent="0.3">
      <c r="A40" s="253"/>
      <c r="B40" s="266"/>
      <c r="C40" s="265"/>
      <c r="D40" s="279"/>
      <c r="E40" s="279"/>
      <c r="F40" s="279"/>
      <c r="G40" s="274"/>
      <c r="H40" s="1839" t="s">
        <v>100</v>
      </c>
      <c r="I40" s="1839"/>
      <c r="J40" s="276">
        <f>+'18 fkia.'!D144</f>
        <v>20000</v>
      </c>
      <c r="K40" s="276">
        <f>+'18 fkia.'!E144</f>
        <v>38807</v>
      </c>
      <c r="L40" s="276">
        <f>+'18 fkia.'!F144</f>
        <v>22702</v>
      </c>
      <c r="M40" s="301">
        <f t="shared" si="2"/>
        <v>58.499755198804337</v>
      </c>
    </row>
    <row r="41" spans="1:13" ht="30" customHeight="1" thickBot="1" x14ac:dyDescent="0.35">
      <c r="A41" s="253"/>
      <c r="B41" s="266"/>
      <c r="C41" s="265"/>
      <c r="D41" s="279"/>
      <c r="E41" s="279"/>
      <c r="F41" s="279"/>
      <c r="G41" s="274"/>
      <c r="H41" s="1844" t="s">
        <v>300</v>
      </c>
      <c r="I41" s="1845"/>
      <c r="J41" s="294">
        <f>SUM(J34:J40)</f>
        <v>15515104</v>
      </c>
      <c r="K41" s="294">
        <f>SUM(K34:K40)</f>
        <v>21934217</v>
      </c>
      <c r="L41" s="294">
        <f>SUM(L34:L40)</f>
        <v>4756039</v>
      </c>
      <c r="M41" s="305">
        <f>+L41/K41*100</f>
        <v>21.683194800160862</v>
      </c>
    </row>
    <row r="42" spans="1:13" ht="30" customHeight="1" thickBot="1" x14ac:dyDescent="0.35">
      <c r="A42" s="1847" t="s">
        <v>1293</v>
      </c>
      <c r="B42" s="267"/>
      <c r="C42" s="268"/>
      <c r="D42" s="286">
        <f>SUM(D26:D41)</f>
        <v>584990</v>
      </c>
      <c r="E42" s="286">
        <f>SUM(E26:E41)</f>
        <v>9605431</v>
      </c>
      <c r="F42" s="286">
        <f>SUM(F26:F41)</f>
        <v>700606</v>
      </c>
      <c r="G42" s="299">
        <f>+F42/E42*100</f>
        <v>7.2938528213882332</v>
      </c>
      <c r="H42" s="1846" t="s">
        <v>1292</v>
      </c>
      <c r="I42" s="1846"/>
      <c r="J42" s="286">
        <f>+J41+J33</f>
        <v>15567541</v>
      </c>
      <c r="K42" s="286">
        <f>+K41+K33</f>
        <v>22499415</v>
      </c>
      <c r="L42" s="286">
        <f>+L41+L33</f>
        <v>5125590</v>
      </c>
      <c r="M42" s="299">
        <f>+L42/K42*100</f>
        <v>22.780992305799952</v>
      </c>
    </row>
    <row r="43" spans="1:13" s="244" customFormat="1" ht="18.75" customHeight="1" thickBot="1" x14ac:dyDescent="0.35">
      <c r="A43" s="269"/>
      <c r="B43" s="269"/>
      <c r="C43" s="270"/>
      <c r="D43" s="287"/>
      <c r="E43" s="287"/>
      <c r="F43" s="287"/>
      <c r="G43" s="271"/>
      <c r="H43" s="243"/>
      <c r="I43" s="243"/>
      <c r="J43" s="295"/>
      <c r="K43" s="295"/>
      <c r="L43" s="295"/>
      <c r="M43" s="306"/>
    </row>
    <row r="44" spans="1:13" ht="30" customHeight="1" x14ac:dyDescent="0.3">
      <c r="A44" s="1848" t="s">
        <v>139</v>
      </c>
      <c r="B44" s="1849"/>
      <c r="C44" s="1850"/>
      <c r="D44" s="295"/>
      <c r="E44" s="295"/>
      <c r="F44" s="295"/>
      <c r="G44" s="1851"/>
      <c r="H44" s="1852" t="s">
        <v>139</v>
      </c>
      <c r="I44" s="1853"/>
      <c r="J44" s="295"/>
      <c r="K44" s="295"/>
      <c r="L44" s="295"/>
      <c r="M44" s="330"/>
    </row>
    <row r="45" spans="1:13" ht="30" customHeight="1" x14ac:dyDescent="0.3">
      <c r="A45" s="1854"/>
      <c r="B45" s="604"/>
      <c r="C45" s="575" t="s">
        <v>58</v>
      </c>
      <c r="D45" s="277">
        <v>125000</v>
      </c>
      <c r="E45" s="277">
        <v>1549052</v>
      </c>
      <c r="F45" s="277">
        <v>1549052</v>
      </c>
      <c r="G45" s="298">
        <f>+F45/E45*100</f>
        <v>100</v>
      </c>
      <c r="H45" s="1855" t="s">
        <v>500</v>
      </c>
      <c r="I45" s="1856"/>
      <c r="J45" s="277"/>
      <c r="K45" s="277">
        <v>96015</v>
      </c>
      <c r="L45" s="277">
        <v>96015</v>
      </c>
      <c r="M45" s="434">
        <f>+L45/K45*100</f>
        <v>100</v>
      </c>
    </row>
    <row r="46" spans="1:13" ht="30" customHeight="1" x14ac:dyDescent="0.3">
      <c r="A46" s="1854"/>
      <c r="B46" s="604"/>
      <c r="C46" s="1857" t="s">
        <v>681</v>
      </c>
      <c r="D46" s="277"/>
      <c r="E46" s="277">
        <v>96553</v>
      </c>
      <c r="F46" s="277">
        <v>96553</v>
      </c>
      <c r="G46" s="433">
        <f>+F46/E46*100</f>
        <v>100</v>
      </c>
      <c r="H46" s="607" t="s">
        <v>1669</v>
      </c>
      <c r="I46" s="1856"/>
      <c r="J46" s="277"/>
      <c r="K46" s="277">
        <v>3000000</v>
      </c>
      <c r="L46" s="277">
        <v>3000000</v>
      </c>
      <c r="M46" s="434">
        <f>+L46/K46*100</f>
        <v>100</v>
      </c>
    </row>
    <row r="47" spans="1:13" ht="30" customHeight="1" x14ac:dyDescent="0.3">
      <c r="A47" s="1854"/>
      <c r="B47" s="604"/>
      <c r="C47" s="1857" t="s">
        <v>622</v>
      </c>
      <c r="D47" s="277"/>
      <c r="E47" s="277">
        <v>3000000</v>
      </c>
      <c r="F47" s="277">
        <v>3000000</v>
      </c>
      <c r="G47" s="298">
        <f t="shared" ref="G47:G52" si="3">+F47/E47*100</f>
        <v>100</v>
      </c>
      <c r="H47" s="1855" t="s">
        <v>691</v>
      </c>
      <c r="I47" s="1858"/>
      <c r="J47" s="883"/>
      <c r="K47" s="883">
        <v>96553</v>
      </c>
      <c r="L47" s="883"/>
      <c r="M47" s="434">
        <f>+L47/K47*100</f>
        <v>0</v>
      </c>
    </row>
    <row r="48" spans="1:13" ht="36" customHeight="1" x14ac:dyDescent="0.3">
      <c r="A48" s="1854"/>
      <c r="B48" s="604"/>
      <c r="C48" s="575" t="s">
        <v>216</v>
      </c>
      <c r="D48" s="277">
        <v>13666654</v>
      </c>
      <c r="E48" s="277">
        <v>9793752</v>
      </c>
      <c r="F48" s="277">
        <v>9793752</v>
      </c>
      <c r="G48" s="298">
        <f t="shared" si="3"/>
        <v>100</v>
      </c>
      <c r="H48" s="1855"/>
      <c r="I48" s="1858"/>
      <c r="J48" s="883"/>
      <c r="K48" s="883"/>
      <c r="L48" s="883"/>
      <c r="M48" s="884"/>
    </row>
    <row r="49" spans="1:13" ht="39.75" customHeight="1" x14ac:dyDescent="0.3">
      <c r="A49" s="1854"/>
      <c r="B49" s="604"/>
      <c r="C49" s="575" t="s">
        <v>425</v>
      </c>
      <c r="D49" s="277"/>
      <c r="E49" s="277">
        <v>61496</v>
      </c>
      <c r="F49" s="277">
        <v>61496</v>
      </c>
      <c r="G49" s="298">
        <f t="shared" si="3"/>
        <v>100</v>
      </c>
      <c r="H49" s="1855"/>
      <c r="I49" s="1856"/>
      <c r="J49" s="277"/>
      <c r="K49" s="277"/>
      <c r="L49" s="277"/>
      <c r="M49" s="434"/>
    </row>
    <row r="50" spans="1:13" ht="48" customHeight="1" x14ac:dyDescent="0.3">
      <c r="A50" s="1854"/>
      <c r="B50" s="604"/>
      <c r="C50" s="575" t="s">
        <v>426</v>
      </c>
      <c r="D50" s="277"/>
      <c r="E50" s="277">
        <v>99911</v>
      </c>
      <c r="F50" s="277">
        <v>99911</v>
      </c>
      <c r="G50" s="298">
        <f t="shared" si="3"/>
        <v>100</v>
      </c>
      <c r="H50" s="1819"/>
      <c r="I50" s="1856"/>
      <c r="J50" s="277"/>
      <c r="K50" s="277"/>
      <c r="L50" s="277"/>
      <c r="M50" s="2018"/>
    </row>
    <row r="51" spans="1:13" ht="48" customHeight="1" thickBot="1" x14ac:dyDescent="0.35">
      <c r="A51" s="1854"/>
      <c r="B51" s="604"/>
      <c r="C51" s="575" t="s">
        <v>477</v>
      </c>
      <c r="D51" s="277"/>
      <c r="E51" s="277">
        <v>511564</v>
      </c>
      <c r="F51" s="277"/>
      <c r="G51" s="298">
        <f t="shared" si="3"/>
        <v>0</v>
      </c>
      <c r="H51" s="474"/>
      <c r="I51" s="1859"/>
      <c r="J51" s="276"/>
      <c r="K51" s="276"/>
      <c r="L51" s="276"/>
      <c r="M51" s="435"/>
    </row>
    <row r="52" spans="1:13" ht="30" customHeight="1" thickBot="1" x14ac:dyDescent="0.35">
      <c r="A52" s="1860"/>
      <c r="B52" s="1874" t="s">
        <v>140</v>
      </c>
      <c r="C52" s="1875"/>
      <c r="D52" s="1876">
        <f>SUM(D44:D51)</f>
        <v>13791654</v>
      </c>
      <c r="E52" s="1877">
        <f>SUM(E44:E51)</f>
        <v>15112328</v>
      </c>
      <c r="F52" s="1877">
        <f>SUM(F44:F51)</f>
        <v>14600764</v>
      </c>
      <c r="G52" s="1878">
        <f t="shared" si="3"/>
        <v>96.61492259829194</v>
      </c>
      <c r="H52" s="1846" t="s">
        <v>1294</v>
      </c>
      <c r="I52" s="1846"/>
      <c r="J52" s="286">
        <f>SUM(J44:J45)</f>
        <v>0</v>
      </c>
      <c r="K52" s="286">
        <f>SUM(K44:K51)</f>
        <v>3192568</v>
      </c>
      <c r="L52" s="286">
        <f>SUM(L44:L51)</f>
        <v>3096015</v>
      </c>
      <c r="M52" s="299">
        <f>+L52/K52*100</f>
        <v>96.97569480117572</v>
      </c>
    </row>
    <row r="53" spans="1:13" ht="30" customHeight="1" x14ac:dyDescent="0.3">
      <c r="A53" s="1854"/>
      <c r="B53" s="1879"/>
      <c r="C53" s="1879"/>
      <c r="D53" s="1880"/>
      <c r="E53" s="1880"/>
      <c r="F53" s="1880"/>
      <c r="G53" s="1881"/>
      <c r="H53" s="1882"/>
      <c r="I53" s="1883"/>
      <c r="J53" s="295"/>
      <c r="K53" s="295"/>
      <c r="L53" s="295"/>
      <c r="M53" s="330"/>
    </row>
    <row r="54" spans="1:13" ht="30" customHeight="1" thickBot="1" x14ac:dyDescent="0.35">
      <c r="A54" s="1861"/>
      <c r="B54" s="1884"/>
      <c r="C54" s="1884"/>
      <c r="D54" s="1885"/>
      <c r="E54" s="1885"/>
      <c r="F54" s="1885"/>
      <c r="G54" s="1886"/>
      <c r="H54" s="1887"/>
      <c r="I54" s="1884"/>
      <c r="J54" s="288"/>
      <c r="K54" s="288"/>
      <c r="L54" s="288"/>
      <c r="M54" s="307"/>
    </row>
    <row r="55" spans="1:13" ht="33.75" customHeight="1" thickBot="1" x14ac:dyDescent="0.35">
      <c r="A55" s="1889" t="s">
        <v>1296</v>
      </c>
      <c r="B55" s="1888"/>
      <c r="C55" s="1888"/>
      <c r="D55" s="1877">
        <f>+D52+D42+D21</f>
        <v>30444364</v>
      </c>
      <c r="E55" s="1877">
        <f>+E52+E42+E21</f>
        <v>43172782</v>
      </c>
      <c r="F55" s="1877">
        <f>+F52+F42+F21</f>
        <v>33048244</v>
      </c>
      <c r="G55" s="1878">
        <f>+F55/E55*100</f>
        <v>76.548794099022857</v>
      </c>
      <c r="H55" s="1891" t="s">
        <v>1295</v>
      </c>
      <c r="I55" s="1890"/>
      <c r="J55" s="286">
        <f>+J52+J42+J21</f>
        <v>30444364</v>
      </c>
      <c r="K55" s="286">
        <f>+K52+K42+K21</f>
        <v>43172782</v>
      </c>
      <c r="L55" s="286">
        <f>+L52+L42+L21</f>
        <v>24262429</v>
      </c>
      <c r="M55" s="299">
        <f>+L55/K55*100</f>
        <v>56.198437710129504</v>
      </c>
    </row>
    <row r="56" spans="1:13" s="244" customFormat="1" ht="20.25" x14ac:dyDescent="0.3">
      <c r="A56" s="308"/>
      <c r="B56" s="269"/>
      <c r="C56" s="269"/>
      <c r="D56" s="273"/>
      <c r="E56" s="273"/>
      <c r="F56" s="273"/>
      <c r="G56" s="273"/>
      <c r="H56" s="309"/>
      <c r="I56" s="262"/>
      <c r="J56" s="312"/>
      <c r="K56" s="100"/>
      <c r="L56" s="312"/>
      <c r="M56" s="326"/>
    </row>
    <row r="57" spans="1:13" s="244" customFormat="1" ht="18" x14ac:dyDescent="0.25">
      <c r="A57" s="190"/>
      <c r="B57" s="100"/>
      <c r="C57" s="100"/>
      <c r="F57" s="244">
        <f>+F45+F50</f>
        <v>1648963</v>
      </c>
      <c r="J57" s="100"/>
      <c r="K57" s="100"/>
      <c r="L57" s="312"/>
      <c r="M57" s="1895"/>
    </row>
    <row r="58" spans="1:13" s="244" customFormat="1" ht="18" x14ac:dyDescent="0.25">
      <c r="A58" s="100"/>
      <c r="B58" s="100"/>
      <c r="C58" s="100"/>
      <c r="F58" s="244">
        <f>+F48+F49</f>
        <v>9855248</v>
      </c>
      <c r="J58" s="100"/>
      <c r="K58" s="100"/>
      <c r="L58" s="100"/>
    </row>
    <row r="59" spans="1:13" s="244" customFormat="1" ht="18" x14ac:dyDescent="0.25">
      <c r="A59" s="310"/>
      <c r="B59" s="311"/>
      <c r="C59" s="100"/>
    </row>
    <row r="60" spans="1:13" s="244" customFormat="1" ht="18" x14ac:dyDescent="0.25">
      <c r="A60" s="312"/>
      <c r="B60" s="100"/>
      <c r="C60" s="100"/>
    </row>
    <row r="61" spans="1:13" s="244" customFormat="1" ht="18" x14ac:dyDescent="0.25">
      <c r="A61" s="100"/>
      <c r="B61" s="100"/>
      <c r="C61" s="100"/>
      <c r="D61" s="1896"/>
      <c r="E61" s="1897"/>
      <c r="J61" s="100"/>
      <c r="K61" s="1894"/>
      <c r="L61" s="1898"/>
      <c r="M61" s="100"/>
    </row>
    <row r="62" spans="1:13" s="244" customFormat="1" ht="15" customHeight="1" x14ac:dyDescent="0.25">
      <c r="A62" s="100"/>
      <c r="B62" s="100"/>
      <c r="C62" s="100"/>
      <c r="D62" s="1895"/>
      <c r="E62" s="1895"/>
      <c r="J62" s="100"/>
      <c r="K62" s="385"/>
      <c r="L62" s="100"/>
      <c r="M62" s="100"/>
    </row>
    <row r="63" spans="1:13" s="244" customFormat="1" ht="15" customHeight="1" x14ac:dyDescent="0.25">
      <c r="J63" s="100"/>
      <c r="K63" s="385"/>
      <c r="L63" s="100"/>
      <c r="M63" s="100"/>
    </row>
    <row r="64" spans="1:13" s="244" customFormat="1" ht="15" customHeight="1" x14ac:dyDescent="0.25">
      <c r="J64" s="100"/>
      <c r="K64" s="385"/>
      <c r="L64" s="100"/>
      <c r="M64" s="100"/>
    </row>
    <row r="65" spans="4:17" s="244" customFormat="1" ht="46.5" customHeight="1" x14ac:dyDescent="0.25">
      <c r="D65" s="483"/>
      <c r="J65" s="1896"/>
      <c r="K65" s="1899"/>
      <c r="L65" s="100"/>
      <c r="M65" s="100"/>
    </row>
    <row r="66" spans="4:17" s="244" customFormat="1" ht="15.75" customHeight="1" x14ac:dyDescent="0.25">
      <c r="J66" s="100"/>
      <c r="K66" s="100"/>
      <c r="L66" s="100"/>
      <c r="M66" s="100"/>
    </row>
    <row r="67" spans="4:17" s="244" customFormat="1" ht="15" customHeight="1" x14ac:dyDescent="0.25">
      <c r="J67" s="100"/>
      <c r="K67" s="100"/>
      <c r="L67" s="100"/>
      <c r="M67" s="100"/>
      <c r="N67" s="100"/>
    </row>
    <row r="68" spans="4:17" s="244" customFormat="1" ht="15" customHeight="1" x14ac:dyDescent="0.25">
      <c r="J68" s="100"/>
      <c r="K68" s="100"/>
      <c r="L68" s="100"/>
      <c r="M68" s="100"/>
      <c r="N68" s="100"/>
    </row>
    <row r="69" spans="4:17" s="244" customFormat="1" ht="15" customHeight="1" x14ac:dyDescent="0.25">
      <c r="J69" s="100"/>
      <c r="K69" s="100"/>
      <c r="L69" s="100"/>
      <c r="M69" s="100"/>
      <c r="N69" s="100"/>
    </row>
    <row r="70" spans="4:17" s="244" customFormat="1" ht="15" customHeight="1" x14ac:dyDescent="0.25">
      <c r="J70" s="100"/>
      <c r="K70" s="100"/>
      <c r="L70" s="100"/>
      <c r="M70" s="100"/>
      <c r="N70" s="100"/>
      <c r="Q70" s="1895"/>
    </row>
    <row r="71" spans="4:17" s="244" customFormat="1" ht="15" customHeight="1" x14ac:dyDescent="0.25">
      <c r="J71" s="100"/>
      <c r="K71" s="100"/>
      <c r="L71" s="100"/>
      <c r="M71" s="100"/>
      <c r="N71" s="100"/>
    </row>
    <row r="72" spans="4:17" s="244" customFormat="1" ht="15" customHeight="1" x14ac:dyDescent="0.25">
      <c r="K72" s="386"/>
      <c r="L72" s="100"/>
      <c r="M72" s="100"/>
      <c r="N72" s="100"/>
      <c r="O72" s="100"/>
    </row>
    <row r="73" spans="4:17" s="244" customFormat="1" ht="15" customHeight="1" x14ac:dyDescent="0.25">
      <c r="J73" s="127"/>
      <c r="L73" s="100"/>
      <c r="M73" s="100"/>
      <c r="N73" s="100"/>
    </row>
    <row r="74" spans="4:17" s="244" customFormat="1" ht="15" customHeight="1" x14ac:dyDescent="0.25">
      <c r="J74" s="127"/>
      <c r="L74" s="100"/>
      <c r="M74" s="100"/>
      <c r="N74" s="100"/>
    </row>
    <row r="75" spans="4:17" s="244" customFormat="1" ht="15" customHeight="1" x14ac:dyDescent="0.25">
      <c r="J75" s="127"/>
      <c r="L75" s="100"/>
      <c r="M75" s="312"/>
      <c r="N75" s="312"/>
    </row>
    <row r="76" spans="4:17" s="244" customFormat="1" ht="15" customHeight="1" x14ac:dyDescent="0.25">
      <c r="J76" s="127"/>
      <c r="N76" s="100"/>
    </row>
    <row r="77" spans="4:17" s="244" customFormat="1" ht="15" customHeight="1" x14ac:dyDescent="0.25">
      <c r="N77" s="100"/>
    </row>
    <row r="78" spans="4:17" s="244" customFormat="1" ht="15" customHeight="1" x14ac:dyDescent="0.25">
      <c r="N78" s="312"/>
    </row>
    <row r="79" spans="4:17" s="244" customFormat="1" ht="15" customHeight="1" x14ac:dyDescent="0.25"/>
    <row r="80" spans="4:17" s="244" customFormat="1" ht="15" customHeight="1" x14ac:dyDescent="0.25"/>
    <row r="81" s="244" customFormat="1" ht="15" customHeight="1" x14ac:dyDescent="0.25"/>
    <row r="82" s="244" customFormat="1" ht="15" customHeight="1" x14ac:dyDescent="0.25"/>
    <row r="83" s="244" customFormat="1" ht="15" customHeight="1" x14ac:dyDescent="0.25"/>
    <row r="84" s="244" customFormat="1" ht="15" customHeight="1" x14ac:dyDescent="0.25"/>
    <row r="85" s="244" customFormat="1" ht="15" customHeight="1" x14ac:dyDescent="0.25"/>
    <row r="86" s="244" customFormat="1" ht="15" customHeight="1" x14ac:dyDescent="0.25"/>
    <row r="87" s="244" customFormat="1" ht="15" customHeight="1" x14ac:dyDescent="0.25"/>
    <row r="88" s="244" customFormat="1" ht="15" customHeight="1" x14ac:dyDescent="0.25"/>
    <row r="89" s="244" customFormat="1" ht="15" customHeight="1" x14ac:dyDescent="0.25"/>
    <row r="90" s="244" customFormat="1" ht="15" customHeight="1" x14ac:dyDescent="0.25"/>
    <row r="91" s="244" customFormat="1" ht="15" customHeight="1" x14ac:dyDescent="0.25"/>
    <row r="92" s="244" customFormat="1" ht="15" customHeight="1" x14ac:dyDescent="0.25"/>
    <row r="93" s="244" customFormat="1" ht="15" customHeight="1" x14ac:dyDescent="0.25"/>
    <row r="94" s="244" customFormat="1" ht="15" customHeight="1" x14ac:dyDescent="0.25"/>
    <row r="95" s="244" customFormat="1" ht="15" customHeight="1" x14ac:dyDescent="0.25"/>
    <row r="96" s="244" customFormat="1" ht="15" customHeight="1" x14ac:dyDescent="0.25"/>
    <row r="97" s="244" customFormat="1" ht="15" customHeight="1" x14ac:dyDescent="0.25"/>
    <row r="98" s="244" customFormat="1" ht="15" customHeight="1" x14ac:dyDescent="0.25"/>
    <row r="99" s="244" customFormat="1" ht="15" customHeight="1" x14ac:dyDescent="0.25"/>
    <row r="100" s="244" customFormat="1" ht="15" customHeight="1" x14ac:dyDescent="0.25"/>
    <row r="101" s="244" customFormat="1" ht="15" customHeight="1" x14ac:dyDescent="0.25"/>
    <row r="102" s="244" customFormat="1" ht="15" customHeight="1" x14ac:dyDescent="0.25"/>
    <row r="103" s="244" customFormat="1" ht="15" customHeight="1" x14ac:dyDescent="0.25"/>
    <row r="211" spans="7:7" ht="15" customHeight="1" x14ac:dyDescent="0.25">
      <c r="G211" s="239">
        <f>+E211-F211-H211-H212-H213-H214-H215-H216-H217</f>
        <v>0</v>
      </c>
    </row>
  </sheetData>
  <mergeCells count="6">
    <mergeCell ref="A27:C27"/>
    <mergeCell ref="A2:L2"/>
    <mergeCell ref="D4:E4"/>
    <mergeCell ref="J4:K4"/>
    <mergeCell ref="D23:E23"/>
    <mergeCell ref="J23:K23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>&amp;R&amp;"Arial,Félkövér"&amp;18 2. melléklet a .../2018. (…….) önkormányzati rendelethez</oddHeader>
  </headerFooter>
  <rowBreaks count="1" manualBreakCount="1">
    <brk id="21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</sheetPr>
  <dimension ref="A1:C23"/>
  <sheetViews>
    <sheetView zoomScaleNormal="100" workbookViewId="0">
      <selection activeCell="E2" sqref="E2"/>
    </sheetView>
  </sheetViews>
  <sheetFormatPr defaultColWidth="10.6640625" defaultRowHeight="12.75" x14ac:dyDescent="0.2"/>
  <cols>
    <col min="1" max="1" width="11" style="1040" customWidth="1"/>
    <col min="2" max="2" width="108.1640625" style="1040" customWidth="1"/>
    <col min="3" max="3" width="31.83203125" style="1064" customWidth="1"/>
    <col min="4" max="4" width="15.33203125" style="1040" customWidth="1"/>
    <col min="5" max="16384" width="10.6640625" style="1040"/>
  </cols>
  <sheetData>
    <row r="1" spans="1:3" x14ac:dyDescent="0.2">
      <c r="A1" s="2679" t="s">
        <v>701</v>
      </c>
      <c r="B1" s="2679"/>
      <c r="C1" s="2679"/>
    </row>
    <row r="2" spans="1:3" x14ac:dyDescent="0.2">
      <c r="A2" s="2679" t="s">
        <v>702</v>
      </c>
      <c r="B2" s="2679"/>
      <c r="C2" s="2679"/>
    </row>
    <row r="3" spans="1:3" x14ac:dyDescent="0.2">
      <c r="A3" s="2679" t="s">
        <v>1334</v>
      </c>
      <c r="B3" s="2679"/>
      <c r="C3" s="2679"/>
    </row>
    <row r="4" spans="1:3" ht="13.5" thickBot="1" x14ac:dyDescent="0.25">
      <c r="C4" s="1041" t="s">
        <v>32</v>
      </c>
    </row>
    <row r="5" spans="1:3" ht="15.75" thickBot="1" x14ac:dyDescent="0.3">
      <c r="A5" s="1042" t="s">
        <v>703</v>
      </c>
      <c r="B5" s="1042" t="s">
        <v>50</v>
      </c>
      <c r="C5" s="1042" t="s">
        <v>509</v>
      </c>
    </row>
    <row r="6" spans="1:3" ht="40.5" customHeight="1" x14ac:dyDescent="0.2">
      <c r="A6" s="1043" t="s">
        <v>312</v>
      </c>
      <c r="B6" s="1044" t="s">
        <v>704</v>
      </c>
      <c r="C6" s="1045">
        <v>21969</v>
      </c>
    </row>
    <row r="7" spans="1:3" ht="27" customHeight="1" x14ac:dyDescent="0.2">
      <c r="A7" s="1046" t="s">
        <v>60</v>
      </c>
      <c r="B7" s="1047" t="s">
        <v>705</v>
      </c>
      <c r="C7" s="1048">
        <v>0</v>
      </c>
    </row>
    <row r="8" spans="1:3" ht="33.75" customHeight="1" x14ac:dyDescent="0.2">
      <c r="A8" s="1049" t="s">
        <v>313</v>
      </c>
      <c r="B8" s="1050" t="s">
        <v>706</v>
      </c>
      <c r="C8" s="1051"/>
    </row>
    <row r="9" spans="1:3" ht="15.95" customHeight="1" x14ac:dyDescent="0.2">
      <c r="A9" s="1046"/>
      <c r="B9" s="1052" t="s">
        <v>707</v>
      </c>
      <c r="C9" s="1053">
        <v>309</v>
      </c>
    </row>
    <row r="10" spans="1:3" ht="15.95" customHeight="1" x14ac:dyDescent="0.2">
      <c r="A10" s="1046"/>
      <c r="B10" s="1052" t="s">
        <v>708</v>
      </c>
      <c r="C10" s="1053">
        <v>530</v>
      </c>
    </row>
    <row r="11" spans="1:3" ht="15.95" customHeight="1" x14ac:dyDescent="0.2">
      <c r="A11" s="1046"/>
      <c r="B11" s="1052" t="s">
        <v>709</v>
      </c>
      <c r="C11" s="1053">
        <v>0</v>
      </c>
    </row>
    <row r="12" spans="1:3" ht="15.95" customHeight="1" x14ac:dyDescent="0.2">
      <c r="A12" s="1046"/>
      <c r="B12" s="1054" t="s">
        <v>710</v>
      </c>
      <c r="C12" s="1053">
        <v>119598</v>
      </c>
    </row>
    <row r="13" spans="1:3" ht="15.95" customHeight="1" x14ac:dyDescent="0.2">
      <c r="A13" s="1046"/>
      <c r="B13" s="1052" t="s">
        <v>711</v>
      </c>
      <c r="C13" s="1053">
        <v>13</v>
      </c>
    </row>
    <row r="14" spans="1:3" ht="30.75" customHeight="1" x14ac:dyDescent="0.2">
      <c r="A14" s="1055" t="s">
        <v>314</v>
      </c>
      <c r="B14" s="1056" t="s">
        <v>712</v>
      </c>
      <c r="C14" s="1057">
        <v>49382</v>
      </c>
    </row>
    <row r="15" spans="1:3" ht="30.75" customHeight="1" x14ac:dyDescent="0.2">
      <c r="A15" s="1055" t="s">
        <v>316</v>
      </c>
      <c r="B15" s="1056" t="s">
        <v>713</v>
      </c>
      <c r="C15" s="1058">
        <v>11240</v>
      </c>
    </row>
    <row r="16" spans="1:3" ht="23.25" customHeight="1" thickBot="1" x14ac:dyDescent="0.3">
      <c r="A16" s="1059"/>
      <c r="B16" s="1060" t="s">
        <v>714</v>
      </c>
      <c r="C16" s="1061">
        <f>SUM(C6:C15)</f>
        <v>203041</v>
      </c>
    </row>
    <row r="18" spans="1:3" ht="14.25" x14ac:dyDescent="0.2">
      <c r="A18" s="1062"/>
      <c r="B18" s="1063" t="s">
        <v>715</v>
      </c>
    </row>
    <row r="19" spans="1:3" s="1065" customFormat="1" ht="46.5" customHeight="1" x14ac:dyDescent="0.2">
      <c r="B19" s="1066" t="s">
        <v>1333</v>
      </c>
      <c r="C19" s="1067"/>
    </row>
    <row r="20" spans="1:3" ht="15" x14ac:dyDescent="0.2">
      <c r="B20" s="1068" t="s">
        <v>716</v>
      </c>
      <c r="C20" s="1067"/>
    </row>
    <row r="21" spans="1:3" ht="15" x14ac:dyDescent="0.2">
      <c r="B21" s="1068" t="s">
        <v>717</v>
      </c>
      <c r="C21" s="1067"/>
    </row>
    <row r="22" spans="1:3" ht="15" x14ac:dyDescent="0.2">
      <c r="B22" s="1068" t="s">
        <v>718</v>
      </c>
      <c r="C22" s="1067"/>
    </row>
    <row r="23" spans="1:3" ht="15" x14ac:dyDescent="0.2">
      <c r="C23" s="1067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 20. melléklet a …../2018. (…….)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H117"/>
  <sheetViews>
    <sheetView zoomScale="75" zoomScaleNormal="75" workbookViewId="0">
      <selection activeCell="I17" sqref="I17"/>
    </sheetView>
  </sheetViews>
  <sheetFormatPr defaultColWidth="10.6640625" defaultRowHeight="14.25" x14ac:dyDescent="0.2"/>
  <cols>
    <col min="1" max="1" width="6.5" style="1069" customWidth="1"/>
    <col min="2" max="2" width="127.33203125" style="1069" customWidth="1"/>
    <col min="3" max="3" width="27.1640625" style="1069" customWidth="1"/>
    <col min="4" max="4" width="27.33203125" style="1069" customWidth="1"/>
    <col min="5" max="5" width="16.83203125" style="1069" customWidth="1"/>
    <col min="6" max="6" width="18.83203125" style="1069" customWidth="1"/>
    <col min="7" max="12" width="10.6640625" style="1069" customWidth="1"/>
    <col min="13" max="16384" width="10.6640625" style="1069"/>
  </cols>
  <sheetData>
    <row r="1" spans="2:4" ht="18" x14ac:dyDescent="0.25">
      <c r="B1" s="2680" t="s">
        <v>719</v>
      </c>
      <c r="C1" s="2680"/>
      <c r="D1" s="2680"/>
    </row>
    <row r="2" spans="2:4" ht="18" x14ac:dyDescent="0.25">
      <c r="B2" s="2680" t="s">
        <v>1297</v>
      </c>
      <c r="C2" s="2680"/>
      <c r="D2" s="2680"/>
    </row>
    <row r="3" spans="2:4" ht="15" x14ac:dyDescent="0.25">
      <c r="B3" s="2681"/>
      <c r="C3" s="2681"/>
      <c r="D3" s="2681"/>
    </row>
    <row r="4" spans="2:4" ht="15.75" thickBot="1" x14ac:dyDescent="0.3">
      <c r="B4" s="1070"/>
      <c r="C4" s="1071"/>
      <c r="D4" s="1072" t="s">
        <v>32</v>
      </c>
    </row>
    <row r="5" spans="2:4" s="38" customFormat="1" ht="25.5" customHeight="1" x14ac:dyDescent="0.25">
      <c r="B5" s="1073" t="s">
        <v>720</v>
      </c>
      <c r="C5" s="1074" t="s">
        <v>512</v>
      </c>
      <c r="D5" s="1075" t="s">
        <v>512</v>
      </c>
    </row>
    <row r="6" spans="2:4" s="38" customFormat="1" ht="26.25" customHeight="1" thickBot="1" x14ac:dyDescent="0.3">
      <c r="B6" s="1076"/>
      <c r="C6" s="1077" t="s">
        <v>176</v>
      </c>
      <c r="D6" s="1078" t="s">
        <v>177</v>
      </c>
    </row>
    <row r="7" spans="2:4" s="38" customFormat="1" ht="18.95" customHeight="1" x14ac:dyDescent="0.25">
      <c r="B7" s="1079" t="s">
        <v>721</v>
      </c>
      <c r="C7" s="1080"/>
      <c r="D7" s="1081"/>
    </row>
    <row r="8" spans="2:4" s="38" customFormat="1" ht="27" customHeight="1" x14ac:dyDescent="0.2">
      <c r="B8" s="1082" t="s">
        <v>722</v>
      </c>
      <c r="C8" s="1083">
        <v>2926</v>
      </c>
      <c r="D8" s="121">
        <v>0</v>
      </c>
    </row>
    <row r="9" spans="2:4" s="38" customFormat="1" ht="27" customHeight="1" x14ac:dyDescent="0.2">
      <c r="B9" s="1082" t="s">
        <v>723</v>
      </c>
      <c r="C9" s="1083">
        <v>15493</v>
      </c>
      <c r="D9" s="1084">
        <v>0</v>
      </c>
    </row>
    <row r="10" spans="2:4" s="38" customFormat="1" ht="27" customHeight="1" x14ac:dyDescent="0.2">
      <c r="B10" s="1082" t="s">
        <v>1298</v>
      </c>
      <c r="C10" s="1083">
        <v>110824</v>
      </c>
      <c r="D10" s="1084"/>
    </row>
    <row r="11" spans="2:4" s="38" customFormat="1" ht="27" customHeight="1" x14ac:dyDescent="0.2">
      <c r="B11" s="1082" t="s">
        <v>684</v>
      </c>
      <c r="C11" s="1083">
        <v>18262</v>
      </c>
      <c r="D11" s="1084"/>
    </row>
    <row r="12" spans="2:4" s="38" customFormat="1" ht="24" customHeight="1" x14ac:dyDescent="0.2">
      <c r="B12" s="1085" t="s">
        <v>726</v>
      </c>
      <c r="C12" s="1086"/>
      <c r="D12" s="1087"/>
    </row>
    <row r="13" spans="2:4" s="38" customFormat="1" ht="26.25" customHeight="1" x14ac:dyDescent="0.2">
      <c r="B13" s="1088" t="s">
        <v>727</v>
      </c>
      <c r="C13" s="1089">
        <v>6871</v>
      </c>
      <c r="D13" s="1084"/>
    </row>
    <row r="14" spans="2:4" s="38" customFormat="1" ht="27" customHeight="1" x14ac:dyDescent="0.2">
      <c r="B14" s="1088" t="s">
        <v>728</v>
      </c>
      <c r="C14" s="1089">
        <v>415500</v>
      </c>
      <c r="D14" s="1084">
        <v>39458</v>
      </c>
    </row>
    <row r="15" spans="2:4" s="38" customFormat="1" ht="27" customHeight="1" x14ac:dyDescent="0.2">
      <c r="B15" s="1088" t="s">
        <v>729</v>
      </c>
      <c r="C15" s="1089">
        <v>7242</v>
      </c>
      <c r="D15" s="121"/>
    </row>
    <row r="16" spans="2:4" s="38" customFormat="1" ht="27" customHeight="1" x14ac:dyDescent="0.2">
      <c r="B16" s="1088" t="s">
        <v>730</v>
      </c>
      <c r="C16" s="1089">
        <v>364327</v>
      </c>
      <c r="D16" s="1084">
        <v>1790</v>
      </c>
    </row>
    <row r="17" spans="2:4" s="38" customFormat="1" ht="27" customHeight="1" x14ac:dyDescent="0.2">
      <c r="B17" s="1088" t="s">
        <v>731</v>
      </c>
      <c r="C17" s="1089">
        <v>532875</v>
      </c>
      <c r="D17" s="121"/>
    </row>
    <row r="18" spans="2:4" s="38" customFormat="1" ht="27" customHeight="1" x14ac:dyDescent="0.2">
      <c r="B18" s="1088" t="s">
        <v>732</v>
      </c>
      <c r="C18" s="1089">
        <v>480375</v>
      </c>
      <c r="D18" s="1084"/>
    </row>
    <row r="19" spans="2:4" s="38" customFormat="1" ht="27" customHeight="1" x14ac:dyDescent="0.2">
      <c r="B19" s="1088" t="s">
        <v>488</v>
      </c>
      <c r="C19" s="1089">
        <v>12295</v>
      </c>
      <c r="D19" s="1090"/>
    </row>
    <row r="20" spans="2:4" s="38" customFormat="1" ht="27" customHeight="1" x14ac:dyDescent="0.2">
      <c r="B20" s="1088" t="s">
        <v>489</v>
      </c>
      <c r="C20" s="1089">
        <v>356250</v>
      </c>
      <c r="D20" s="1090">
        <v>22942</v>
      </c>
    </row>
    <row r="21" spans="2:4" s="38" customFormat="1" ht="27" customHeight="1" x14ac:dyDescent="0.2">
      <c r="B21" s="1088" t="s">
        <v>478</v>
      </c>
      <c r="C21" s="1089">
        <v>606375</v>
      </c>
      <c r="D21" s="1090"/>
    </row>
    <row r="22" spans="2:4" s="38" customFormat="1" ht="27" customHeight="1" x14ac:dyDescent="0.2">
      <c r="B22" s="1088" t="s">
        <v>494</v>
      </c>
      <c r="C22" s="1089">
        <v>0</v>
      </c>
      <c r="D22" s="1090"/>
    </row>
    <row r="23" spans="2:4" s="38" customFormat="1" ht="27" customHeight="1" x14ac:dyDescent="0.2">
      <c r="B23" s="1088" t="s">
        <v>479</v>
      </c>
      <c r="C23" s="1089">
        <v>13653</v>
      </c>
      <c r="D23" s="1090"/>
    </row>
    <row r="24" spans="2:4" s="38" customFormat="1" ht="27" customHeight="1" x14ac:dyDescent="0.2">
      <c r="B24" s="1088" t="s">
        <v>491</v>
      </c>
      <c r="C24" s="1089">
        <v>8319</v>
      </c>
      <c r="D24" s="1090"/>
    </row>
    <row r="25" spans="2:4" s="38" customFormat="1" ht="27" customHeight="1" x14ac:dyDescent="0.2">
      <c r="B25" s="1088" t="s">
        <v>492</v>
      </c>
      <c r="C25" s="1089">
        <v>13462</v>
      </c>
      <c r="D25" s="1090"/>
    </row>
    <row r="26" spans="2:4" s="38" customFormat="1" ht="27" customHeight="1" x14ac:dyDescent="0.2">
      <c r="B26" s="1088" t="s">
        <v>496</v>
      </c>
      <c r="C26" s="1089">
        <v>20269</v>
      </c>
      <c r="D26" s="1090"/>
    </row>
    <row r="27" spans="2:4" s="38" customFormat="1" ht="27" customHeight="1" x14ac:dyDescent="0.2">
      <c r="B27" s="1088" t="s">
        <v>493</v>
      </c>
      <c r="C27" s="1089">
        <v>14478</v>
      </c>
      <c r="D27" s="1084"/>
    </row>
    <row r="28" spans="2:4" s="38" customFormat="1" ht="27" customHeight="1" x14ac:dyDescent="0.2">
      <c r="B28" s="1088" t="s">
        <v>501</v>
      </c>
      <c r="C28" s="1089">
        <v>294696</v>
      </c>
      <c r="D28" s="1090">
        <v>19317</v>
      </c>
    </row>
    <row r="29" spans="2:4" s="38" customFormat="1" ht="27" customHeight="1" x14ac:dyDescent="0.2">
      <c r="B29" s="1088" t="s">
        <v>502</v>
      </c>
      <c r="C29" s="1089">
        <v>840525</v>
      </c>
      <c r="D29" s="1090"/>
    </row>
    <row r="30" spans="2:4" s="38" customFormat="1" ht="27" customHeight="1" x14ac:dyDescent="0.2">
      <c r="B30" s="1088" t="s">
        <v>667</v>
      </c>
      <c r="C30" s="1089">
        <v>460000</v>
      </c>
      <c r="D30" s="1090"/>
    </row>
    <row r="31" spans="2:4" s="38" customFormat="1" ht="27" customHeight="1" x14ac:dyDescent="0.2">
      <c r="B31" s="1091" t="s">
        <v>668</v>
      </c>
      <c r="C31" s="1089">
        <v>1128180</v>
      </c>
      <c r="D31" s="1090"/>
    </row>
    <row r="32" spans="2:4" s="38" customFormat="1" ht="27" customHeight="1" x14ac:dyDescent="0.2">
      <c r="B32" s="1088" t="s">
        <v>690</v>
      </c>
      <c r="C32" s="1089">
        <v>1420000</v>
      </c>
      <c r="D32" s="1090"/>
    </row>
    <row r="33" spans="2:6" s="38" customFormat="1" ht="27" customHeight="1" x14ac:dyDescent="0.2">
      <c r="B33" s="1088" t="s">
        <v>636</v>
      </c>
      <c r="C33" s="1089">
        <v>6300</v>
      </c>
      <c r="D33" s="1090">
        <v>6300</v>
      </c>
    </row>
    <row r="34" spans="2:6" s="38" customFormat="1" ht="24.75" customHeight="1" thickBot="1" x14ac:dyDescent="0.3">
      <c r="B34" s="1092" t="s">
        <v>733</v>
      </c>
      <c r="C34" s="1093">
        <f>SUM(C8:C33)</f>
        <v>7149497</v>
      </c>
      <c r="D34" s="1900">
        <f>SUM(D8:D31)</f>
        <v>83507</v>
      </c>
      <c r="F34" s="181"/>
    </row>
    <row r="35" spans="2:6" s="38" customFormat="1" ht="15.75" thickBot="1" x14ac:dyDescent="0.25">
      <c r="B35" s="125"/>
      <c r="C35" s="125"/>
      <c r="D35" s="28"/>
    </row>
    <row r="36" spans="2:6" s="38" customFormat="1" ht="26.25" customHeight="1" x14ac:dyDescent="0.25">
      <c r="B36" s="1094" t="s">
        <v>734</v>
      </c>
      <c r="C36" s="1095" t="s">
        <v>512</v>
      </c>
      <c r="D36" s="1096" t="s">
        <v>512</v>
      </c>
    </row>
    <row r="37" spans="2:6" s="38" customFormat="1" ht="25.5" customHeight="1" thickBot="1" x14ac:dyDescent="0.3">
      <c r="B37" s="1076"/>
      <c r="C37" s="1097" t="s">
        <v>176</v>
      </c>
      <c r="D37" s="1098" t="s">
        <v>177</v>
      </c>
    </row>
    <row r="38" spans="2:6" s="38" customFormat="1" ht="21" customHeight="1" x14ac:dyDescent="0.25">
      <c r="B38" s="1079" t="s">
        <v>721</v>
      </c>
      <c r="C38" s="1095"/>
      <c r="D38" s="1096"/>
    </row>
    <row r="39" spans="2:6" s="38" customFormat="1" ht="21" customHeight="1" x14ac:dyDescent="0.25">
      <c r="B39" s="1099" t="s">
        <v>735</v>
      </c>
      <c r="C39" s="1100"/>
      <c r="D39" s="1101"/>
    </row>
    <row r="40" spans="2:6" s="38" customFormat="1" ht="23.25" customHeight="1" x14ac:dyDescent="0.2">
      <c r="B40" s="1102" t="s">
        <v>279</v>
      </c>
      <c r="C40" s="1103">
        <v>11728</v>
      </c>
      <c r="D40" s="1084">
        <v>5683</v>
      </c>
    </row>
    <row r="41" spans="2:6" s="38" customFormat="1" ht="23.25" customHeight="1" x14ac:dyDescent="0.2">
      <c r="B41" s="1102" t="s">
        <v>724</v>
      </c>
      <c r="C41" s="1103">
        <v>4400</v>
      </c>
      <c r="D41" s="1084"/>
    </row>
    <row r="42" spans="2:6" s="38" customFormat="1" ht="23.25" customHeight="1" x14ac:dyDescent="0.2">
      <c r="B42" s="1102" t="s">
        <v>725</v>
      </c>
      <c r="C42" s="1103">
        <v>2720</v>
      </c>
      <c r="D42" s="1084"/>
    </row>
    <row r="43" spans="2:6" s="38" customFormat="1" ht="38.25" customHeight="1" x14ac:dyDescent="0.2">
      <c r="B43" s="1102" t="s">
        <v>466</v>
      </c>
      <c r="C43" s="1103">
        <v>4875</v>
      </c>
      <c r="D43" s="1084">
        <v>3147</v>
      </c>
    </row>
    <row r="44" spans="2:6" s="38" customFormat="1" ht="40.5" customHeight="1" x14ac:dyDescent="0.2">
      <c r="B44" s="1104" t="s">
        <v>467</v>
      </c>
      <c r="C44" s="1105">
        <v>58824</v>
      </c>
      <c r="D44" s="1084">
        <v>4451</v>
      </c>
    </row>
    <row r="45" spans="2:6" s="38" customFormat="1" ht="23.25" customHeight="1" x14ac:dyDescent="0.2">
      <c r="B45" s="1102" t="s">
        <v>684</v>
      </c>
      <c r="C45" s="1103">
        <v>18262</v>
      </c>
      <c r="D45" s="1084"/>
    </row>
    <row r="46" spans="2:6" s="38" customFormat="1" ht="23.25" customHeight="1" x14ac:dyDescent="0.2">
      <c r="B46" s="1102" t="s">
        <v>1299</v>
      </c>
      <c r="C46" s="1103">
        <v>92415</v>
      </c>
      <c r="D46" s="1084">
        <v>3925</v>
      </c>
    </row>
    <row r="47" spans="2:6" s="38" customFormat="1" ht="23.25" customHeight="1" x14ac:dyDescent="0.2">
      <c r="B47" s="1106" t="s">
        <v>726</v>
      </c>
      <c r="C47" s="1107"/>
      <c r="D47" s="1108"/>
    </row>
    <row r="48" spans="2:6" s="38" customFormat="1" ht="26.25" customHeight="1" x14ac:dyDescent="0.25">
      <c r="B48" s="1109" t="s">
        <v>61</v>
      </c>
      <c r="C48" s="1110"/>
      <c r="D48" s="1111"/>
      <c r="F48" s="181"/>
    </row>
    <row r="49" spans="2:4" s="38" customFormat="1" ht="40.5" customHeight="1" x14ac:dyDescent="0.2">
      <c r="B49" s="1902" t="s">
        <v>288</v>
      </c>
      <c r="C49" s="1105">
        <v>27000</v>
      </c>
      <c r="D49" s="1084">
        <v>1796</v>
      </c>
    </row>
    <row r="50" spans="2:4" s="38" customFormat="1" ht="25.5" customHeight="1" x14ac:dyDescent="0.2">
      <c r="B50" s="1903" t="s">
        <v>511</v>
      </c>
      <c r="C50" s="1112">
        <v>58081</v>
      </c>
      <c r="D50" s="1084"/>
    </row>
    <row r="51" spans="2:4" s="38" customFormat="1" ht="25.5" customHeight="1" x14ac:dyDescent="0.2">
      <c r="B51" s="1903" t="s">
        <v>483</v>
      </c>
      <c r="C51" s="1112">
        <v>509187</v>
      </c>
      <c r="D51" s="1084">
        <v>53517</v>
      </c>
    </row>
    <row r="52" spans="2:4" s="38" customFormat="1" ht="25.5" customHeight="1" x14ac:dyDescent="0.2">
      <c r="B52" s="1903" t="s">
        <v>1300</v>
      </c>
      <c r="C52" s="1112">
        <v>0</v>
      </c>
      <c r="D52" s="1084"/>
    </row>
    <row r="53" spans="2:4" s="38" customFormat="1" ht="25.5" customHeight="1" x14ac:dyDescent="0.2">
      <c r="B53" s="1903" t="s">
        <v>1301</v>
      </c>
      <c r="C53" s="1112">
        <v>19638</v>
      </c>
      <c r="D53" s="1084">
        <v>908</v>
      </c>
    </row>
    <row r="54" spans="2:4" s="38" customFormat="1" ht="25.5" customHeight="1" x14ac:dyDescent="0.2">
      <c r="B54" s="1903" t="s">
        <v>502</v>
      </c>
      <c r="C54" s="1112">
        <v>1312225</v>
      </c>
      <c r="D54" s="1084">
        <v>42020</v>
      </c>
    </row>
    <row r="55" spans="2:4" s="38" customFormat="1" ht="25.5" customHeight="1" x14ac:dyDescent="0.2">
      <c r="B55" s="1903" t="s">
        <v>1302</v>
      </c>
      <c r="C55" s="1112">
        <v>288775</v>
      </c>
      <c r="D55" s="1084"/>
    </row>
    <row r="56" spans="2:4" s="38" customFormat="1" ht="25.5" customHeight="1" x14ac:dyDescent="0.2">
      <c r="B56" s="1903" t="s">
        <v>1303</v>
      </c>
      <c r="C56" s="1112"/>
      <c r="D56" s="1084"/>
    </row>
    <row r="57" spans="2:4" s="38" customFormat="1" ht="25.5" customHeight="1" x14ac:dyDescent="0.2">
      <c r="B57" s="1903" t="s">
        <v>1304</v>
      </c>
      <c r="C57" s="1112">
        <v>1420000</v>
      </c>
      <c r="D57" s="1084"/>
    </row>
    <row r="58" spans="2:4" s="38" customFormat="1" ht="25.5" customHeight="1" x14ac:dyDescent="0.2">
      <c r="B58" s="1903" t="s">
        <v>668</v>
      </c>
      <c r="C58" s="1112">
        <v>1128180</v>
      </c>
      <c r="D58" s="1084"/>
    </row>
    <row r="59" spans="2:4" s="38" customFormat="1" ht="25.5" customHeight="1" x14ac:dyDescent="0.2">
      <c r="B59" s="1903" t="s">
        <v>667</v>
      </c>
      <c r="C59" s="1112">
        <v>460000</v>
      </c>
      <c r="D59" s="1084"/>
    </row>
    <row r="60" spans="2:4" s="38" customFormat="1" ht="25.5" customHeight="1" x14ac:dyDescent="0.2">
      <c r="B60" s="1903" t="s">
        <v>475</v>
      </c>
      <c r="C60" s="1112">
        <v>723868</v>
      </c>
      <c r="D60" s="1084">
        <v>45750</v>
      </c>
    </row>
    <row r="61" spans="2:4" s="38" customFormat="1" ht="25.5" customHeight="1" x14ac:dyDescent="0.2">
      <c r="B61" s="1903" t="s">
        <v>1305</v>
      </c>
      <c r="C61" s="1112">
        <v>167457</v>
      </c>
      <c r="D61" s="1084"/>
    </row>
    <row r="62" spans="2:4" s="38" customFormat="1" ht="25.5" customHeight="1" x14ac:dyDescent="0.2">
      <c r="B62" s="1903" t="s">
        <v>501</v>
      </c>
      <c r="C62" s="1112">
        <v>449271</v>
      </c>
      <c r="D62" s="1084">
        <v>19737</v>
      </c>
    </row>
    <row r="63" spans="2:4" s="38" customFormat="1" ht="25.5" customHeight="1" x14ac:dyDescent="0.2">
      <c r="B63" s="1903" t="s">
        <v>1306</v>
      </c>
      <c r="C63" s="1112">
        <v>102789</v>
      </c>
      <c r="D63" s="1084"/>
    </row>
    <row r="64" spans="2:4" s="38" customFormat="1" ht="25.5" customHeight="1" x14ac:dyDescent="0.2">
      <c r="B64" s="1903" t="s">
        <v>1307</v>
      </c>
      <c r="C64" s="1112">
        <v>17000</v>
      </c>
      <c r="D64" s="1084"/>
    </row>
    <row r="65" spans="2:4" s="38" customFormat="1" ht="40.5" customHeight="1" x14ac:dyDescent="0.2">
      <c r="B65" s="1903" t="s">
        <v>472</v>
      </c>
      <c r="C65" s="1112">
        <v>141802</v>
      </c>
      <c r="D65" s="1114">
        <v>5842</v>
      </c>
    </row>
    <row r="66" spans="2:4" s="38" customFormat="1" ht="25.5" customHeight="1" x14ac:dyDescent="0.2">
      <c r="B66" s="1903" t="s">
        <v>471</v>
      </c>
      <c r="C66" s="1112">
        <v>130047</v>
      </c>
      <c r="D66" s="1084">
        <v>6182</v>
      </c>
    </row>
    <row r="67" spans="2:4" s="38" customFormat="1" ht="25.5" customHeight="1" x14ac:dyDescent="0.2">
      <c r="B67" s="1903" t="s">
        <v>1308</v>
      </c>
      <c r="C67" s="1112">
        <v>28953</v>
      </c>
      <c r="D67" s="1084"/>
    </row>
    <row r="68" spans="2:4" s="38" customFormat="1" ht="25.5" customHeight="1" x14ac:dyDescent="0.2">
      <c r="B68" s="1903" t="s">
        <v>651</v>
      </c>
      <c r="C68" s="1112">
        <v>13673</v>
      </c>
      <c r="D68" s="1084"/>
    </row>
    <row r="69" spans="2:4" s="38" customFormat="1" ht="25.5" customHeight="1" x14ac:dyDescent="0.2">
      <c r="B69" s="1903" t="s">
        <v>1309</v>
      </c>
      <c r="C69" s="1112">
        <v>3648</v>
      </c>
      <c r="D69" s="1084"/>
    </row>
    <row r="70" spans="2:4" s="38" customFormat="1" ht="25.5" customHeight="1" x14ac:dyDescent="0.2">
      <c r="B70" s="1903" t="s">
        <v>488</v>
      </c>
      <c r="C70" s="1112">
        <v>247735</v>
      </c>
      <c r="D70" s="1084">
        <v>7925</v>
      </c>
    </row>
    <row r="71" spans="2:4" s="38" customFormat="1" ht="25.5" customHeight="1" x14ac:dyDescent="0.2">
      <c r="B71" s="1903" t="s">
        <v>1310</v>
      </c>
      <c r="C71" s="1112"/>
      <c r="D71" s="1084"/>
    </row>
    <row r="72" spans="2:4" s="38" customFormat="1" ht="25.5" customHeight="1" x14ac:dyDescent="0.2">
      <c r="B72" s="1903" t="s">
        <v>1311</v>
      </c>
      <c r="C72" s="1112">
        <v>5858</v>
      </c>
      <c r="D72" s="1084"/>
    </row>
    <row r="73" spans="2:4" s="38" customFormat="1" ht="25.5" customHeight="1" x14ac:dyDescent="0.2">
      <c r="B73" s="1903" t="s">
        <v>489</v>
      </c>
      <c r="C73" s="1112">
        <v>745125</v>
      </c>
      <c r="D73" s="1084">
        <v>29363</v>
      </c>
    </row>
    <row r="74" spans="2:4" s="38" customFormat="1" ht="25.5" customHeight="1" x14ac:dyDescent="0.2">
      <c r="B74" s="1903" t="s">
        <v>1312</v>
      </c>
      <c r="C74" s="1112">
        <v>183158</v>
      </c>
      <c r="D74" s="1084"/>
    </row>
    <row r="75" spans="2:4" s="38" customFormat="1" ht="39.75" customHeight="1" x14ac:dyDescent="0.2">
      <c r="B75" s="1113" t="s">
        <v>1313</v>
      </c>
      <c r="C75" s="1112">
        <v>9375</v>
      </c>
      <c r="D75" s="1084">
        <v>9375</v>
      </c>
    </row>
    <row r="76" spans="2:4" s="38" customFormat="1" ht="25.5" customHeight="1" x14ac:dyDescent="0.2">
      <c r="B76" s="1903" t="s">
        <v>1314</v>
      </c>
      <c r="C76" s="1112">
        <v>182078</v>
      </c>
      <c r="D76" s="1084">
        <v>11011</v>
      </c>
    </row>
    <row r="77" spans="2:4" s="38" customFormat="1" ht="25.5" customHeight="1" x14ac:dyDescent="0.2">
      <c r="B77" s="1903" t="s">
        <v>1315</v>
      </c>
      <c r="C77" s="1112">
        <v>45732</v>
      </c>
      <c r="D77" s="1084"/>
    </row>
    <row r="78" spans="2:4" s="38" customFormat="1" ht="25.5" customHeight="1" x14ac:dyDescent="0.2">
      <c r="B78" s="1903" t="s">
        <v>1316</v>
      </c>
      <c r="C78" s="1112">
        <v>56630</v>
      </c>
      <c r="D78" s="1084"/>
    </row>
    <row r="79" spans="2:4" s="38" customFormat="1" ht="25.5" customHeight="1" x14ac:dyDescent="0.2">
      <c r="B79" s="1903" t="s">
        <v>478</v>
      </c>
      <c r="C79" s="1112">
        <v>918535</v>
      </c>
      <c r="D79" s="1084">
        <v>52532</v>
      </c>
    </row>
    <row r="80" spans="2:4" s="38" customFormat="1" ht="25.5" customHeight="1" x14ac:dyDescent="0.2">
      <c r="B80" s="1903" t="s">
        <v>642</v>
      </c>
      <c r="C80" s="1112">
        <v>206590</v>
      </c>
      <c r="D80" s="1084"/>
    </row>
    <row r="81" spans="2:4" s="38" customFormat="1" ht="37.5" customHeight="1" x14ac:dyDescent="0.2">
      <c r="B81" s="1113" t="s">
        <v>1317</v>
      </c>
      <c r="C81" s="1112">
        <v>4136</v>
      </c>
      <c r="D81" s="1084">
        <v>4136</v>
      </c>
    </row>
    <row r="82" spans="2:4" s="38" customFormat="1" ht="25.5" customHeight="1" x14ac:dyDescent="0.2">
      <c r="B82" s="1904" t="s">
        <v>736</v>
      </c>
      <c r="C82" s="1901">
        <v>541155</v>
      </c>
      <c r="D82" s="1090">
        <v>49971</v>
      </c>
    </row>
    <row r="83" spans="2:4" s="38" customFormat="1" ht="25.5" customHeight="1" x14ac:dyDescent="0.2">
      <c r="B83" s="1904" t="s">
        <v>1318</v>
      </c>
      <c r="C83" s="1901">
        <v>253104</v>
      </c>
      <c r="D83" s="1090"/>
    </row>
    <row r="84" spans="2:4" s="38" customFormat="1" ht="25.5" customHeight="1" x14ac:dyDescent="0.2">
      <c r="B84" s="1904" t="s">
        <v>1319</v>
      </c>
      <c r="C84" s="1901"/>
      <c r="D84" s="1090"/>
    </row>
    <row r="85" spans="2:4" s="38" customFormat="1" ht="25.5" customHeight="1" x14ac:dyDescent="0.2">
      <c r="B85" s="1904" t="s">
        <v>474</v>
      </c>
      <c r="C85" s="1901">
        <v>988675</v>
      </c>
      <c r="D85" s="1090">
        <v>10289</v>
      </c>
    </row>
    <row r="86" spans="2:4" s="38" customFormat="1" ht="25.5" customHeight="1" x14ac:dyDescent="0.2">
      <c r="B86" s="1904" t="s">
        <v>494</v>
      </c>
      <c r="C86" s="1901">
        <v>300600</v>
      </c>
      <c r="D86" s="1090">
        <v>300600</v>
      </c>
    </row>
    <row r="87" spans="2:4" s="38" customFormat="1" ht="25.5" customHeight="1" x14ac:dyDescent="0.2">
      <c r="B87" s="1904" t="s">
        <v>1320</v>
      </c>
      <c r="C87" s="1901">
        <v>32537</v>
      </c>
      <c r="D87" s="1090">
        <v>32537</v>
      </c>
    </row>
    <row r="88" spans="2:4" s="38" customFormat="1" ht="25.5" customHeight="1" x14ac:dyDescent="0.2">
      <c r="B88" s="1904" t="s">
        <v>493</v>
      </c>
      <c r="C88" s="1901">
        <v>292766</v>
      </c>
      <c r="D88" s="1090">
        <v>17792</v>
      </c>
    </row>
    <row r="89" spans="2:4" s="38" customFormat="1" ht="25.5" customHeight="1" x14ac:dyDescent="0.2">
      <c r="B89" s="1904" t="s">
        <v>654</v>
      </c>
      <c r="C89" s="1901">
        <v>11</v>
      </c>
      <c r="D89" s="1090"/>
    </row>
    <row r="90" spans="2:4" s="38" customFormat="1" ht="25.5" customHeight="1" x14ac:dyDescent="0.2">
      <c r="B90" s="1904" t="s">
        <v>479</v>
      </c>
      <c r="C90" s="1901">
        <v>239240</v>
      </c>
      <c r="D90" s="1090">
        <v>68924</v>
      </c>
    </row>
    <row r="91" spans="2:4" s="38" customFormat="1" ht="25.5" customHeight="1" x14ac:dyDescent="0.2">
      <c r="B91" s="1904" t="s">
        <v>1321</v>
      </c>
      <c r="C91" s="1901">
        <v>55596</v>
      </c>
      <c r="D91" s="1090"/>
    </row>
    <row r="92" spans="2:4" s="38" customFormat="1" ht="25.5" customHeight="1" x14ac:dyDescent="0.2">
      <c r="B92" s="1904" t="s">
        <v>492</v>
      </c>
      <c r="C92" s="1901">
        <v>293020</v>
      </c>
      <c r="D92" s="1090">
        <v>17995</v>
      </c>
    </row>
    <row r="93" spans="2:4" s="38" customFormat="1" ht="25.5" customHeight="1" x14ac:dyDescent="0.2">
      <c r="B93" s="1904" t="s">
        <v>1322</v>
      </c>
      <c r="C93" s="1901">
        <v>4565</v>
      </c>
      <c r="D93" s="1090"/>
    </row>
    <row r="94" spans="2:4" s="38" customFormat="1" ht="25.5" customHeight="1" x14ac:dyDescent="0.2">
      <c r="B94" s="1904" t="s">
        <v>491</v>
      </c>
      <c r="C94" s="1901">
        <v>182209</v>
      </c>
      <c r="D94" s="1090">
        <v>12036</v>
      </c>
    </row>
    <row r="95" spans="2:4" s="38" customFormat="1" ht="25.5" customHeight="1" x14ac:dyDescent="0.2">
      <c r="B95" s="1904" t="s">
        <v>656</v>
      </c>
      <c r="C95" s="1901">
        <v>3670</v>
      </c>
      <c r="D95" s="1090"/>
    </row>
    <row r="96" spans="2:4" s="38" customFormat="1" ht="25.5" customHeight="1" x14ac:dyDescent="0.2">
      <c r="B96" s="1904" t="s">
        <v>473</v>
      </c>
      <c r="C96" s="1901">
        <v>560969</v>
      </c>
      <c r="D96" s="1090">
        <v>24933</v>
      </c>
    </row>
    <row r="97" spans="1:8" s="38" customFormat="1" ht="25.5" customHeight="1" x14ac:dyDescent="0.2">
      <c r="B97" s="1904" t="s">
        <v>646</v>
      </c>
      <c r="C97" s="1901">
        <v>124004</v>
      </c>
      <c r="D97" s="1090"/>
    </row>
    <row r="98" spans="1:8" s="38" customFormat="1" ht="34.5" customHeight="1" x14ac:dyDescent="0.2">
      <c r="B98" s="1905" t="s">
        <v>1323</v>
      </c>
      <c r="C98" s="1901">
        <v>82785</v>
      </c>
      <c r="D98" s="1090"/>
    </row>
    <row r="99" spans="1:8" s="38" customFormat="1" ht="25.5" customHeight="1" x14ac:dyDescent="0.2">
      <c r="B99" s="1904" t="s">
        <v>495</v>
      </c>
      <c r="C99" s="1901">
        <v>69279</v>
      </c>
      <c r="D99" s="1090">
        <v>4567</v>
      </c>
    </row>
    <row r="100" spans="1:8" s="38" customFormat="1" ht="25.5" customHeight="1" x14ac:dyDescent="0.2">
      <c r="B100" s="1904" t="s">
        <v>658</v>
      </c>
      <c r="C100" s="1901"/>
      <c r="D100" s="1090"/>
    </row>
    <row r="101" spans="1:8" s="38" customFormat="1" ht="25.5" customHeight="1" x14ac:dyDescent="0.2">
      <c r="B101" s="1904" t="s">
        <v>496</v>
      </c>
      <c r="C101" s="1901">
        <v>373990</v>
      </c>
      <c r="D101" s="1090">
        <v>16876</v>
      </c>
    </row>
    <row r="102" spans="1:8" ht="24" customHeight="1" thickBot="1" x14ac:dyDescent="0.3">
      <c r="B102" s="1092" t="s">
        <v>737</v>
      </c>
      <c r="C102" s="1115">
        <f>SUM(C40:C101)</f>
        <v>14197945</v>
      </c>
      <c r="D102" s="1116">
        <f>SUM(D40:D101)</f>
        <v>863820</v>
      </c>
      <c r="E102" s="1119"/>
    </row>
    <row r="108" spans="1:8" ht="15" x14ac:dyDescent="0.2">
      <c r="E108" s="381"/>
      <c r="F108" s="61"/>
      <c r="G108" s="1117"/>
      <c r="H108" s="1118"/>
    </row>
    <row r="109" spans="1:8" x14ac:dyDescent="0.2">
      <c r="E109" s="1118"/>
      <c r="F109" s="1118"/>
      <c r="G109" s="1118"/>
      <c r="H109" s="1118"/>
    </row>
    <row r="110" spans="1:8" s="11" customFormat="1" ht="33.75" customHeight="1" x14ac:dyDescent="0.2">
      <c r="A110" s="88"/>
    </row>
    <row r="112" spans="1:8" s="7" customFormat="1" ht="36" customHeight="1" x14ac:dyDescent="0.2">
      <c r="A112" s="86"/>
    </row>
    <row r="113" spans="1:1" s="7" customFormat="1" ht="21.75" customHeight="1" x14ac:dyDescent="0.2">
      <c r="A113" s="86"/>
    </row>
    <row r="114" spans="1:1" s="7" customFormat="1" ht="36" customHeight="1" x14ac:dyDescent="0.2">
      <c r="A114" s="86"/>
    </row>
    <row r="115" spans="1:1" s="7" customFormat="1" ht="39" customHeight="1" x14ac:dyDescent="0.2">
      <c r="A115" s="86"/>
    </row>
    <row r="116" spans="1:1" s="7" customFormat="1" ht="39" customHeight="1" x14ac:dyDescent="0.2">
      <c r="A116" s="86"/>
    </row>
    <row r="117" spans="1:1" s="7" customFormat="1" ht="36" customHeight="1" x14ac:dyDescent="0.2">
      <c r="A117" s="86"/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63" pageOrder="overThenDown" orientation="portrait" r:id="rId1"/>
  <headerFooter alignWithMargins="0">
    <oddHeader>&amp;R&amp;"Arial,Félkövér"&amp;14  21. melléklet a …../2018. (…….) önkormányzati rendelethez</oddHeader>
  </headerFooter>
  <rowBreaks count="1" manualBreakCount="1">
    <brk id="35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B1:H32"/>
  <sheetViews>
    <sheetView zoomScale="75" zoomScaleNormal="75" workbookViewId="0">
      <selection activeCell="S19" sqref="S19"/>
    </sheetView>
  </sheetViews>
  <sheetFormatPr defaultColWidth="10.6640625" defaultRowHeight="15" customHeight="1" x14ac:dyDescent="0.2"/>
  <cols>
    <col min="1" max="1" width="9.33203125" style="38" customWidth="1"/>
    <col min="2" max="2" width="7.6640625" style="38" customWidth="1"/>
    <col min="3" max="3" width="118.33203125" style="38" customWidth="1"/>
    <col min="4" max="5" width="19.1640625" style="38" customWidth="1"/>
    <col min="6" max="6" width="17.6640625" style="38" customWidth="1"/>
    <col min="7" max="8" width="15.6640625" style="38" bestFit="1" customWidth="1"/>
    <col min="9" max="16384" width="10.6640625" style="38"/>
  </cols>
  <sheetData>
    <row r="1" spans="2:8" s="1120" customFormat="1" ht="24" customHeight="1" x14ac:dyDescent="0.25">
      <c r="B1" s="2682" t="s">
        <v>701</v>
      </c>
      <c r="C1" s="2682"/>
      <c r="D1" s="2682"/>
      <c r="E1" s="2682"/>
      <c r="F1" s="2682"/>
      <c r="G1" s="2682"/>
      <c r="H1" s="2682"/>
    </row>
    <row r="2" spans="2:8" s="1120" customFormat="1" ht="24" customHeight="1" x14ac:dyDescent="0.25">
      <c r="B2" s="2683" t="s">
        <v>1326</v>
      </c>
      <c r="C2" s="2683"/>
      <c r="D2" s="2683"/>
      <c r="E2" s="2683"/>
      <c r="F2" s="2683"/>
      <c r="G2" s="2683"/>
      <c r="H2" s="2683"/>
    </row>
    <row r="3" spans="2:8" s="1120" customFormat="1" ht="24" customHeight="1" x14ac:dyDescent="0.25">
      <c r="B3" s="2684" t="s">
        <v>738</v>
      </c>
      <c r="C3" s="2684"/>
      <c r="D3" s="2684"/>
      <c r="E3" s="2684"/>
      <c r="F3" s="2684"/>
      <c r="G3" s="2684"/>
      <c r="H3" s="2684"/>
    </row>
    <row r="4" spans="2:8" s="1122" customFormat="1" ht="18.95" customHeight="1" thickBot="1" x14ac:dyDescent="0.25">
      <c r="B4" s="1121"/>
      <c r="C4" s="1121"/>
      <c r="D4" s="1121"/>
      <c r="E4" s="1121"/>
      <c r="F4" s="1121"/>
      <c r="G4" s="1121"/>
      <c r="H4" s="14" t="s">
        <v>32</v>
      </c>
    </row>
    <row r="5" spans="2:8" ht="18.95" customHeight="1" x14ac:dyDescent="0.25">
      <c r="B5" s="2685" t="s">
        <v>50</v>
      </c>
      <c r="C5" s="2686"/>
      <c r="D5" s="1016" t="s">
        <v>740</v>
      </c>
      <c r="E5" s="1074" t="s">
        <v>740</v>
      </c>
      <c r="F5" s="1017" t="s">
        <v>741</v>
      </c>
      <c r="G5" s="1074" t="s">
        <v>742</v>
      </c>
      <c r="H5" s="1123" t="s">
        <v>1325</v>
      </c>
    </row>
    <row r="6" spans="2:8" ht="18.95" customHeight="1" thickBot="1" x14ac:dyDescent="0.3">
      <c r="B6" s="171"/>
      <c r="C6" s="172"/>
      <c r="D6" s="85" t="s">
        <v>176</v>
      </c>
      <c r="E6" s="1077" t="s">
        <v>177</v>
      </c>
      <c r="F6" s="1124" t="s">
        <v>335</v>
      </c>
      <c r="G6" s="1077" t="s">
        <v>335</v>
      </c>
      <c r="H6" s="1078" t="s">
        <v>335</v>
      </c>
    </row>
    <row r="7" spans="2:8" ht="24.75" customHeight="1" x14ac:dyDescent="0.25">
      <c r="B7" s="1125"/>
      <c r="C7" s="1126" t="s">
        <v>150</v>
      </c>
      <c r="D7" s="1135"/>
      <c r="E7" s="1136"/>
      <c r="F7" s="1137"/>
      <c r="G7" s="1138"/>
      <c r="H7" s="1139"/>
    </row>
    <row r="8" spans="2:8" ht="24.75" customHeight="1" x14ac:dyDescent="0.25">
      <c r="B8" s="96"/>
      <c r="C8" s="1140" t="s">
        <v>162</v>
      </c>
      <c r="D8" s="1127">
        <v>50000</v>
      </c>
      <c r="E8" s="1128">
        <v>50000</v>
      </c>
      <c r="F8" s="381">
        <v>50000</v>
      </c>
      <c r="G8" s="1128">
        <v>100000</v>
      </c>
      <c r="H8" s="1129"/>
    </row>
    <row r="9" spans="2:8" ht="24.75" customHeight="1" thickBot="1" x14ac:dyDescent="0.3">
      <c r="B9" s="1141"/>
      <c r="C9" s="1130"/>
      <c r="D9" s="1131">
        <f>SUM(D8:D8)</f>
        <v>50000</v>
      </c>
      <c r="E9" s="1132">
        <f>SUM(E8:E8)</f>
        <v>50000</v>
      </c>
      <c r="F9" s="1133">
        <f>SUM(F8:F8)</f>
        <v>50000</v>
      </c>
      <c r="G9" s="1132">
        <f>SUM(G8:G8)</f>
        <v>100000</v>
      </c>
      <c r="H9" s="1134">
        <f>SUM(H8:H8)</f>
        <v>0</v>
      </c>
    </row>
    <row r="10" spans="2:8" ht="24.75" customHeight="1" x14ac:dyDescent="0.25">
      <c r="B10" s="1125"/>
      <c r="C10" s="1126" t="s">
        <v>311</v>
      </c>
      <c r="D10" s="1142"/>
      <c r="E10" s="1143"/>
      <c r="F10" s="1144"/>
      <c r="G10" s="1128"/>
      <c r="H10" s="1129"/>
    </row>
    <row r="11" spans="2:8" ht="24.75" customHeight="1" x14ac:dyDescent="0.25">
      <c r="B11" s="96"/>
      <c r="C11" s="498" t="s">
        <v>243</v>
      </c>
      <c r="D11" s="1127">
        <v>87163</v>
      </c>
      <c r="E11" s="1128">
        <v>56335</v>
      </c>
      <c r="F11" s="381">
        <v>40000</v>
      </c>
      <c r="G11" s="1128">
        <v>40000</v>
      </c>
      <c r="H11" s="1129">
        <v>40000</v>
      </c>
    </row>
    <row r="12" spans="2:8" ht="24.75" customHeight="1" thickBot="1" x14ac:dyDescent="0.3">
      <c r="B12" s="1141"/>
      <c r="C12" s="1130" t="s">
        <v>743</v>
      </c>
      <c r="D12" s="1131">
        <f>SUM(D11:D11)</f>
        <v>87163</v>
      </c>
      <c r="E12" s="1132">
        <f>SUM(E11:E11)</f>
        <v>56335</v>
      </c>
      <c r="F12" s="1133">
        <f>SUM(F11:F11)</f>
        <v>40000</v>
      </c>
      <c r="G12" s="1132">
        <f>SUM(G11:G11)</f>
        <v>40000</v>
      </c>
      <c r="H12" s="1134">
        <f>SUM(H11:H11)</f>
        <v>40000</v>
      </c>
    </row>
    <row r="13" spans="2:8" ht="24.75" customHeight="1" x14ac:dyDescent="0.25">
      <c r="B13" s="1125"/>
      <c r="C13" s="1126" t="s">
        <v>315</v>
      </c>
      <c r="D13" s="1142"/>
      <c r="E13" s="1143"/>
      <c r="F13" s="1144"/>
      <c r="G13" s="1128"/>
      <c r="H13" s="1129"/>
    </row>
    <row r="14" spans="2:8" ht="24.75" customHeight="1" x14ac:dyDescent="0.25">
      <c r="B14" s="96"/>
      <c r="C14" s="498" t="s">
        <v>744</v>
      </c>
      <c r="D14" s="1127">
        <v>30444</v>
      </c>
      <c r="E14" s="1128">
        <v>1377</v>
      </c>
      <c r="F14" s="381">
        <v>10000</v>
      </c>
      <c r="G14" s="1128">
        <v>10000</v>
      </c>
      <c r="H14" s="1129">
        <v>10000</v>
      </c>
    </row>
    <row r="15" spans="2:8" ht="24.75" customHeight="1" thickBot="1" x14ac:dyDescent="0.3">
      <c r="B15" s="1141"/>
      <c r="C15" s="1130"/>
      <c r="D15" s="1131">
        <f>SUM(D14)</f>
        <v>30444</v>
      </c>
      <c r="E15" s="1131">
        <f t="shared" ref="E15:H15" si="0">SUM(E14)</f>
        <v>1377</v>
      </c>
      <c r="F15" s="1131">
        <f t="shared" si="0"/>
        <v>10000</v>
      </c>
      <c r="G15" s="1131">
        <f t="shared" si="0"/>
        <v>10000</v>
      </c>
      <c r="H15" s="1145">
        <f t="shared" si="0"/>
        <v>10000</v>
      </c>
    </row>
    <row r="16" spans="2:8" ht="24.75" customHeight="1" x14ac:dyDescent="0.25">
      <c r="B16" s="1125"/>
      <c r="C16" s="1146" t="s">
        <v>322</v>
      </c>
      <c r="D16" s="1147"/>
      <c r="E16" s="1148"/>
      <c r="F16" s="1149"/>
      <c r="G16" s="1150"/>
      <c r="H16" s="1151"/>
    </row>
    <row r="17" spans="2:8" ht="24.75" customHeight="1" x14ac:dyDescent="0.25">
      <c r="B17" s="96"/>
      <c r="C17" s="1152" t="s">
        <v>745</v>
      </c>
      <c r="D17" s="1153">
        <v>760952</v>
      </c>
      <c r="E17" s="1154">
        <v>331657</v>
      </c>
      <c r="F17" s="1155">
        <v>400000</v>
      </c>
      <c r="G17" s="1154">
        <v>500000</v>
      </c>
      <c r="H17" s="1156">
        <v>1000000</v>
      </c>
    </row>
    <row r="18" spans="2:8" ht="24.75" customHeight="1" x14ac:dyDescent="0.25">
      <c r="B18" s="1157"/>
      <c r="C18" s="1152" t="s">
        <v>189</v>
      </c>
      <c r="D18" s="1153">
        <v>162202</v>
      </c>
      <c r="E18" s="1154">
        <v>83746</v>
      </c>
      <c r="F18" s="1155">
        <v>105000</v>
      </c>
      <c r="G18" s="1154">
        <v>105000</v>
      </c>
      <c r="H18" s="1156">
        <v>105000</v>
      </c>
    </row>
    <row r="19" spans="2:8" ht="24.75" customHeight="1" thickBot="1" x14ac:dyDescent="0.3">
      <c r="B19" s="1141"/>
      <c r="C19" s="1158" t="s">
        <v>746</v>
      </c>
      <c r="D19" s="1131">
        <f>SUM(D17:D18)</f>
        <v>923154</v>
      </c>
      <c r="E19" s="1132">
        <f>SUM(E17:E18)</f>
        <v>415403</v>
      </c>
      <c r="F19" s="1133">
        <f>SUM(F17:F18)</f>
        <v>505000</v>
      </c>
      <c r="G19" s="1132">
        <f>SUM(G17:G18)</f>
        <v>605000</v>
      </c>
      <c r="H19" s="1134">
        <f>SUM(H17:H18)</f>
        <v>1105000</v>
      </c>
    </row>
    <row r="20" spans="2:8" ht="24.75" customHeight="1" x14ac:dyDescent="0.25">
      <c r="B20" s="1159"/>
      <c r="C20" s="1160" t="s">
        <v>100</v>
      </c>
      <c r="D20" s="1142"/>
      <c r="E20" s="1143"/>
      <c r="F20" s="1144"/>
      <c r="G20" s="1128"/>
      <c r="H20" s="1129"/>
    </row>
    <row r="21" spans="2:8" ht="24.75" customHeight="1" x14ac:dyDescent="0.25">
      <c r="B21" s="96"/>
      <c r="C21" s="1161" t="s">
        <v>100</v>
      </c>
      <c r="D21" s="1162">
        <v>38807</v>
      </c>
      <c r="E21" s="1163">
        <v>22702</v>
      </c>
      <c r="F21" s="1164">
        <v>10000</v>
      </c>
      <c r="G21" s="1163">
        <v>10000</v>
      </c>
      <c r="H21" s="1165">
        <v>10000</v>
      </c>
    </row>
    <row r="22" spans="2:8" ht="24.75" customHeight="1" thickBot="1" x14ac:dyDescent="0.3">
      <c r="B22" s="1141"/>
      <c r="C22" s="1166"/>
      <c r="D22" s="1131">
        <f>SUM(D21)</f>
        <v>38807</v>
      </c>
      <c r="E22" s="1132">
        <f>SUM(E21)</f>
        <v>22702</v>
      </c>
      <c r="F22" s="1133">
        <f>SUM(F21)</f>
        <v>10000</v>
      </c>
      <c r="G22" s="1132">
        <f>SUM(G21)</f>
        <v>10000</v>
      </c>
      <c r="H22" s="1134">
        <f>SUM(H21)</f>
        <v>10000</v>
      </c>
    </row>
    <row r="23" spans="2:8" ht="24.75" customHeight="1" thickBot="1" x14ac:dyDescent="0.3">
      <c r="B23" s="1167"/>
      <c r="C23" s="1168" t="s">
        <v>747</v>
      </c>
      <c r="D23" s="1169">
        <f>+D9+D12+D15+D19+D22</f>
        <v>1129568</v>
      </c>
      <c r="E23" s="1169">
        <f t="shared" ref="E23:H23" si="1">+E9+E12+E15+E19+E22</f>
        <v>545817</v>
      </c>
      <c r="F23" s="1169">
        <f t="shared" si="1"/>
        <v>615000</v>
      </c>
      <c r="G23" s="1169">
        <f t="shared" si="1"/>
        <v>765000</v>
      </c>
      <c r="H23" s="2809">
        <f t="shared" si="1"/>
        <v>1165000</v>
      </c>
    </row>
    <row r="24" spans="2:8" ht="24.75" customHeight="1" x14ac:dyDescent="0.25">
      <c r="B24" s="1170"/>
      <c r="C24" s="1126"/>
      <c r="D24" s="1171"/>
      <c r="E24" s="1171"/>
      <c r="F24" s="1171"/>
      <c r="G24" s="1171"/>
      <c r="H24" s="1171"/>
    </row>
    <row r="25" spans="2:8" ht="21.75" customHeight="1" x14ac:dyDescent="0.25">
      <c r="C25" s="1172" t="s">
        <v>748</v>
      </c>
    </row>
    <row r="26" spans="2:8" s="1173" customFormat="1" ht="18.95" customHeight="1" x14ac:dyDescent="0.25">
      <c r="C26" s="852" t="s">
        <v>749</v>
      </c>
    </row>
    <row r="27" spans="2:8" s="1173" customFormat="1" ht="18.95" customHeight="1" x14ac:dyDescent="0.25">
      <c r="C27" s="852" t="s">
        <v>1789</v>
      </c>
    </row>
    <row r="28" spans="2:8" s="1173" customFormat="1" ht="18.95" customHeight="1" x14ac:dyDescent="0.25">
      <c r="C28" s="1173" t="s">
        <v>750</v>
      </c>
    </row>
    <row r="29" spans="2:8" ht="18.95" customHeight="1" x14ac:dyDescent="0.2"/>
    <row r="30" spans="2:8" ht="18.95" customHeight="1" x14ac:dyDescent="0.2"/>
    <row r="31" spans="2:8" ht="18.95" customHeight="1" x14ac:dyDescent="0.2"/>
    <row r="32" spans="2:8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verticalDpi="300" r:id="rId1"/>
  <headerFooter alignWithMargins="0">
    <oddHeader xml:space="preserve">&amp;C
&amp;R&amp;"Arial CE,Normál"&amp;18 &amp;"Arial CE,Félkövér"&amp;14 22. melléklet a …../2018. (…….) önkormányzati rendelethez&amp;"Arial CE,Normál"&amp;18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B4:H140"/>
  <sheetViews>
    <sheetView zoomScale="85" zoomScaleNormal="85" zoomScaleSheetLayoutView="80" workbookViewId="0">
      <selection activeCell="B6" sqref="B6:G6"/>
    </sheetView>
  </sheetViews>
  <sheetFormatPr defaultColWidth="10.6640625" defaultRowHeight="12.75" x14ac:dyDescent="0.2"/>
  <cols>
    <col min="1" max="1" width="4.6640625" style="1174" customWidth="1"/>
    <col min="2" max="2" width="9.33203125" style="1253" customWidth="1"/>
    <col min="3" max="3" width="10.6640625" style="1174" customWidth="1"/>
    <col min="4" max="4" width="57.33203125" style="1174" customWidth="1"/>
    <col min="5" max="5" width="27.33203125" style="1174" customWidth="1"/>
    <col min="6" max="7" width="30.6640625" style="1174" customWidth="1"/>
    <col min="8" max="8" width="10.6640625" style="1174"/>
    <col min="9" max="9" width="18.33203125" style="1174" customWidth="1"/>
    <col min="10" max="16384" width="10.6640625" style="1174"/>
  </cols>
  <sheetData>
    <row r="4" spans="2:8" ht="17.25" customHeight="1" x14ac:dyDescent="0.25">
      <c r="B4" s="2689" t="s">
        <v>1289</v>
      </c>
      <c r="C4" s="2689"/>
      <c r="D4" s="2689"/>
      <c r="E4" s="2689"/>
      <c r="F4" s="2689"/>
      <c r="G4" s="2689"/>
    </row>
    <row r="5" spans="2:8" ht="17.25" customHeight="1" x14ac:dyDescent="0.2">
      <c r="B5" s="1175"/>
      <c r="C5" s="1175"/>
      <c r="D5" s="1175"/>
      <c r="E5" s="1175"/>
    </row>
    <row r="6" spans="2:8" s="1176" customFormat="1" ht="15.75" x14ac:dyDescent="0.25">
      <c r="B6" s="2690" t="s">
        <v>751</v>
      </c>
      <c r="C6" s="2690"/>
      <c r="D6" s="2690"/>
      <c r="E6" s="2690"/>
      <c r="F6" s="2691"/>
      <c r="G6" s="2691"/>
    </row>
    <row r="7" spans="2:8" s="1176" customFormat="1" ht="16.5" thickBot="1" x14ac:dyDescent="0.3">
      <c r="B7" s="1177"/>
      <c r="C7" s="1177"/>
      <c r="D7" s="1177"/>
      <c r="E7" s="1177"/>
      <c r="F7" s="14" t="s">
        <v>32</v>
      </c>
      <c r="G7" s="14" t="s">
        <v>32</v>
      </c>
    </row>
    <row r="8" spans="2:8" s="1176" customFormat="1" ht="20.25" customHeight="1" x14ac:dyDescent="0.25">
      <c r="B8" s="1178"/>
      <c r="C8" s="2692" t="s">
        <v>50</v>
      </c>
      <c r="D8" s="2693"/>
      <c r="E8" s="1179"/>
      <c r="F8" s="1180" t="s">
        <v>752</v>
      </c>
      <c r="G8" s="1180" t="s">
        <v>1287</v>
      </c>
    </row>
    <row r="9" spans="2:8" s="1176" customFormat="1" ht="16.5" customHeight="1" x14ac:dyDescent="0.25">
      <c r="B9" s="1181"/>
      <c r="C9" s="1181"/>
      <c r="D9" s="1182"/>
      <c r="E9" s="1183"/>
      <c r="F9" s="1184" t="s">
        <v>753</v>
      </c>
      <c r="G9" s="1184" t="s">
        <v>753</v>
      </c>
    </row>
    <row r="10" spans="2:8" s="1176" customFormat="1" ht="16.5" customHeight="1" thickBot="1" x14ac:dyDescent="0.3">
      <c r="B10" s="1185"/>
      <c r="C10" s="1185"/>
      <c r="D10" s="1186"/>
      <c r="E10" s="1187"/>
      <c r="F10" s="1188" t="s">
        <v>754</v>
      </c>
      <c r="G10" s="1188" t="s">
        <v>1288</v>
      </c>
    </row>
    <row r="11" spans="2:8" s="1176" customFormat="1" ht="16.5" customHeight="1" x14ac:dyDescent="0.25">
      <c r="B11" s="1181"/>
      <c r="C11" s="1181"/>
      <c r="D11" s="1182"/>
      <c r="E11" s="1183"/>
      <c r="F11" s="1189"/>
      <c r="G11" s="1189"/>
    </row>
    <row r="12" spans="2:8" s="1176" customFormat="1" ht="14.25" customHeight="1" x14ac:dyDescent="0.2">
      <c r="B12" s="1190"/>
      <c r="C12" s="1191" t="s">
        <v>755</v>
      </c>
      <c r="D12" s="1192"/>
      <c r="E12" s="1193" t="s">
        <v>756</v>
      </c>
      <c r="F12" s="1194">
        <v>37786</v>
      </c>
      <c r="G12" s="1194">
        <v>26070</v>
      </c>
    </row>
    <row r="13" spans="2:8" s="1176" customFormat="1" ht="15" x14ac:dyDescent="0.2">
      <c r="B13" s="1190"/>
      <c r="C13" s="1191"/>
      <c r="D13" s="1192"/>
      <c r="E13" s="1193" t="s">
        <v>757</v>
      </c>
      <c r="F13" s="1194">
        <v>28637</v>
      </c>
      <c r="G13" s="1194">
        <v>19668</v>
      </c>
    </row>
    <row r="14" spans="2:8" s="1176" customFormat="1" ht="16.5" customHeight="1" x14ac:dyDescent="0.25">
      <c r="B14" s="1195" t="s">
        <v>758</v>
      </c>
      <c r="C14" s="1196" t="s">
        <v>755</v>
      </c>
      <c r="D14" s="1197"/>
      <c r="E14" s="1198" t="s">
        <v>759</v>
      </c>
      <c r="F14" s="1199">
        <f>SUM(F12:F13)</f>
        <v>66423</v>
      </c>
      <c r="G14" s="1199">
        <f>SUM(G12:G13)</f>
        <v>45738</v>
      </c>
    </row>
    <row r="15" spans="2:8" s="1176" customFormat="1" ht="15.6" customHeight="1" x14ac:dyDescent="0.25">
      <c r="B15" s="1200"/>
      <c r="C15" s="1201"/>
      <c r="D15" s="1202"/>
      <c r="E15" s="1183"/>
      <c r="F15" s="1203"/>
      <c r="G15" s="1203"/>
    </row>
    <row r="16" spans="2:8" s="1176" customFormat="1" ht="15" customHeight="1" x14ac:dyDescent="0.2">
      <c r="B16" s="1190"/>
      <c r="C16" s="1191" t="s">
        <v>760</v>
      </c>
      <c r="D16" s="1192"/>
      <c r="E16" s="1193" t="s">
        <v>756</v>
      </c>
      <c r="F16" s="1194">
        <v>2525</v>
      </c>
      <c r="G16" s="1194">
        <v>11593</v>
      </c>
      <c r="H16" s="1204"/>
    </row>
    <row r="17" spans="2:7" s="1176" customFormat="1" ht="15" x14ac:dyDescent="0.2">
      <c r="B17" s="1190"/>
      <c r="C17" s="1191"/>
      <c r="D17" s="1192"/>
      <c r="E17" s="1193" t="s">
        <v>757</v>
      </c>
      <c r="F17" s="1194">
        <v>1562</v>
      </c>
      <c r="G17" s="1194">
        <v>752</v>
      </c>
    </row>
    <row r="18" spans="2:7" s="1176" customFormat="1" ht="16.5" customHeight="1" x14ac:dyDescent="0.25">
      <c r="B18" s="1195" t="s">
        <v>761</v>
      </c>
      <c r="C18" s="1196" t="s">
        <v>760</v>
      </c>
      <c r="D18" s="1197"/>
      <c r="E18" s="1198" t="s">
        <v>759</v>
      </c>
      <c r="F18" s="1199">
        <f>SUM(F16:F17)</f>
        <v>4087</v>
      </c>
      <c r="G18" s="1199">
        <f>SUM(G16:G17)</f>
        <v>12345</v>
      </c>
    </row>
    <row r="19" spans="2:7" s="1176" customFormat="1" ht="15.6" customHeight="1" x14ac:dyDescent="0.25">
      <c r="B19" s="1200"/>
      <c r="C19" s="1201"/>
      <c r="D19" s="1202"/>
      <c r="E19" s="1183"/>
      <c r="F19" s="1203"/>
      <c r="G19" s="1203"/>
    </row>
    <row r="20" spans="2:7" s="1176" customFormat="1" ht="15" x14ac:dyDescent="0.2">
      <c r="B20" s="1190"/>
      <c r="C20" s="1205" t="s">
        <v>762</v>
      </c>
      <c r="D20" s="1192"/>
      <c r="E20" s="1193" t="s">
        <v>756</v>
      </c>
      <c r="F20" s="1194">
        <f>+F12+F16</f>
        <v>40311</v>
      </c>
      <c r="G20" s="1194">
        <f>+G12+G16</f>
        <v>37663</v>
      </c>
    </row>
    <row r="21" spans="2:7" s="1176" customFormat="1" ht="15" x14ac:dyDescent="0.2">
      <c r="B21" s="1190"/>
      <c r="C21" s="1191"/>
      <c r="D21" s="1192"/>
      <c r="E21" s="1193" t="s">
        <v>757</v>
      </c>
      <c r="F21" s="1194">
        <f>+F13+F17</f>
        <v>30199</v>
      </c>
      <c r="G21" s="1194">
        <f>+G13+G17</f>
        <v>20420</v>
      </c>
    </row>
    <row r="22" spans="2:7" s="1176" customFormat="1" ht="16.5" customHeight="1" thickBot="1" x14ac:dyDescent="0.3">
      <c r="B22" s="1206" t="s">
        <v>763</v>
      </c>
      <c r="C22" s="1207" t="s">
        <v>764</v>
      </c>
      <c r="D22" s="1208"/>
      <c r="E22" s="1209" t="s">
        <v>759</v>
      </c>
      <c r="F22" s="1210">
        <f>SUM(F20:F21)</f>
        <v>70510</v>
      </c>
      <c r="G22" s="1210">
        <f>SUM(G20:G21)</f>
        <v>58083</v>
      </c>
    </row>
    <row r="23" spans="2:7" s="1176" customFormat="1" ht="15.6" customHeight="1" x14ac:dyDescent="0.25">
      <c r="B23" s="1200"/>
      <c r="C23" s="1201"/>
      <c r="D23" s="1202"/>
      <c r="E23" s="1201"/>
      <c r="F23" s="1211"/>
      <c r="G23" s="1211"/>
    </row>
    <row r="24" spans="2:7" s="1176" customFormat="1" ht="14.25" customHeight="1" x14ac:dyDescent="0.2">
      <c r="B24" s="1190"/>
      <c r="C24" s="1191" t="s">
        <v>765</v>
      </c>
      <c r="D24" s="1192"/>
      <c r="E24" s="1191" t="s">
        <v>756</v>
      </c>
      <c r="F24" s="1212">
        <v>7829772</v>
      </c>
      <c r="G24" s="1212">
        <v>5387706</v>
      </c>
    </row>
    <row r="25" spans="2:7" s="1176" customFormat="1" ht="15" x14ac:dyDescent="0.2">
      <c r="B25" s="1190"/>
      <c r="C25" s="1191"/>
      <c r="D25" s="1192"/>
      <c r="E25" s="1191" t="s">
        <v>757</v>
      </c>
      <c r="F25" s="1212">
        <v>59845106</v>
      </c>
      <c r="G25" s="1212">
        <v>59888597</v>
      </c>
    </row>
    <row r="26" spans="2:7" s="1176" customFormat="1" ht="16.5" customHeight="1" x14ac:dyDescent="0.25">
      <c r="B26" s="1195" t="s">
        <v>766</v>
      </c>
      <c r="C26" s="1196" t="s">
        <v>767</v>
      </c>
      <c r="D26" s="1197"/>
      <c r="E26" s="1196" t="s">
        <v>759</v>
      </c>
      <c r="F26" s="1213">
        <f>SUM(F24:F25)</f>
        <v>67674878</v>
      </c>
      <c r="G26" s="1213">
        <f>SUM(G24:G25)</f>
        <v>65276303</v>
      </c>
    </row>
    <row r="27" spans="2:7" s="1176" customFormat="1" ht="15.6" customHeight="1" x14ac:dyDescent="0.25">
      <c r="B27" s="1200"/>
      <c r="C27" s="1201"/>
      <c r="D27" s="1202"/>
      <c r="E27" s="1201"/>
      <c r="F27" s="1214"/>
      <c r="G27" s="1214"/>
    </row>
    <row r="28" spans="2:7" s="1176" customFormat="1" ht="15" customHeight="1" x14ac:dyDescent="0.2">
      <c r="B28" s="1190"/>
      <c r="C28" s="1191" t="s">
        <v>768</v>
      </c>
      <c r="D28" s="1192"/>
      <c r="E28" s="1191" t="s">
        <v>756</v>
      </c>
      <c r="F28" s="1212">
        <v>390096</v>
      </c>
      <c r="G28" s="1212">
        <v>356316</v>
      </c>
    </row>
    <row r="29" spans="2:7" s="1176" customFormat="1" ht="15" x14ac:dyDescent="0.2">
      <c r="B29" s="1190"/>
      <c r="C29" s="1191"/>
      <c r="D29" s="1192"/>
      <c r="E29" s="1191" t="s">
        <v>757</v>
      </c>
      <c r="F29" s="1212">
        <v>1299491</v>
      </c>
      <c r="G29" s="1212">
        <v>1197367</v>
      </c>
    </row>
    <row r="30" spans="2:7" s="1176" customFormat="1" ht="17.25" customHeight="1" x14ac:dyDescent="0.25">
      <c r="B30" s="1195" t="s">
        <v>769</v>
      </c>
      <c r="C30" s="1196" t="s">
        <v>768</v>
      </c>
      <c r="D30" s="1197"/>
      <c r="E30" s="1196" t="s">
        <v>759</v>
      </c>
      <c r="F30" s="1213">
        <f>SUM(F28:F29)</f>
        <v>1689587</v>
      </c>
      <c r="G30" s="1213">
        <f>SUM(G28:G29)</f>
        <v>1553683</v>
      </c>
    </row>
    <row r="31" spans="2:7" s="1176" customFormat="1" ht="15.6" customHeight="1" x14ac:dyDescent="0.25">
      <c r="B31" s="1200"/>
      <c r="C31" s="1201"/>
      <c r="D31" s="1202"/>
      <c r="E31" s="1201"/>
      <c r="F31" s="1214"/>
      <c r="G31" s="1214"/>
    </row>
    <row r="32" spans="2:7" s="1176" customFormat="1" ht="15" x14ac:dyDescent="0.2">
      <c r="B32" s="1190"/>
      <c r="C32" s="1191" t="s">
        <v>770</v>
      </c>
      <c r="D32" s="1192"/>
      <c r="E32" s="1191" t="s">
        <v>756</v>
      </c>
      <c r="F32" s="1212">
        <v>0</v>
      </c>
      <c r="G32" s="1212">
        <v>0</v>
      </c>
    </row>
    <row r="33" spans="2:7" s="1176" customFormat="1" ht="15" x14ac:dyDescent="0.2">
      <c r="B33" s="1190"/>
      <c r="C33" s="1191"/>
      <c r="D33" s="1192"/>
      <c r="E33" s="1191" t="s">
        <v>757</v>
      </c>
      <c r="F33" s="1212">
        <v>0</v>
      </c>
      <c r="G33" s="1212">
        <v>0</v>
      </c>
    </row>
    <row r="34" spans="2:7" s="1176" customFormat="1" ht="16.5" customHeight="1" x14ac:dyDescent="0.25">
      <c r="B34" s="1195" t="s">
        <v>771</v>
      </c>
      <c r="C34" s="1196" t="s">
        <v>770</v>
      </c>
      <c r="D34" s="1197"/>
      <c r="E34" s="1196" t="s">
        <v>759</v>
      </c>
      <c r="F34" s="1213">
        <f>SUM(F32:F33)</f>
        <v>0</v>
      </c>
      <c r="G34" s="1213">
        <f>SUM(G32:G33)</f>
        <v>0</v>
      </c>
    </row>
    <row r="35" spans="2:7" s="1176" customFormat="1" ht="15.6" customHeight="1" x14ac:dyDescent="0.25">
      <c r="B35" s="1200"/>
      <c r="C35" s="1201"/>
      <c r="D35" s="1202"/>
      <c r="E35" s="1201"/>
      <c r="F35" s="1214"/>
      <c r="G35" s="1214"/>
    </row>
    <row r="36" spans="2:7" s="1176" customFormat="1" ht="15" x14ac:dyDescent="0.2">
      <c r="B36" s="1190"/>
      <c r="C36" s="1191" t="s">
        <v>772</v>
      </c>
      <c r="D36" s="1192"/>
      <c r="E36" s="1191" t="s">
        <v>756</v>
      </c>
      <c r="F36" s="1212">
        <v>37272</v>
      </c>
      <c r="G36" s="1212">
        <v>42026</v>
      </c>
    </row>
    <row r="37" spans="2:7" s="1176" customFormat="1" ht="15" x14ac:dyDescent="0.2">
      <c r="B37" s="1190"/>
      <c r="C37" s="1191"/>
      <c r="D37" s="1192"/>
      <c r="E37" s="1191" t="s">
        <v>757</v>
      </c>
      <c r="F37" s="1212">
        <v>1033710</v>
      </c>
      <c r="G37" s="1212">
        <v>1739559</v>
      </c>
    </row>
    <row r="38" spans="2:7" s="1176" customFormat="1" ht="16.5" customHeight="1" x14ac:dyDescent="0.25">
      <c r="B38" s="1195" t="s">
        <v>773</v>
      </c>
      <c r="C38" s="1196" t="s">
        <v>322</v>
      </c>
      <c r="D38" s="1197"/>
      <c r="E38" s="1196" t="s">
        <v>759</v>
      </c>
      <c r="F38" s="1213">
        <f>SUM(F36:F37)</f>
        <v>1070982</v>
      </c>
      <c r="G38" s="1213">
        <f>SUM(G36:G37)</f>
        <v>1781585</v>
      </c>
    </row>
    <row r="39" spans="2:7" s="1176" customFormat="1" ht="15.6" customHeight="1" x14ac:dyDescent="0.25">
      <c r="B39" s="1200"/>
      <c r="C39" s="1201"/>
      <c r="D39" s="1202"/>
      <c r="E39" s="1201"/>
      <c r="F39" s="1214"/>
      <c r="G39" s="1214"/>
    </row>
    <row r="40" spans="2:7" s="1176" customFormat="1" ht="15" customHeight="1" x14ac:dyDescent="0.2">
      <c r="B40" s="1190"/>
      <c r="C40" s="1205" t="s">
        <v>774</v>
      </c>
      <c r="D40" s="1192"/>
      <c r="E40" s="1191" t="s">
        <v>756</v>
      </c>
      <c r="F40" s="1212">
        <f>F24+F28+F36+F32</f>
        <v>8257140</v>
      </c>
      <c r="G40" s="1212">
        <f>G24+G28+G36+G32</f>
        <v>5786048</v>
      </c>
    </row>
    <row r="41" spans="2:7" s="1176" customFormat="1" ht="15" x14ac:dyDescent="0.2">
      <c r="B41" s="1190"/>
      <c r="C41" s="1191"/>
      <c r="D41" s="1192"/>
      <c r="E41" s="1191" t="s">
        <v>757</v>
      </c>
      <c r="F41" s="1212">
        <f>F25+F29+F37+F33</f>
        <v>62178307</v>
      </c>
      <c r="G41" s="1212">
        <f>G25+G29+G37+G33</f>
        <v>62825523</v>
      </c>
    </row>
    <row r="42" spans="2:7" s="1176" customFormat="1" ht="16.5" customHeight="1" thickBot="1" x14ac:dyDescent="0.3">
      <c r="B42" s="1206" t="s">
        <v>775</v>
      </c>
      <c r="C42" s="1207" t="s">
        <v>774</v>
      </c>
      <c r="D42" s="1208"/>
      <c r="E42" s="1207" t="s">
        <v>759</v>
      </c>
      <c r="F42" s="1215">
        <f>SUM(F40:F41)</f>
        <v>70435447</v>
      </c>
      <c r="G42" s="1215">
        <f>SUM(G40:G41)</f>
        <v>68611571</v>
      </c>
    </row>
    <row r="43" spans="2:7" s="1176" customFormat="1" ht="15.6" customHeight="1" x14ac:dyDescent="0.25">
      <c r="B43" s="1200"/>
      <c r="C43" s="1201"/>
      <c r="D43" s="1202"/>
      <c r="E43" s="1183"/>
      <c r="F43" s="1216"/>
      <c r="G43" s="1216"/>
    </row>
    <row r="44" spans="2:7" s="1176" customFormat="1" ht="15" customHeight="1" x14ac:dyDescent="0.2">
      <c r="B44" s="1190"/>
      <c r="C44" s="1191" t="s">
        <v>776</v>
      </c>
      <c r="D44" s="1192"/>
      <c r="E44" s="1193" t="s">
        <v>756</v>
      </c>
      <c r="F44" s="1194">
        <v>0</v>
      </c>
      <c r="G44" s="1194">
        <v>0</v>
      </c>
    </row>
    <row r="45" spans="2:7" s="1176" customFormat="1" ht="15" x14ac:dyDescent="0.2">
      <c r="B45" s="1190"/>
      <c r="C45" s="1191"/>
      <c r="D45" s="1192"/>
      <c r="E45" s="1193" t="s">
        <v>757</v>
      </c>
      <c r="F45" s="1194">
        <v>7525967</v>
      </c>
      <c r="G45" s="1194">
        <v>7299516</v>
      </c>
    </row>
    <row r="46" spans="2:7" s="1176" customFormat="1" ht="16.5" customHeight="1" x14ac:dyDescent="0.25">
      <c r="B46" s="1195" t="s">
        <v>777</v>
      </c>
      <c r="C46" s="1196" t="s">
        <v>778</v>
      </c>
      <c r="D46" s="1197"/>
      <c r="E46" s="1198" t="s">
        <v>759</v>
      </c>
      <c r="F46" s="1199">
        <f>SUM(F44:F45)</f>
        <v>7525967</v>
      </c>
      <c r="G46" s="1199">
        <f>SUM(G44:G45)</f>
        <v>7299516</v>
      </c>
    </row>
    <row r="47" spans="2:7" s="1176" customFormat="1" ht="15.6" customHeight="1" x14ac:dyDescent="0.25">
      <c r="B47" s="1200"/>
      <c r="C47" s="1201"/>
      <c r="D47" s="1202"/>
      <c r="E47" s="1183"/>
      <c r="F47" s="1203"/>
      <c r="G47" s="1203"/>
    </row>
    <row r="48" spans="2:7" s="1176" customFormat="1" ht="15.75" customHeight="1" x14ac:dyDescent="0.2">
      <c r="B48" s="1190"/>
      <c r="C48" s="1191" t="s">
        <v>779</v>
      </c>
      <c r="D48" s="1192"/>
      <c r="E48" s="1193" t="s">
        <v>756</v>
      </c>
      <c r="F48" s="1194">
        <v>0</v>
      </c>
      <c r="G48" s="1194">
        <v>0</v>
      </c>
    </row>
    <row r="49" spans="2:7" s="1176" customFormat="1" ht="15" x14ac:dyDescent="0.2">
      <c r="B49" s="1190"/>
      <c r="C49" s="1191"/>
      <c r="D49" s="1192"/>
      <c r="E49" s="1193" t="s">
        <v>757</v>
      </c>
      <c r="F49" s="1194">
        <v>0</v>
      </c>
      <c r="G49" s="1194">
        <v>0</v>
      </c>
    </row>
    <row r="50" spans="2:7" s="1176" customFormat="1" ht="16.5" customHeight="1" x14ac:dyDescent="0.25">
      <c r="B50" s="1195" t="s">
        <v>780</v>
      </c>
      <c r="C50" s="1196" t="s">
        <v>779</v>
      </c>
      <c r="D50" s="1197"/>
      <c r="E50" s="1198" t="s">
        <v>759</v>
      </c>
      <c r="F50" s="1213">
        <f>SUM(F49:F49)</f>
        <v>0</v>
      </c>
      <c r="G50" s="1213">
        <f>SUM(G49:G49)</f>
        <v>0</v>
      </c>
    </row>
    <row r="51" spans="2:7" s="1176" customFormat="1" ht="15.6" customHeight="1" x14ac:dyDescent="0.25">
      <c r="B51" s="1200"/>
      <c r="C51" s="1201"/>
      <c r="D51" s="1202"/>
      <c r="E51" s="1183"/>
      <c r="F51" s="1214"/>
      <c r="G51" s="1214"/>
    </row>
    <row r="52" spans="2:7" s="1176" customFormat="1" ht="15.75" customHeight="1" x14ac:dyDescent="0.2">
      <c r="B52" s="1190"/>
      <c r="C52" s="1205" t="s">
        <v>781</v>
      </c>
      <c r="D52" s="1192"/>
      <c r="E52" s="1193" t="s">
        <v>756</v>
      </c>
      <c r="F52" s="1212">
        <f>F44+F48</f>
        <v>0</v>
      </c>
      <c r="G52" s="1212">
        <f>G44+G48</f>
        <v>0</v>
      </c>
    </row>
    <row r="53" spans="2:7" s="1176" customFormat="1" ht="15.75" x14ac:dyDescent="0.25">
      <c r="B53" s="1190"/>
      <c r="C53" s="1201"/>
      <c r="D53" s="1192"/>
      <c r="E53" s="1193" t="s">
        <v>757</v>
      </c>
      <c r="F53" s="1212">
        <f>F45+F49</f>
        <v>7525967</v>
      </c>
      <c r="G53" s="1212">
        <f>G45+G49</f>
        <v>7299516</v>
      </c>
    </row>
    <row r="54" spans="2:7" s="1176" customFormat="1" ht="16.5" customHeight="1" thickBot="1" x14ac:dyDescent="0.3">
      <c r="B54" s="1206" t="s">
        <v>782</v>
      </c>
      <c r="C54" s="1207" t="s">
        <v>781</v>
      </c>
      <c r="D54" s="1208"/>
      <c r="E54" s="1209" t="s">
        <v>759</v>
      </c>
      <c r="F54" s="1215">
        <f>SUM(F52:F53)</f>
        <v>7525967</v>
      </c>
      <c r="G54" s="1215">
        <f>SUM(G52:G53)</f>
        <v>7299516</v>
      </c>
    </row>
    <row r="55" spans="2:7" s="1176" customFormat="1" ht="15.6" customHeight="1" x14ac:dyDescent="0.25">
      <c r="B55" s="1200"/>
      <c r="C55" s="1201"/>
      <c r="D55" s="1202"/>
      <c r="E55" s="1183"/>
      <c r="F55" s="1203"/>
      <c r="G55" s="1203"/>
    </row>
    <row r="56" spans="2:7" s="1176" customFormat="1" ht="16.5" customHeight="1" x14ac:dyDescent="0.2">
      <c r="B56" s="1190"/>
      <c r="C56" s="1191" t="s">
        <v>783</v>
      </c>
      <c r="D56" s="1192"/>
      <c r="E56" s="1193" t="s">
        <v>756</v>
      </c>
      <c r="F56" s="1194">
        <v>0</v>
      </c>
      <c r="G56" s="1194">
        <v>0</v>
      </c>
    </row>
    <row r="57" spans="2:7" s="1176" customFormat="1" ht="15" x14ac:dyDescent="0.2">
      <c r="B57" s="1190"/>
      <c r="C57" s="1191"/>
      <c r="D57" s="1192"/>
      <c r="E57" s="1193" t="s">
        <v>757</v>
      </c>
      <c r="F57" s="1194">
        <v>0</v>
      </c>
      <c r="G57" s="1194">
        <v>811490</v>
      </c>
    </row>
    <row r="58" spans="2:7" s="1176" customFormat="1" ht="38.25" customHeight="1" thickBot="1" x14ac:dyDescent="0.3">
      <c r="B58" s="1217" t="s">
        <v>784</v>
      </c>
      <c r="C58" s="2694" t="s">
        <v>785</v>
      </c>
      <c r="D58" s="2695"/>
      <c r="E58" s="1218" t="s">
        <v>759</v>
      </c>
      <c r="F58" s="1219">
        <f>SUM(F56:F57)</f>
        <v>0</v>
      </c>
      <c r="G58" s="1219">
        <f>SUM(G56:G57)</f>
        <v>811490</v>
      </c>
    </row>
    <row r="59" spans="2:7" s="1176" customFormat="1" ht="15.6" customHeight="1" x14ac:dyDescent="0.25">
      <c r="B59" s="1220"/>
      <c r="C59" s="1221"/>
      <c r="D59" s="1222"/>
      <c r="E59" s="1179"/>
      <c r="F59" s="1211"/>
      <c r="G59" s="1211"/>
    </row>
    <row r="60" spans="2:7" s="1176" customFormat="1" ht="15" customHeight="1" x14ac:dyDescent="0.25">
      <c r="B60" s="1190"/>
      <c r="C60" s="2696" t="s">
        <v>786</v>
      </c>
      <c r="D60" s="2697"/>
      <c r="E60" s="1193" t="s">
        <v>756</v>
      </c>
      <c r="F60" s="1212">
        <f>+F20+F40+F52+F56</f>
        <v>8297451</v>
      </c>
      <c r="G60" s="1212">
        <f>+G20+G40+G52+G56</f>
        <v>5823711</v>
      </c>
    </row>
    <row r="61" spans="2:7" s="1176" customFormat="1" ht="15.75" thickBot="1" x14ac:dyDescent="0.25">
      <c r="B61" s="1223"/>
      <c r="C61" s="1224"/>
      <c r="D61" s="1225"/>
      <c r="E61" s="1226" t="s">
        <v>757</v>
      </c>
      <c r="F61" s="1227">
        <f>+F21+F41+F53+F57</f>
        <v>69734473</v>
      </c>
      <c r="G61" s="1227">
        <f>+G21+G41+G53+G57</f>
        <v>70956949</v>
      </c>
    </row>
    <row r="62" spans="2:7" s="1176" customFormat="1" ht="39.75" customHeight="1" thickBot="1" x14ac:dyDescent="0.3">
      <c r="B62" s="1228" t="s">
        <v>787</v>
      </c>
      <c r="C62" s="2698" t="s">
        <v>786</v>
      </c>
      <c r="D62" s="2697"/>
      <c r="E62" s="1229" t="s">
        <v>759</v>
      </c>
      <c r="F62" s="1230">
        <f>SUM(F60:F61)</f>
        <v>78031924</v>
      </c>
      <c r="G62" s="1230">
        <f>SUM(G60:G61)</f>
        <v>76780660</v>
      </c>
    </row>
    <row r="63" spans="2:7" s="1176" customFormat="1" ht="16.5" customHeight="1" x14ac:dyDescent="0.25">
      <c r="B63" s="1178"/>
      <c r="C63" s="1178"/>
      <c r="D63" s="1231"/>
      <c r="E63" s="1179"/>
      <c r="F63" s="1180"/>
      <c r="G63" s="1180"/>
    </row>
    <row r="64" spans="2:7" s="1176" customFormat="1" ht="15" customHeight="1" x14ac:dyDescent="0.2">
      <c r="B64" s="1190"/>
      <c r="C64" s="1191" t="s">
        <v>788</v>
      </c>
      <c r="D64" s="1192"/>
      <c r="E64" s="1193" t="s">
        <v>756</v>
      </c>
      <c r="F64" s="1212">
        <v>15307</v>
      </c>
      <c r="G64" s="1212">
        <v>20606</v>
      </c>
    </row>
    <row r="65" spans="2:7" s="1176" customFormat="1" ht="15" x14ac:dyDescent="0.2">
      <c r="B65" s="1232"/>
      <c r="C65" s="1191"/>
      <c r="D65" s="1192"/>
      <c r="E65" s="1193" t="s">
        <v>757</v>
      </c>
      <c r="F65" s="1212">
        <v>0</v>
      </c>
      <c r="G65" s="1212">
        <v>0</v>
      </c>
    </row>
    <row r="66" spans="2:7" s="1176" customFormat="1" ht="16.5" customHeight="1" thickBot="1" x14ac:dyDescent="0.3">
      <c r="B66" s="1233" t="s">
        <v>789</v>
      </c>
      <c r="C66" s="1207" t="s">
        <v>788</v>
      </c>
      <c r="D66" s="1208"/>
      <c r="E66" s="1209" t="s">
        <v>759</v>
      </c>
      <c r="F66" s="1215">
        <f>SUM(F64:F65)</f>
        <v>15307</v>
      </c>
      <c r="G66" s="1215">
        <f>SUM(G64:G65)</f>
        <v>20606</v>
      </c>
    </row>
    <row r="67" spans="2:7" s="1176" customFormat="1" ht="11.1" customHeight="1" x14ac:dyDescent="0.2">
      <c r="B67" s="1190"/>
      <c r="C67" s="1191"/>
      <c r="D67" s="1192"/>
      <c r="E67" s="1193"/>
      <c r="F67" s="1194"/>
      <c r="G67" s="1194"/>
    </row>
    <row r="68" spans="2:7" s="1176" customFormat="1" ht="15" x14ac:dyDescent="0.2">
      <c r="B68" s="1190"/>
      <c r="C68" s="1191" t="s">
        <v>790</v>
      </c>
      <c r="D68" s="1192"/>
      <c r="E68" s="1193" t="s">
        <v>756</v>
      </c>
      <c r="F68" s="1194">
        <v>0</v>
      </c>
      <c r="G68" s="1194">
        <v>0</v>
      </c>
    </row>
    <row r="69" spans="2:7" s="1176" customFormat="1" ht="15" x14ac:dyDescent="0.2">
      <c r="B69" s="1190"/>
      <c r="C69" s="1191"/>
      <c r="D69" s="1192"/>
      <c r="E69" s="1193" t="s">
        <v>757</v>
      </c>
      <c r="F69" s="1194">
        <v>0</v>
      </c>
      <c r="G69" s="1194">
        <v>0</v>
      </c>
    </row>
    <row r="70" spans="2:7" s="1176" customFormat="1" ht="16.5" customHeight="1" thickBot="1" x14ac:dyDescent="0.3">
      <c r="B70" s="1206" t="s">
        <v>791</v>
      </c>
      <c r="C70" s="1207" t="s">
        <v>792</v>
      </c>
      <c r="D70" s="1208"/>
      <c r="E70" s="1209" t="s">
        <v>759</v>
      </c>
      <c r="F70" s="1210">
        <f>SUM(F68:F69)</f>
        <v>0</v>
      </c>
      <c r="G70" s="1210">
        <f>SUM(G68:G69)</f>
        <v>0</v>
      </c>
    </row>
    <row r="71" spans="2:7" s="1176" customFormat="1" ht="15.6" customHeight="1" x14ac:dyDescent="0.25">
      <c r="B71" s="1200"/>
      <c r="C71" s="1201"/>
      <c r="D71" s="1202"/>
      <c r="E71" s="1183"/>
      <c r="F71" s="1203"/>
      <c r="G71" s="1203"/>
    </row>
    <row r="72" spans="2:7" s="1176" customFormat="1" ht="15" x14ac:dyDescent="0.2">
      <c r="B72" s="1190"/>
      <c r="C72" s="1191" t="s">
        <v>793</v>
      </c>
      <c r="D72" s="1192"/>
      <c r="E72" s="1193" t="s">
        <v>756</v>
      </c>
      <c r="F72" s="1194">
        <f>+F64+F68</f>
        <v>15307</v>
      </c>
      <c r="G72" s="1194">
        <f>+G64+G68</f>
        <v>20606</v>
      </c>
    </row>
    <row r="73" spans="2:7" s="1176" customFormat="1" ht="15.75" thickBot="1" x14ac:dyDescent="0.25">
      <c r="B73" s="1190"/>
      <c r="C73" s="1191" t="s">
        <v>149</v>
      </c>
      <c r="D73" s="1192"/>
      <c r="E73" s="1193" t="s">
        <v>757</v>
      </c>
      <c r="F73" s="1194">
        <f>+F65+F69</f>
        <v>0</v>
      </c>
      <c r="G73" s="1194">
        <f>+G65+G69</f>
        <v>0</v>
      </c>
    </row>
    <row r="74" spans="2:7" s="1176" customFormat="1" ht="36.75" customHeight="1" thickBot="1" x14ac:dyDescent="0.3">
      <c r="B74" s="1234" t="s">
        <v>794</v>
      </c>
      <c r="C74" s="2687" t="s">
        <v>795</v>
      </c>
      <c r="D74" s="2688"/>
      <c r="E74" s="1235" t="s">
        <v>759</v>
      </c>
      <c r="F74" s="1236">
        <f>SUM(F72:F73)</f>
        <v>15307</v>
      </c>
      <c r="G74" s="1236">
        <f>SUM(G72:G73)</f>
        <v>20606</v>
      </c>
    </row>
    <row r="75" spans="2:7" s="1242" customFormat="1" ht="30" customHeight="1" x14ac:dyDescent="0.25">
      <c r="B75" s="1237"/>
      <c r="C75" s="1238"/>
      <c r="D75" s="1239"/>
      <c r="E75" s="1240"/>
      <c r="F75" s="1241"/>
      <c r="G75" s="1241"/>
    </row>
    <row r="76" spans="2:7" s="1242" customFormat="1" ht="30" customHeight="1" thickBot="1" x14ac:dyDescent="0.3">
      <c r="B76" s="1237"/>
      <c r="C76" s="1238"/>
      <c r="D76" s="1239"/>
      <c r="E76" s="1240"/>
      <c r="F76" s="1241"/>
      <c r="G76" s="1241"/>
    </row>
    <row r="77" spans="2:7" s="1176" customFormat="1" ht="20.25" customHeight="1" x14ac:dyDescent="0.25">
      <c r="B77" s="1178"/>
      <c r="C77" s="2692" t="s">
        <v>50</v>
      </c>
      <c r="D77" s="2693"/>
      <c r="E77" s="1243"/>
      <c r="F77" s="1180" t="s">
        <v>752</v>
      </c>
      <c r="G77" s="1180" t="s">
        <v>1287</v>
      </c>
    </row>
    <row r="78" spans="2:7" s="1176" customFormat="1" ht="16.5" customHeight="1" x14ac:dyDescent="0.25">
      <c r="B78" s="1181"/>
      <c r="C78" s="1181"/>
      <c r="D78" s="1182"/>
      <c r="E78" s="1244"/>
      <c r="F78" s="1184" t="s">
        <v>753</v>
      </c>
      <c r="G78" s="1184" t="s">
        <v>753</v>
      </c>
    </row>
    <row r="79" spans="2:7" s="1176" customFormat="1" ht="16.5" customHeight="1" thickBot="1" x14ac:dyDescent="0.3">
      <c r="B79" s="1185"/>
      <c r="C79" s="1185"/>
      <c r="D79" s="1186"/>
      <c r="E79" s="1245"/>
      <c r="F79" s="1188" t="s">
        <v>754</v>
      </c>
      <c r="G79" s="1188" t="s">
        <v>1288</v>
      </c>
    </row>
    <row r="80" spans="2:7" s="1176" customFormat="1" ht="15.6" customHeight="1" x14ac:dyDescent="0.25">
      <c r="B80" s="1200"/>
      <c r="C80" s="1201"/>
      <c r="D80" s="1202"/>
      <c r="E80" s="1244"/>
      <c r="F80" s="1203"/>
      <c r="G80" s="1203"/>
    </row>
    <row r="81" spans="2:7" s="1176" customFormat="1" ht="15" x14ac:dyDescent="0.2">
      <c r="B81" s="1190"/>
      <c r="C81" s="1191" t="s">
        <v>796</v>
      </c>
      <c r="D81" s="1192"/>
      <c r="E81" s="1242" t="s">
        <v>756</v>
      </c>
      <c r="F81" s="1194">
        <v>0</v>
      </c>
      <c r="G81" s="1194">
        <v>0</v>
      </c>
    </row>
    <row r="82" spans="2:7" s="1176" customFormat="1" ht="15" x14ac:dyDescent="0.2">
      <c r="B82" s="1190"/>
      <c r="C82" s="1191"/>
      <c r="D82" s="1192"/>
      <c r="E82" s="1242" t="s">
        <v>757</v>
      </c>
      <c r="F82" s="1194">
        <v>0</v>
      </c>
      <c r="G82" s="1194">
        <v>0</v>
      </c>
    </row>
    <row r="83" spans="2:7" s="1176" customFormat="1" ht="15.6" customHeight="1" x14ac:dyDescent="0.25">
      <c r="B83" s="1195" t="s">
        <v>797</v>
      </c>
      <c r="C83" s="1196" t="s">
        <v>796</v>
      </c>
      <c r="D83" s="1197"/>
      <c r="E83" s="1246" t="s">
        <v>759</v>
      </c>
      <c r="F83" s="1199">
        <f>SUM(F81:F82)</f>
        <v>0</v>
      </c>
      <c r="G83" s="1199">
        <f>SUM(G81:G82)</f>
        <v>0</v>
      </c>
    </row>
    <row r="84" spans="2:7" s="1176" customFormat="1" ht="11.1" customHeight="1" x14ac:dyDescent="0.2">
      <c r="B84" s="1190"/>
      <c r="C84" s="1191"/>
      <c r="D84" s="1192"/>
      <c r="E84" s="1242"/>
      <c r="F84" s="1194"/>
      <c r="G84" s="1194"/>
    </row>
    <row r="85" spans="2:7" s="1176" customFormat="1" ht="15" x14ac:dyDescent="0.2">
      <c r="B85" s="1190"/>
      <c r="C85" s="1191" t="s">
        <v>798</v>
      </c>
      <c r="D85" s="1192"/>
      <c r="E85" s="1242" t="s">
        <v>756</v>
      </c>
      <c r="F85" s="1194">
        <v>1077</v>
      </c>
      <c r="G85" s="1194">
        <v>1074</v>
      </c>
    </row>
    <row r="86" spans="2:7" s="1176" customFormat="1" ht="15" x14ac:dyDescent="0.2">
      <c r="B86" s="1190"/>
      <c r="C86" s="1247"/>
      <c r="D86" s="1192"/>
      <c r="E86" s="1242" t="s">
        <v>757</v>
      </c>
      <c r="F86" s="1194">
        <v>64</v>
      </c>
      <c r="G86" s="1194">
        <v>95</v>
      </c>
    </row>
    <row r="87" spans="2:7" s="1176" customFormat="1" ht="15.6" customHeight="1" x14ac:dyDescent="0.25">
      <c r="B87" s="1195" t="s">
        <v>799</v>
      </c>
      <c r="C87" s="1248" t="s">
        <v>798</v>
      </c>
      <c r="D87" s="1197"/>
      <c r="E87" s="1246" t="s">
        <v>759</v>
      </c>
      <c r="F87" s="1199">
        <f>SUM(F85:F86)</f>
        <v>1141</v>
      </c>
      <c r="G87" s="1199">
        <f>SUM(G85:G86)</f>
        <v>1169</v>
      </c>
    </row>
    <row r="88" spans="2:7" s="1176" customFormat="1" ht="11.1" customHeight="1" x14ac:dyDescent="0.2">
      <c r="B88" s="1190"/>
      <c r="C88" s="1191"/>
      <c r="D88" s="1192"/>
      <c r="E88" s="1242"/>
      <c r="F88" s="1194"/>
      <c r="G88" s="1194"/>
    </row>
    <row r="89" spans="2:7" s="1176" customFormat="1" ht="15" x14ac:dyDescent="0.2">
      <c r="B89" s="1190"/>
      <c r="C89" s="1191" t="s">
        <v>800</v>
      </c>
      <c r="D89" s="1192"/>
      <c r="E89" s="1242" t="s">
        <v>756</v>
      </c>
      <c r="F89" s="1194">
        <v>140927</v>
      </c>
      <c r="G89" s="1194">
        <v>204584</v>
      </c>
    </row>
    <row r="90" spans="2:7" s="1176" customFormat="1" ht="15" x14ac:dyDescent="0.2">
      <c r="B90" s="1190"/>
      <c r="C90" s="1191"/>
      <c r="D90" s="1192"/>
      <c r="E90" s="1242" t="s">
        <v>757</v>
      </c>
      <c r="F90" s="1194">
        <v>11604749</v>
      </c>
      <c r="G90" s="1194">
        <v>8848900</v>
      </c>
    </row>
    <row r="91" spans="2:7" s="1176" customFormat="1" ht="15.6" customHeight="1" x14ac:dyDescent="0.25">
      <c r="B91" s="1195" t="s">
        <v>801</v>
      </c>
      <c r="C91" s="1248" t="s">
        <v>800</v>
      </c>
      <c r="D91" s="1197"/>
      <c r="E91" s="1246" t="s">
        <v>759</v>
      </c>
      <c r="F91" s="1199">
        <f>SUM(F89:F90)</f>
        <v>11745676</v>
      </c>
      <c r="G91" s="1199">
        <f>SUM(G89:G90)</f>
        <v>9053484</v>
      </c>
    </row>
    <row r="92" spans="2:7" s="1176" customFormat="1" ht="11.1" customHeight="1" x14ac:dyDescent="0.2">
      <c r="B92" s="1190"/>
      <c r="C92" s="1191"/>
      <c r="D92" s="1192"/>
      <c r="E92" s="1242"/>
      <c r="F92" s="1194"/>
      <c r="G92" s="1194"/>
    </row>
    <row r="93" spans="2:7" s="1176" customFormat="1" ht="15" x14ac:dyDescent="0.2">
      <c r="B93" s="1190"/>
      <c r="C93" s="1191" t="s">
        <v>802</v>
      </c>
      <c r="D93" s="1192"/>
      <c r="E93" s="1242" t="s">
        <v>756</v>
      </c>
      <c r="F93" s="1194">
        <v>0</v>
      </c>
      <c r="G93" s="1194">
        <v>391</v>
      </c>
    </row>
    <row r="94" spans="2:7" s="1176" customFormat="1" ht="15" x14ac:dyDescent="0.2">
      <c r="B94" s="1190"/>
      <c r="C94" s="1191"/>
      <c r="D94" s="1192"/>
      <c r="E94" s="1242" t="s">
        <v>757</v>
      </c>
      <c r="F94" s="1194">
        <v>0</v>
      </c>
      <c r="G94" s="1194">
        <v>3985</v>
      </c>
    </row>
    <row r="95" spans="2:7" s="1176" customFormat="1" ht="15.6" customHeight="1" x14ac:dyDescent="0.25">
      <c r="B95" s="1195" t="s">
        <v>803</v>
      </c>
      <c r="C95" s="1248" t="s">
        <v>802</v>
      </c>
      <c r="D95" s="1197"/>
      <c r="E95" s="1246" t="s">
        <v>759</v>
      </c>
      <c r="F95" s="1199">
        <f>SUM(F93:F94)</f>
        <v>0</v>
      </c>
      <c r="G95" s="1199">
        <f>SUM(G93:G94)</f>
        <v>4376</v>
      </c>
    </row>
    <row r="96" spans="2:7" s="1176" customFormat="1" ht="11.1" customHeight="1" x14ac:dyDescent="0.2">
      <c r="B96" s="1190"/>
      <c r="C96" s="1191"/>
      <c r="D96" s="1192"/>
      <c r="E96" s="1242"/>
      <c r="F96" s="1194"/>
      <c r="G96" s="1194"/>
    </row>
    <row r="97" spans="2:7" s="1176" customFormat="1" ht="11.1" customHeight="1" x14ac:dyDescent="0.2">
      <c r="B97" s="1190"/>
      <c r="C97" s="1191"/>
      <c r="D97" s="1192"/>
      <c r="E97" s="1242"/>
      <c r="F97" s="1194"/>
      <c r="G97" s="1194"/>
    </row>
    <row r="98" spans="2:7" s="1176" customFormat="1" ht="15" x14ac:dyDescent="0.2">
      <c r="B98" s="1190"/>
      <c r="C98" s="1191" t="s">
        <v>804</v>
      </c>
      <c r="D98" s="1192"/>
      <c r="E98" s="1242" t="s">
        <v>756</v>
      </c>
      <c r="F98" s="1194">
        <f>+F81+F85+F89+F93</f>
        <v>142004</v>
      </c>
      <c r="G98" s="1194">
        <f>+G81+G85+G89+G93</f>
        <v>206049</v>
      </c>
    </row>
    <row r="99" spans="2:7" s="1176" customFormat="1" ht="15.75" thickBot="1" x14ac:dyDescent="0.25">
      <c r="B99" s="1190"/>
      <c r="C99" s="1191"/>
      <c r="D99" s="1192"/>
      <c r="E99" s="1242" t="s">
        <v>757</v>
      </c>
      <c r="F99" s="1194">
        <f>F82+F86+F90+F94</f>
        <v>11604813</v>
      </c>
      <c r="G99" s="1194">
        <f>G82+G86+G90+G94</f>
        <v>8852980</v>
      </c>
    </row>
    <row r="100" spans="2:7" s="1176" customFormat="1" ht="30" customHeight="1" thickBot="1" x14ac:dyDescent="0.3">
      <c r="B100" s="1234" t="s">
        <v>805</v>
      </c>
      <c r="C100" s="2687" t="s">
        <v>804</v>
      </c>
      <c r="D100" s="2688"/>
      <c r="E100" s="1249" t="s">
        <v>759</v>
      </c>
      <c r="F100" s="1236">
        <f>SUM(F98:F99)</f>
        <v>11746817</v>
      </c>
      <c r="G100" s="1236">
        <f>SUM(G98:G99)</f>
        <v>9059029</v>
      </c>
    </row>
    <row r="101" spans="2:7" s="1176" customFormat="1" ht="15.6" customHeight="1" x14ac:dyDescent="0.25">
      <c r="B101" s="1200"/>
      <c r="C101" s="1201"/>
      <c r="D101" s="1202"/>
      <c r="E101" s="1244"/>
      <c r="F101" s="1203"/>
      <c r="G101" s="1203"/>
    </row>
    <row r="102" spans="2:7" s="1176" customFormat="1" ht="15" x14ac:dyDescent="0.2">
      <c r="B102" s="1190"/>
      <c r="C102" s="1191" t="s">
        <v>806</v>
      </c>
      <c r="D102" s="1192"/>
      <c r="E102" s="1242" t="s">
        <v>756</v>
      </c>
      <c r="F102" s="1194">
        <v>20390</v>
      </c>
      <c r="G102" s="1194">
        <v>34605</v>
      </c>
    </row>
    <row r="103" spans="2:7" s="1176" customFormat="1" ht="15" x14ac:dyDescent="0.2">
      <c r="B103" s="1190"/>
      <c r="C103" s="1191"/>
      <c r="D103" s="1192"/>
      <c r="E103" s="1242" t="s">
        <v>757</v>
      </c>
      <c r="F103" s="1194">
        <v>1126420</v>
      </c>
      <c r="G103" s="1194">
        <v>1021734</v>
      </c>
    </row>
    <row r="104" spans="2:7" s="1176" customFormat="1" ht="15.6" customHeight="1" x14ac:dyDescent="0.25">
      <c r="B104" s="1195" t="s">
        <v>807</v>
      </c>
      <c r="C104" s="1248" t="s">
        <v>806</v>
      </c>
      <c r="D104" s="1197"/>
      <c r="E104" s="1246" t="s">
        <v>759</v>
      </c>
      <c r="F104" s="1199">
        <f>SUM(F102:F103)</f>
        <v>1146810</v>
      </c>
      <c r="G104" s="1199">
        <f>SUM(G102:G103)</f>
        <v>1056339</v>
      </c>
    </row>
    <row r="105" spans="2:7" s="1176" customFormat="1" ht="12" customHeight="1" x14ac:dyDescent="0.2">
      <c r="B105" s="1190"/>
      <c r="C105" s="1191"/>
      <c r="D105" s="1192"/>
      <c r="E105" s="1242"/>
      <c r="F105" s="1194"/>
      <c r="G105" s="1194"/>
    </row>
    <row r="106" spans="2:7" s="1176" customFormat="1" ht="15" x14ac:dyDescent="0.2">
      <c r="B106" s="1190"/>
      <c r="C106" s="1191" t="s">
        <v>808</v>
      </c>
      <c r="D106" s="1192"/>
      <c r="E106" s="1242" t="s">
        <v>756</v>
      </c>
      <c r="F106" s="1194">
        <v>2077</v>
      </c>
      <c r="G106" s="1194">
        <v>1236</v>
      </c>
    </row>
    <row r="107" spans="2:7" s="1176" customFormat="1" ht="15" x14ac:dyDescent="0.2">
      <c r="B107" s="1190"/>
      <c r="C107" s="1247"/>
      <c r="D107" s="1192"/>
      <c r="E107" s="1242" t="s">
        <v>757</v>
      </c>
      <c r="F107" s="1194">
        <v>155473</v>
      </c>
      <c r="G107" s="1194">
        <v>139959</v>
      </c>
    </row>
    <row r="108" spans="2:7" s="1176" customFormat="1" ht="36.75" customHeight="1" x14ac:dyDescent="0.25">
      <c r="B108" s="1195" t="s">
        <v>809</v>
      </c>
      <c r="C108" s="2699" t="s">
        <v>808</v>
      </c>
      <c r="D108" s="2700"/>
      <c r="E108" s="1246" t="s">
        <v>759</v>
      </c>
      <c r="F108" s="1199">
        <f>SUM(F106:F107)</f>
        <v>157550</v>
      </c>
      <c r="G108" s="1199">
        <f>SUM(G106:G107)</f>
        <v>141195</v>
      </c>
    </row>
    <row r="109" spans="2:7" s="1176" customFormat="1" ht="12" customHeight="1" x14ac:dyDescent="0.2">
      <c r="B109" s="1190"/>
      <c r="C109" s="1191"/>
      <c r="D109" s="1192"/>
      <c r="E109" s="1242"/>
      <c r="F109" s="1194"/>
      <c r="G109" s="1194"/>
    </row>
    <row r="110" spans="2:7" s="1176" customFormat="1" ht="15" x14ac:dyDescent="0.2">
      <c r="B110" s="1190"/>
      <c r="C110" s="1191" t="s">
        <v>810</v>
      </c>
      <c r="D110" s="1192"/>
      <c r="E110" s="1242" t="s">
        <v>756</v>
      </c>
      <c r="F110" s="1194">
        <v>17390</v>
      </c>
      <c r="G110" s="1194">
        <v>16255</v>
      </c>
    </row>
    <row r="111" spans="2:7" s="1176" customFormat="1" ht="15" x14ac:dyDescent="0.2">
      <c r="B111" s="1190"/>
      <c r="C111" s="1191"/>
      <c r="D111" s="1192"/>
      <c r="E111" s="1242" t="s">
        <v>757</v>
      </c>
      <c r="F111" s="1194">
        <v>5715</v>
      </c>
      <c r="G111" s="1194">
        <v>157565</v>
      </c>
    </row>
    <row r="112" spans="2:7" s="1176" customFormat="1" ht="15.6" customHeight="1" x14ac:dyDescent="0.25">
      <c r="B112" s="1195" t="s">
        <v>811</v>
      </c>
      <c r="C112" s="1248" t="s">
        <v>810</v>
      </c>
      <c r="D112" s="1197"/>
      <c r="E112" s="1246" t="s">
        <v>759</v>
      </c>
      <c r="F112" s="1199">
        <f>SUM(F110:F111)</f>
        <v>23105</v>
      </c>
      <c r="G112" s="1199">
        <f>SUM(G110:G111)</f>
        <v>173820</v>
      </c>
    </row>
    <row r="113" spans="2:7" s="1176" customFormat="1" ht="12" customHeight="1" x14ac:dyDescent="0.25">
      <c r="B113" s="1200"/>
      <c r="C113" s="1250"/>
      <c r="D113" s="1202"/>
      <c r="E113" s="1244"/>
      <c r="F113" s="1203"/>
      <c r="G113" s="1203"/>
    </row>
    <row r="114" spans="2:7" s="1176" customFormat="1" ht="15" x14ac:dyDescent="0.2">
      <c r="B114" s="1190"/>
      <c r="C114" s="1191" t="s">
        <v>812</v>
      </c>
      <c r="D114" s="1192"/>
      <c r="E114" s="1242" t="s">
        <v>756</v>
      </c>
      <c r="F114" s="1194">
        <f>+F102+F106+F110</f>
        <v>39857</v>
      </c>
      <c r="G114" s="1194">
        <f>+G102+G106+G110</f>
        <v>52096</v>
      </c>
    </row>
    <row r="115" spans="2:7" s="1176" customFormat="1" ht="15.75" thickBot="1" x14ac:dyDescent="0.25">
      <c r="B115" s="1190"/>
      <c r="C115" s="1191"/>
      <c r="D115" s="1192"/>
      <c r="E115" s="1242" t="s">
        <v>757</v>
      </c>
      <c r="F115" s="1194">
        <f>+F103+F107+F111</f>
        <v>1287608</v>
      </c>
      <c r="G115" s="1194">
        <f>+G103+G107+G111</f>
        <v>1319258</v>
      </c>
    </row>
    <row r="116" spans="2:7" s="1176" customFormat="1" ht="30" customHeight="1" thickBot="1" x14ac:dyDescent="0.3">
      <c r="B116" s="1234" t="s">
        <v>813</v>
      </c>
      <c r="C116" s="2687" t="s">
        <v>812</v>
      </c>
      <c r="D116" s="2688"/>
      <c r="E116" s="1249" t="s">
        <v>759</v>
      </c>
      <c r="F116" s="1236">
        <f>SUM(F114:F115)</f>
        <v>1327465</v>
      </c>
      <c r="G116" s="1236">
        <f>SUM(G114:G115)</f>
        <v>1371354</v>
      </c>
    </row>
    <row r="117" spans="2:7" s="1176" customFormat="1" ht="12" customHeight="1" x14ac:dyDescent="0.25">
      <c r="B117" s="1228"/>
      <c r="C117" s="1251"/>
      <c r="D117" s="1252"/>
      <c r="E117" s="1240"/>
      <c r="F117" s="1230"/>
      <c r="G117" s="1230"/>
    </row>
    <row r="118" spans="2:7" s="1176" customFormat="1" ht="15" x14ac:dyDescent="0.2">
      <c r="B118" s="1190"/>
      <c r="C118" s="1191" t="s">
        <v>814</v>
      </c>
      <c r="D118" s="1192"/>
      <c r="E118" s="1242" t="s">
        <v>756</v>
      </c>
      <c r="F118" s="1194">
        <v>56169</v>
      </c>
      <c r="G118" s="1194">
        <v>62545</v>
      </c>
    </row>
    <row r="119" spans="2:7" s="1176" customFormat="1" ht="15.75" thickBot="1" x14ac:dyDescent="0.25">
      <c r="B119" s="1190"/>
      <c r="C119" s="1191"/>
      <c r="D119" s="1192"/>
      <c r="E119" s="1242" t="s">
        <v>757</v>
      </c>
      <c r="F119" s="1194">
        <v>-1139</v>
      </c>
      <c r="G119" s="1194">
        <v>-114769</v>
      </c>
    </row>
    <row r="120" spans="2:7" s="1176" customFormat="1" ht="30" customHeight="1" thickBot="1" x14ac:dyDescent="0.3">
      <c r="B120" s="1234" t="s">
        <v>815</v>
      </c>
      <c r="C120" s="2687" t="s">
        <v>814</v>
      </c>
      <c r="D120" s="2688"/>
      <c r="E120" s="1249" t="s">
        <v>759</v>
      </c>
      <c r="F120" s="1236">
        <f>SUM(F118:F119)</f>
        <v>55030</v>
      </c>
      <c r="G120" s="1236">
        <f>SUM(G118:G119)</f>
        <v>-52224</v>
      </c>
    </row>
    <row r="121" spans="2:7" s="1176" customFormat="1" ht="15.6" customHeight="1" x14ac:dyDescent="0.25">
      <c r="B121" s="1200"/>
      <c r="C121" s="1201"/>
      <c r="D121" s="1202"/>
      <c r="E121" s="1244"/>
      <c r="F121" s="1203"/>
      <c r="G121" s="1203"/>
    </row>
    <row r="122" spans="2:7" s="1176" customFormat="1" ht="19.5" customHeight="1" x14ac:dyDescent="0.2">
      <c r="B122" s="1190"/>
      <c r="C122" s="2696" t="s">
        <v>816</v>
      </c>
      <c r="D122" s="2701"/>
      <c r="E122" s="1242" t="s">
        <v>756</v>
      </c>
      <c r="F122" s="1194">
        <v>17570</v>
      </c>
      <c r="G122" s="1194">
        <v>13085</v>
      </c>
    </row>
    <row r="123" spans="2:7" s="1176" customFormat="1" ht="15" x14ac:dyDescent="0.2">
      <c r="B123" s="1190"/>
      <c r="C123" s="1191" t="s">
        <v>817</v>
      </c>
      <c r="D123" s="1192"/>
      <c r="E123" s="1242" t="s">
        <v>757</v>
      </c>
      <c r="F123" s="1194">
        <v>363141</v>
      </c>
      <c r="G123" s="1194">
        <v>375007</v>
      </c>
    </row>
    <row r="124" spans="2:7" s="1176" customFormat="1" ht="31.5" customHeight="1" x14ac:dyDescent="0.25">
      <c r="B124" s="1195" t="s">
        <v>818</v>
      </c>
      <c r="C124" s="2699" t="s">
        <v>819</v>
      </c>
      <c r="D124" s="2702"/>
      <c r="E124" s="1246" t="s">
        <v>759</v>
      </c>
      <c r="F124" s="1199">
        <f>SUM(F122:F123)</f>
        <v>380711</v>
      </c>
      <c r="G124" s="1199">
        <f>SUM(G122:G123)</f>
        <v>388092</v>
      </c>
    </row>
    <row r="125" spans="2:7" s="1176" customFormat="1" ht="11.1" customHeight="1" x14ac:dyDescent="0.2">
      <c r="B125" s="1190"/>
      <c r="C125" s="1191"/>
      <c r="D125" s="1192"/>
      <c r="E125" s="1242"/>
      <c r="F125" s="1194"/>
      <c r="G125" s="1194"/>
    </row>
    <row r="126" spans="2:7" s="1176" customFormat="1" ht="15" x14ac:dyDescent="0.2">
      <c r="B126" s="1190"/>
      <c r="C126" s="1191" t="s">
        <v>820</v>
      </c>
      <c r="D126" s="1192"/>
      <c r="E126" s="1242" t="s">
        <v>756</v>
      </c>
      <c r="F126" s="1194">
        <v>3191</v>
      </c>
      <c r="G126" s="1194">
        <v>6298</v>
      </c>
    </row>
    <row r="127" spans="2:7" s="1176" customFormat="1" ht="15" x14ac:dyDescent="0.2">
      <c r="B127" s="1190"/>
      <c r="C127" s="1247"/>
      <c r="D127" s="1192"/>
      <c r="E127" s="1242" t="s">
        <v>757</v>
      </c>
      <c r="F127" s="1194">
        <v>18976</v>
      </c>
      <c r="G127" s="1194">
        <v>4940</v>
      </c>
    </row>
    <row r="128" spans="2:7" s="1176" customFormat="1" ht="34.5" customHeight="1" x14ac:dyDescent="0.25">
      <c r="B128" s="1195" t="s">
        <v>821</v>
      </c>
      <c r="C128" s="2699" t="s">
        <v>820</v>
      </c>
      <c r="D128" s="2703"/>
      <c r="E128" s="1246" t="s">
        <v>759</v>
      </c>
      <c r="F128" s="1199">
        <f>SUM(F126:F127)</f>
        <v>22167</v>
      </c>
      <c r="G128" s="1199">
        <f>SUM(G126:G127)</f>
        <v>11238</v>
      </c>
    </row>
    <row r="129" spans="2:7" s="1176" customFormat="1" ht="11.1" customHeight="1" x14ac:dyDescent="0.2">
      <c r="B129" s="1190"/>
      <c r="C129" s="1191"/>
      <c r="D129" s="1192"/>
      <c r="E129" s="1242"/>
      <c r="F129" s="1194"/>
      <c r="G129" s="1194"/>
    </row>
    <row r="130" spans="2:7" s="1176" customFormat="1" ht="15" x14ac:dyDescent="0.2">
      <c r="B130" s="1190"/>
      <c r="C130" s="1191" t="s">
        <v>822</v>
      </c>
      <c r="D130" s="1192"/>
      <c r="E130" s="1242" t="s">
        <v>756</v>
      </c>
      <c r="F130" s="1194">
        <v>0</v>
      </c>
      <c r="G130" s="1194">
        <v>0</v>
      </c>
    </row>
    <row r="131" spans="2:7" s="1176" customFormat="1" ht="15" x14ac:dyDescent="0.2">
      <c r="B131" s="1190"/>
      <c r="C131" s="1191"/>
      <c r="D131" s="1192"/>
      <c r="E131" s="1242" t="s">
        <v>757</v>
      </c>
      <c r="F131" s="1194">
        <v>0</v>
      </c>
      <c r="G131" s="1194">
        <v>0</v>
      </c>
    </row>
    <row r="132" spans="2:7" s="1176" customFormat="1" ht="15.6" customHeight="1" x14ac:dyDescent="0.25">
      <c r="B132" s="1195" t="s">
        <v>823</v>
      </c>
      <c r="C132" s="1248" t="s">
        <v>822</v>
      </c>
      <c r="D132" s="1197"/>
      <c r="E132" s="1246" t="s">
        <v>759</v>
      </c>
      <c r="F132" s="1199">
        <f>SUM(F130:F131)</f>
        <v>0</v>
      </c>
      <c r="G132" s="1199">
        <f>SUM(G130:G131)</f>
        <v>0</v>
      </c>
    </row>
    <row r="133" spans="2:7" s="1176" customFormat="1" ht="15" x14ac:dyDescent="0.2">
      <c r="B133" s="1190"/>
      <c r="C133" s="1191"/>
      <c r="D133" s="1192"/>
      <c r="E133" s="1242"/>
      <c r="F133" s="1194"/>
      <c r="G133" s="1194"/>
    </row>
    <row r="134" spans="2:7" s="1176" customFormat="1" ht="15" x14ac:dyDescent="0.2">
      <c r="B134" s="1190"/>
      <c r="C134" s="1191" t="s">
        <v>824</v>
      </c>
      <c r="D134" s="1192"/>
      <c r="E134" s="1242" t="s">
        <v>756</v>
      </c>
      <c r="F134" s="1194">
        <f>+F122+F126+F130</f>
        <v>20761</v>
      </c>
      <c r="G134" s="1194">
        <f>+G122+G126+G130</f>
        <v>19383</v>
      </c>
    </row>
    <row r="135" spans="2:7" s="1176" customFormat="1" ht="15.75" thickBot="1" x14ac:dyDescent="0.25">
      <c r="B135" s="1190"/>
      <c r="C135" s="1191"/>
      <c r="D135" s="1192"/>
      <c r="E135" s="1242" t="s">
        <v>757</v>
      </c>
      <c r="F135" s="1194">
        <f>+F123+F127+F131</f>
        <v>382117</v>
      </c>
      <c r="G135" s="1194">
        <f>+G123+G127+G131</f>
        <v>379947</v>
      </c>
    </row>
    <row r="136" spans="2:7" s="1176" customFormat="1" ht="30" customHeight="1" thickBot="1" x14ac:dyDescent="0.3">
      <c r="B136" s="1234" t="s">
        <v>825</v>
      </c>
      <c r="C136" s="2687" t="s">
        <v>824</v>
      </c>
      <c r="D136" s="2688"/>
      <c r="E136" s="1249" t="s">
        <v>759</v>
      </c>
      <c r="F136" s="1236">
        <f>SUM(F134:F135)</f>
        <v>402878</v>
      </c>
      <c r="G136" s="1236">
        <f>SUM(G134:G135)</f>
        <v>399330</v>
      </c>
    </row>
    <row r="137" spans="2:7" s="1176" customFormat="1" ht="15" x14ac:dyDescent="0.2">
      <c r="B137" s="1190"/>
      <c r="C137" s="1191"/>
      <c r="D137" s="1192"/>
      <c r="E137" s="1242"/>
      <c r="F137" s="1194"/>
      <c r="G137" s="1194"/>
    </row>
    <row r="138" spans="2:7" s="1176" customFormat="1" ht="15.75" x14ac:dyDescent="0.25">
      <c r="B138" s="1190"/>
      <c r="C138" s="1201" t="s">
        <v>751</v>
      </c>
      <c r="D138" s="1192"/>
      <c r="E138" s="1242" t="s">
        <v>756</v>
      </c>
      <c r="F138" s="1194">
        <f>+F60+F72+F98+F114+F118+F134</f>
        <v>8571549</v>
      </c>
      <c r="G138" s="1194">
        <f>+G60+G72+G98+G114+G118+G134</f>
        <v>6184390</v>
      </c>
    </row>
    <row r="139" spans="2:7" s="1176" customFormat="1" ht="15.75" thickBot="1" x14ac:dyDescent="0.25">
      <c r="B139" s="1190"/>
      <c r="C139" s="1191"/>
      <c r="D139" s="1192"/>
      <c r="E139" s="1242" t="s">
        <v>757</v>
      </c>
      <c r="F139" s="1194">
        <f>+F61+F73+F99+F115+F119+F135</f>
        <v>83007872</v>
      </c>
      <c r="G139" s="1194">
        <f>+G61+G73+G99+G115+G119+G135</f>
        <v>81394365</v>
      </c>
    </row>
    <row r="140" spans="2:7" s="1176" customFormat="1" ht="30" customHeight="1" thickBot="1" x14ac:dyDescent="0.3">
      <c r="B140" s="1234"/>
      <c r="C140" s="2687" t="s">
        <v>826</v>
      </c>
      <c r="D140" s="2688"/>
      <c r="E140" s="1249" t="s">
        <v>759</v>
      </c>
      <c r="F140" s="1236">
        <f>SUM(F138:F139)</f>
        <v>91579421</v>
      </c>
      <c r="G140" s="1236">
        <f>SUM(G138:G139)</f>
        <v>87578755</v>
      </c>
    </row>
  </sheetData>
  <mergeCells count="17">
    <mergeCell ref="C122:D122"/>
    <mergeCell ref="C124:D124"/>
    <mergeCell ref="C128:D128"/>
    <mergeCell ref="C136:D136"/>
    <mergeCell ref="C140:D140"/>
    <mergeCell ref="C120:D120"/>
    <mergeCell ref="B4:G4"/>
    <mergeCell ref="B6:G6"/>
    <mergeCell ref="C8:D8"/>
    <mergeCell ref="C58:D58"/>
    <mergeCell ref="C60:D60"/>
    <mergeCell ref="C62:D62"/>
    <mergeCell ref="C74:D74"/>
    <mergeCell ref="C77:D77"/>
    <mergeCell ref="C100:D100"/>
    <mergeCell ref="C108:D108"/>
    <mergeCell ref="C116:D116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70" orientation="portrait" verticalDpi="300" r:id="rId1"/>
  <headerFooter alignWithMargins="0">
    <oddHeader xml:space="preserve">&amp;R&amp;"Arial CE,Félkövér"&amp;11  23. melléklet a …../2018. (…….) önkormányzati rendelethez </oddHeader>
  </headerFooter>
  <rowBreaks count="1" manualBreakCount="1">
    <brk id="75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/>
  </sheetPr>
  <dimension ref="B1:N86"/>
  <sheetViews>
    <sheetView zoomScale="85" zoomScaleNormal="85" zoomScaleSheetLayoutView="75" workbookViewId="0">
      <selection activeCell="E97" sqref="E97"/>
    </sheetView>
  </sheetViews>
  <sheetFormatPr defaultColWidth="10.6640625" defaultRowHeight="14.25" x14ac:dyDescent="0.2"/>
  <cols>
    <col min="1" max="1" width="10.6640625" style="1255"/>
    <col min="2" max="2" width="7.6640625" style="1254" customWidth="1"/>
    <col min="3" max="3" width="10.6640625" style="1255" customWidth="1"/>
    <col min="4" max="4" width="69.83203125" style="1255" customWidth="1"/>
    <col min="5" max="5" width="30.33203125" style="1255" customWidth="1"/>
    <col min="6" max="7" width="21.5" style="1255" customWidth="1"/>
    <col min="8" max="16384" width="10.6640625" style="1255"/>
  </cols>
  <sheetData>
    <row r="1" spans="2:9" ht="15.75" x14ac:dyDescent="0.25">
      <c r="F1" s="1256"/>
      <c r="G1" s="1256"/>
      <c r="H1" s="1256"/>
      <c r="I1" s="1256"/>
    </row>
    <row r="2" spans="2:9" ht="17.25" customHeight="1" x14ac:dyDescent="0.25">
      <c r="B2" s="2708" t="s">
        <v>1289</v>
      </c>
      <c r="C2" s="2708"/>
      <c r="D2" s="2708"/>
      <c r="E2" s="2708"/>
      <c r="F2" s="2708"/>
      <c r="G2" s="2708"/>
    </row>
    <row r="3" spans="2:9" ht="14.25" customHeight="1" x14ac:dyDescent="0.2"/>
    <row r="4" spans="2:9" ht="20.25" customHeight="1" x14ac:dyDescent="0.25">
      <c r="B4" s="2709" t="s">
        <v>827</v>
      </c>
      <c r="C4" s="2709"/>
      <c r="D4" s="2709"/>
      <c r="E4" s="2709"/>
      <c r="F4" s="2709"/>
      <c r="G4" s="2709"/>
    </row>
    <row r="5" spans="2:9" ht="15.75" thickBot="1" x14ac:dyDescent="0.3">
      <c r="B5" s="1257"/>
      <c r="C5" s="1257"/>
      <c r="D5" s="1257"/>
      <c r="E5" s="1257"/>
      <c r="F5" s="1258" t="s">
        <v>32</v>
      </c>
      <c r="G5" s="1258" t="s">
        <v>32</v>
      </c>
    </row>
    <row r="6" spans="2:9" ht="20.25" customHeight="1" x14ac:dyDescent="0.25">
      <c r="B6" s="1259"/>
      <c r="C6" s="2710" t="s">
        <v>50</v>
      </c>
      <c r="D6" s="2711"/>
      <c r="E6" s="1260"/>
      <c r="F6" s="1261" t="s">
        <v>752</v>
      </c>
      <c r="G6" s="1261" t="s">
        <v>1287</v>
      </c>
    </row>
    <row r="7" spans="2:9" ht="19.5" customHeight="1" x14ac:dyDescent="0.25">
      <c r="B7" s="1262"/>
      <c r="C7" s="1262"/>
      <c r="D7" s="1263"/>
      <c r="E7" s="1264"/>
      <c r="F7" s="1265" t="s">
        <v>753</v>
      </c>
      <c r="G7" s="1265" t="s">
        <v>753</v>
      </c>
    </row>
    <row r="8" spans="2:9" ht="16.5" customHeight="1" thickBot="1" x14ac:dyDescent="0.3">
      <c r="B8" s="1266"/>
      <c r="C8" s="1266"/>
      <c r="D8" s="1267"/>
      <c r="E8" s="1268"/>
      <c r="F8" s="1269" t="s">
        <v>754</v>
      </c>
      <c r="G8" s="1269" t="s">
        <v>1288</v>
      </c>
    </row>
    <row r="9" spans="2:9" ht="20.25" customHeight="1" x14ac:dyDescent="0.25">
      <c r="B9" s="1270"/>
      <c r="C9" s="1271"/>
      <c r="D9" s="1272"/>
      <c r="E9" s="1264"/>
      <c r="F9" s="1273"/>
      <c r="G9" s="1273"/>
    </row>
    <row r="10" spans="2:9" x14ac:dyDescent="0.2">
      <c r="B10" s="1274"/>
      <c r="C10" s="1275" t="s">
        <v>828</v>
      </c>
      <c r="D10" s="1276"/>
      <c r="E10" s="1277" t="s">
        <v>756</v>
      </c>
      <c r="F10" s="1278">
        <v>11929473</v>
      </c>
      <c r="G10" s="1278">
        <v>11929473</v>
      </c>
    </row>
    <row r="11" spans="2:9" x14ac:dyDescent="0.2">
      <c r="B11" s="1274"/>
      <c r="C11" s="1275"/>
      <c r="D11" s="1276"/>
      <c r="E11" s="1277" t="s">
        <v>757</v>
      </c>
      <c r="F11" s="1278">
        <v>86560778</v>
      </c>
      <c r="G11" s="1278">
        <v>86560778</v>
      </c>
    </row>
    <row r="12" spans="2:9" ht="19.5" customHeight="1" x14ac:dyDescent="0.25">
      <c r="B12" s="1279" t="s">
        <v>829</v>
      </c>
      <c r="C12" s="1280" t="s">
        <v>828</v>
      </c>
      <c r="D12" s="1281"/>
      <c r="E12" s="1282" t="s">
        <v>759</v>
      </c>
      <c r="F12" s="1283">
        <f>SUM(F10:F11)</f>
        <v>98490251</v>
      </c>
      <c r="G12" s="1283">
        <f>SUM(G10:G11)</f>
        <v>98490251</v>
      </c>
    </row>
    <row r="13" spans="2:9" ht="15.75" customHeight="1" x14ac:dyDescent="0.2">
      <c r="B13" s="1274"/>
      <c r="C13" s="1275"/>
      <c r="D13" s="1276"/>
      <c r="E13" s="1277"/>
      <c r="F13" s="1278"/>
      <c r="G13" s="1278"/>
    </row>
    <row r="14" spans="2:9" x14ac:dyDescent="0.2">
      <c r="B14" s="1274"/>
      <c r="C14" s="1275" t="s">
        <v>830</v>
      </c>
      <c r="D14" s="1276"/>
      <c r="E14" s="1277" t="s">
        <v>756</v>
      </c>
      <c r="F14" s="1278">
        <v>0</v>
      </c>
      <c r="G14" s="1278">
        <v>-2468422</v>
      </c>
    </row>
    <row r="15" spans="2:9" x14ac:dyDescent="0.2">
      <c r="B15" s="1274"/>
      <c r="C15" s="1284"/>
      <c r="D15" s="1276"/>
      <c r="E15" s="1277" t="s">
        <v>757</v>
      </c>
      <c r="F15" s="1278">
        <v>-14728</v>
      </c>
      <c r="G15" s="1278">
        <v>-21477</v>
      </c>
    </row>
    <row r="16" spans="2:9" ht="20.25" customHeight="1" x14ac:dyDescent="0.25">
      <c r="B16" s="1279" t="s">
        <v>831</v>
      </c>
      <c r="C16" s="1280" t="s">
        <v>830</v>
      </c>
      <c r="D16" s="1281"/>
      <c r="E16" s="1282" t="s">
        <v>759</v>
      </c>
      <c r="F16" s="1283">
        <f>SUM(F14:F15)</f>
        <v>-14728</v>
      </c>
      <c r="G16" s="1283">
        <f>SUM(G14:G15)</f>
        <v>-2489899</v>
      </c>
    </row>
    <row r="17" spans="2:7" x14ac:dyDescent="0.2">
      <c r="B17" s="1274"/>
      <c r="C17" s="1275"/>
      <c r="D17" s="1276"/>
      <c r="E17" s="1277"/>
      <c r="F17" s="1278"/>
      <c r="G17" s="1278"/>
    </row>
    <row r="18" spans="2:7" ht="15" customHeight="1" x14ac:dyDescent="0.2">
      <c r="B18" s="1274"/>
      <c r="C18" s="1275" t="s">
        <v>832</v>
      </c>
      <c r="D18" s="1276"/>
      <c r="E18" s="1277" t="s">
        <v>756</v>
      </c>
      <c r="F18" s="1278">
        <v>150025</v>
      </c>
      <c r="G18" s="1278">
        <v>150025</v>
      </c>
    </row>
    <row r="19" spans="2:7" ht="15.75" customHeight="1" x14ac:dyDescent="0.2">
      <c r="B19" s="1274"/>
      <c r="C19" s="1275"/>
      <c r="D19" s="1276"/>
      <c r="E19" s="1277" t="s">
        <v>757</v>
      </c>
      <c r="F19" s="1278">
        <v>771117</v>
      </c>
      <c r="G19" s="1278">
        <v>771117</v>
      </c>
    </row>
    <row r="20" spans="2:7" ht="18.75" customHeight="1" x14ac:dyDescent="0.25">
      <c r="B20" s="1279" t="s">
        <v>833</v>
      </c>
      <c r="C20" s="1280" t="s">
        <v>832</v>
      </c>
      <c r="D20" s="1281"/>
      <c r="E20" s="1282" t="s">
        <v>759</v>
      </c>
      <c r="F20" s="1283">
        <f>SUM(F18:F19)</f>
        <v>921142</v>
      </c>
      <c r="G20" s="1283">
        <f>SUM(G18:G19)</f>
        <v>921142</v>
      </c>
    </row>
    <row r="21" spans="2:7" x14ac:dyDescent="0.2">
      <c r="B21" s="1274"/>
      <c r="C21" s="1275"/>
      <c r="D21" s="1276"/>
      <c r="E21" s="1277"/>
      <c r="F21" s="1278"/>
      <c r="G21" s="1278"/>
    </row>
    <row r="22" spans="2:7" x14ac:dyDescent="0.2">
      <c r="B22" s="1274"/>
      <c r="C22" s="1275" t="s">
        <v>834</v>
      </c>
      <c r="D22" s="1276"/>
      <c r="E22" s="1277" t="s">
        <v>756</v>
      </c>
      <c r="F22" s="1278">
        <v>-4049534</v>
      </c>
      <c r="G22" s="1278">
        <v>-4289330</v>
      </c>
    </row>
    <row r="23" spans="2:7" x14ac:dyDescent="0.2">
      <c r="B23" s="1274"/>
      <c r="C23" s="1275"/>
      <c r="D23" s="1276"/>
      <c r="E23" s="1277" t="s">
        <v>757</v>
      </c>
      <c r="F23" s="1278">
        <v>-15870369</v>
      </c>
      <c r="G23" s="1278">
        <v>-16967006</v>
      </c>
    </row>
    <row r="24" spans="2:7" ht="18.75" customHeight="1" x14ac:dyDescent="0.25">
      <c r="B24" s="1279" t="s">
        <v>835</v>
      </c>
      <c r="C24" s="1280" t="s">
        <v>834</v>
      </c>
      <c r="D24" s="1281"/>
      <c r="E24" s="1282" t="s">
        <v>759</v>
      </c>
      <c r="F24" s="1283">
        <f>SUM(F22:F23)</f>
        <v>-19919903</v>
      </c>
      <c r="G24" s="1283">
        <f>SUM(G22:G23)</f>
        <v>-21256336</v>
      </c>
    </row>
    <row r="25" spans="2:7" x14ac:dyDescent="0.2">
      <c r="B25" s="1274"/>
      <c r="C25" s="1275"/>
      <c r="D25" s="1276"/>
      <c r="E25" s="1277"/>
      <c r="F25" s="1278"/>
      <c r="G25" s="1278"/>
    </row>
    <row r="26" spans="2:7" ht="15" customHeight="1" x14ac:dyDescent="0.2">
      <c r="B26" s="1274"/>
      <c r="C26" s="1275" t="s">
        <v>836</v>
      </c>
      <c r="D26" s="1276"/>
      <c r="E26" s="1277" t="s">
        <v>756</v>
      </c>
      <c r="F26" s="1278">
        <v>0</v>
      </c>
      <c r="G26" s="1278">
        <v>0</v>
      </c>
    </row>
    <row r="27" spans="2:7" ht="10.5" customHeight="1" x14ac:dyDescent="0.2">
      <c r="B27" s="1274"/>
      <c r="C27" s="1275"/>
      <c r="D27" s="1276"/>
      <c r="E27" s="1277" t="s">
        <v>757</v>
      </c>
      <c r="F27" s="1278">
        <v>0</v>
      </c>
      <c r="G27" s="1278">
        <v>0</v>
      </c>
    </row>
    <row r="28" spans="2:7" ht="19.5" customHeight="1" x14ac:dyDescent="0.25">
      <c r="B28" s="1279" t="s">
        <v>837</v>
      </c>
      <c r="C28" s="1280" t="s">
        <v>836</v>
      </c>
      <c r="D28" s="1281"/>
      <c r="E28" s="1282" t="s">
        <v>759</v>
      </c>
      <c r="F28" s="1283">
        <f>SUM(F26:F27)</f>
        <v>0</v>
      </c>
      <c r="G28" s="1283">
        <f>SUM(G26:G27)</f>
        <v>0</v>
      </c>
    </row>
    <row r="29" spans="2:7" x14ac:dyDescent="0.2">
      <c r="B29" s="1274"/>
      <c r="C29" s="1275"/>
      <c r="D29" s="1276"/>
      <c r="E29" s="1277"/>
      <c r="F29" s="1278"/>
      <c r="G29" s="1278"/>
    </row>
    <row r="30" spans="2:7" x14ac:dyDescent="0.2">
      <c r="B30" s="1274"/>
      <c r="C30" s="1275" t="s">
        <v>838</v>
      </c>
      <c r="D30" s="1276"/>
      <c r="E30" s="1277" t="s">
        <v>756</v>
      </c>
      <c r="F30" s="1278">
        <v>-239797</v>
      </c>
      <c r="G30" s="1278">
        <v>239229</v>
      </c>
    </row>
    <row r="31" spans="2:7" x14ac:dyDescent="0.2">
      <c r="B31" s="1274"/>
      <c r="C31" s="1275"/>
      <c r="D31" s="1276"/>
      <c r="E31" s="1277" t="s">
        <v>757</v>
      </c>
      <c r="F31" s="1278">
        <f>-1096637-1</f>
        <v>-1096638</v>
      </c>
      <c r="G31" s="1278">
        <v>-1100562</v>
      </c>
    </row>
    <row r="32" spans="2:7" ht="20.25" customHeight="1" x14ac:dyDescent="0.25">
      <c r="B32" s="1279" t="s">
        <v>839</v>
      </c>
      <c r="C32" s="1280" t="s">
        <v>838</v>
      </c>
      <c r="D32" s="1281"/>
      <c r="E32" s="1282" t="s">
        <v>759</v>
      </c>
      <c r="F32" s="1283">
        <f>SUM(F30:F31)</f>
        <v>-1336435</v>
      </c>
      <c r="G32" s="1283">
        <f>SUM(G30:G31)</f>
        <v>-861333</v>
      </c>
    </row>
    <row r="33" spans="2:7" ht="15" customHeight="1" x14ac:dyDescent="0.25">
      <c r="B33" s="1270"/>
      <c r="C33" s="1285"/>
      <c r="D33" s="1272"/>
      <c r="E33" s="1264"/>
      <c r="F33" s="1273"/>
      <c r="G33" s="1273"/>
    </row>
    <row r="34" spans="2:7" x14ac:dyDescent="0.2">
      <c r="B34" s="1274"/>
      <c r="C34" s="1275" t="s">
        <v>840</v>
      </c>
      <c r="D34" s="1276"/>
      <c r="E34" s="1277" t="s">
        <v>756</v>
      </c>
      <c r="F34" s="1278">
        <f>+F10+F14+F18+F22+F26+F30</f>
        <v>7790167</v>
      </c>
      <c r="G34" s="1278">
        <f>+G10+G14+G18+G22+G26+G30</f>
        <v>5560975</v>
      </c>
    </row>
    <row r="35" spans="2:7" ht="15" thickBot="1" x14ac:dyDescent="0.25">
      <c r="B35" s="1274"/>
      <c r="C35" s="1275"/>
      <c r="D35" s="1276"/>
      <c r="E35" s="1277" t="s">
        <v>757</v>
      </c>
      <c r="F35" s="1278">
        <f>+F11+F15+F19+F23+F27+F31</f>
        <v>70350160</v>
      </c>
      <c r="G35" s="1278">
        <f>+G11+G15+G19+G23+G27+G31</f>
        <v>69242850</v>
      </c>
    </row>
    <row r="36" spans="2:7" ht="24" customHeight="1" thickBot="1" x14ac:dyDescent="0.3">
      <c r="B36" s="1286" t="s">
        <v>841</v>
      </c>
      <c r="C36" s="2706" t="s">
        <v>842</v>
      </c>
      <c r="D36" s="2707"/>
      <c r="E36" s="1287" t="s">
        <v>759</v>
      </c>
      <c r="F36" s="1288">
        <f>SUM(F34:F35)</f>
        <v>78140327</v>
      </c>
      <c r="G36" s="1288">
        <f>SUM(G34:G35)</f>
        <v>74803825</v>
      </c>
    </row>
    <row r="37" spans="2:7" ht="15" x14ac:dyDescent="0.25">
      <c r="B37" s="1270"/>
      <c r="C37" s="1271"/>
      <c r="D37" s="1272"/>
      <c r="E37" s="1264"/>
      <c r="F37" s="1273"/>
      <c r="G37" s="1273"/>
    </row>
    <row r="38" spans="2:7" ht="12" customHeight="1" x14ac:dyDescent="0.2">
      <c r="B38" s="1274"/>
      <c r="C38" s="1275" t="s">
        <v>843</v>
      </c>
      <c r="D38" s="1276"/>
      <c r="E38" s="1277" t="s">
        <v>756</v>
      </c>
      <c r="F38" s="1278">
        <v>61848</v>
      </c>
      <c r="G38" s="1278">
        <v>114508</v>
      </c>
    </row>
    <row r="39" spans="2:7" ht="12" customHeight="1" x14ac:dyDescent="0.2">
      <c r="B39" s="1274"/>
      <c r="C39" s="1275"/>
      <c r="D39" s="1276"/>
      <c r="E39" s="1277" t="s">
        <v>757</v>
      </c>
      <c r="F39" s="1278">
        <f>562853+1</f>
        <v>562854</v>
      </c>
      <c r="G39" s="1278">
        <v>412857</v>
      </c>
    </row>
    <row r="40" spans="2:7" ht="21" customHeight="1" x14ac:dyDescent="0.25">
      <c r="B40" s="1279" t="s">
        <v>844</v>
      </c>
      <c r="C40" s="1280" t="s">
        <v>843</v>
      </c>
      <c r="D40" s="1281"/>
      <c r="E40" s="1282" t="s">
        <v>759</v>
      </c>
      <c r="F40" s="1283">
        <f>SUM(F38:F39)</f>
        <v>624702</v>
      </c>
      <c r="G40" s="1283">
        <f>SUM(G38:G39)</f>
        <v>527365</v>
      </c>
    </row>
    <row r="41" spans="2:7" ht="12.75" customHeight="1" x14ac:dyDescent="0.2">
      <c r="B41" s="1274"/>
      <c r="C41" s="1275"/>
      <c r="D41" s="1276"/>
      <c r="E41" s="1277"/>
      <c r="F41" s="1278"/>
      <c r="G41" s="1278"/>
    </row>
    <row r="42" spans="2:7" x14ac:dyDescent="0.2">
      <c r="B42" s="1274"/>
      <c r="C42" s="1275" t="s">
        <v>845</v>
      </c>
      <c r="D42" s="1276"/>
      <c r="E42" s="1277" t="s">
        <v>756</v>
      </c>
      <c r="F42" s="1278">
        <v>108435</v>
      </c>
      <c r="G42" s="1278">
        <v>14001</v>
      </c>
    </row>
    <row r="43" spans="2:7" x14ac:dyDescent="0.2">
      <c r="B43" s="1274"/>
      <c r="C43" s="1284"/>
      <c r="D43" s="1276"/>
      <c r="E43" s="1277" t="s">
        <v>757</v>
      </c>
      <c r="F43" s="1278">
        <f>579939-1</f>
        <v>579938</v>
      </c>
      <c r="G43" s="1278">
        <v>96631</v>
      </c>
    </row>
    <row r="44" spans="2:7" ht="16.5" customHeight="1" x14ac:dyDescent="0.25">
      <c r="B44" s="1279" t="s">
        <v>846</v>
      </c>
      <c r="C44" s="1280" t="s">
        <v>845</v>
      </c>
      <c r="D44" s="1281"/>
      <c r="E44" s="1282" t="s">
        <v>759</v>
      </c>
      <c r="F44" s="1283">
        <f>SUM(F42:F43)</f>
        <v>688373</v>
      </c>
      <c r="G44" s="1283">
        <f>SUM(G42:G43)</f>
        <v>110632</v>
      </c>
    </row>
    <row r="45" spans="2:7" x14ac:dyDescent="0.2">
      <c r="B45" s="1274"/>
      <c r="C45" s="1275"/>
      <c r="D45" s="1276"/>
      <c r="E45" s="1277"/>
      <c r="F45" s="1278"/>
      <c r="G45" s="1278"/>
    </row>
    <row r="46" spans="2:7" ht="15" customHeight="1" x14ac:dyDescent="0.2">
      <c r="B46" s="1274"/>
      <c r="C46" s="1275" t="s">
        <v>847</v>
      </c>
      <c r="D46" s="1276"/>
      <c r="E46" s="1277" t="s">
        <v>756</v>
      </c>
      <c r="F46" s="1278">
        <v>7200</v>
      </c>
      <c r="G46" s="1278">
        <v>20151</v>
      </c>
    </row>
    <row r="47" spans="2:7" ht="12.75" customHeight="1" x14ac:dyDescent="0.2">
      <c r="B47" s="1274"/>
      <c r="C47" s="1275"/>
      <c r="D47" s="1276"/>
      <c r="E47" s="1277" t="s">
        <v>757</v>
      </c>
      <c r="F47" s="1278">
        <v>268969</v>
      </c>
      <c r="G47" s="1278">
        <v>434329</v>
      </c>
    </row>
    <row r="48" spans="2:7" ht="17.25" customHeight="1" x14ac:dyDescent="0.25">
      <c r="B48" s="1279" t="s">
        <v>848</v>
      </c>
      <c r="C48" s="1280" t="s">
        <v>847</v>
      </c>
      <c r="D48" s="1281"/>
      <c r="E48" s="1282" t="s">
        <v>759</v>
      </c>
      <c r="F48" s="1283">
        <f>SUM(F46:F47)</f>
        <v>276169</v>
      </c>
      <c r="G48" s="1283">
        <f>SUM(G46:G47)</f>
        <v>454480</v>
      </c>
    </row>
    <row r="49" spans="2:14" ht="15" x14ac:dyDescent="0.25">
      <c r="B49" s="1270"/>
      <c r="C49" s="1285"/>
      <c r="D49" s="1272"/>
      <c r="E49" s="1264"/>
      <c r="F49" s="1273"/>
      <c r="G49" s="1273"/>
    </row>
    <row r="50" spans="2:14" x14ac:dyDescent="0.2">
      <c r="B50" s="1274"/>
      <c r="C50" s="1275" t="s">
        <v>849</v>
      </c>
      <c r="D50" s="1276"/>
      <c r="E50" s="1277" t="s">
        <v>756</v>
      </c>
      <c r="F50" s="1278">
        <f>+F38+F42+F46</f>
        <v>177483</v>
      </c>
      <c r="G50" s="1278">
        <f>+G38+G42+G46</f>
        <v>148660</v>
      </c>
    </row>
    <row r="51" spans="2:14" ht="15" thickBot="1" x14ac:dyDescent="0.25">
      <c r="B51" s="1274"/>
      <c r="C51" s="1275"/>
      <c r="D51" s="1276"/>
      <c r="E51" s="1277" t="s">
        <v>757</v>
      </c>
      <c r="F51" s="1278">
        <f>+F39+F43+F47</f>
        <v>1411761</v>
      </c>
      <c r="G51" s="1278">
        <f>+G39+G43+G47</f>
        <v>943817</v>
      </c>
    </row>
    <row r="52" spans="2:14" ht="21.75" customHeight="1" thickBot="1" x14ac:dyDescent="0.3">
      <c r="B52" s="1286" t="s">
        <v>850</v>
      </c>
      <c r="C52" s="2706" t="s">
        <v>849</v>
      </c>
      <c r="D52" s="2707"/>
      <c r="E52" s="1287" t="s">
        <v>759</v>
      </c>
      <c r="F52" s="1288">
        <f>SUM(F50:F51)</f>
        <v>1589244</v>
      </c>
      <c r="G52" s="1288">
        <f>SUM(G50:G51)</f>
        <v>1092477</v>
      </c>
      <c r="H52" s="1277"/>
      <c r="I52" s="1277"/>
      <c r="J52" s="1277"/>
      <c r="K52" s="1277"/>
      <c r="L52" s="1277"/>
      <c r="M52" s="1277"/>
      <c r="N52" s="1277"/>
    </row>
    <row r="53" spans="2:14" ht="12.75" customHeight="1" x14ac:dyDescent="0.25">
      <c r="B53" s="1289"/>
      <c r="C53" s="1290"/>
      <c r="D53" s="1291"/>
      <c r="E53" s="1292"/>
      <c r="F53" s="1293"/>
      <c r="G53" s="1293"/>
      <c r="H53" s="1277"/>
      <c r="I53" s="1277"/>
      <c r="J53" s="1277"/>
      <c r="K53" s="1277"/>
      <c r="L53" s="1277"/>
      <c r="M53" s="1277"/>
      <c r="N53" s="1277"/>
    </row>
    <row r="54" spans="2:14" ht="12.75" customHeight="1" x14ac:dyDescent="0.25">
      <c r="B54" s="1289"/>
      <c r="C54" s="1290"/>
      <c r="D54" s="1291"/>
      <c r="E54" s="1292"/>
      <c r="F54" s="1293"/>
      <c r="G54" s="1293"/>
      <c r="H54" s="1277"/>
      <c r="I54" s="1277"/>
      <c r="J54" s="1277"/>
      <c r="K54" s="1277"/>
      <c r="L54" s="1277"/>
      <c r="M54" s="1277"/>
      <c r="N54" s="1277"/>
    </row>
    <row r="55" spans="2:14" ht="12" customHeight="1" x14ac:dyDescent="0.2">
      <c r="B55" s="1274"/>
      <c r="C55" s="1275" t="s">
        <v>851</v>
      </c>
      <c r="D55" s="1276"/>
      <c r="E55" s="1277" t="s">
        <v>756</v>
      </c>
      <c r="F55" s="1278">
        <v>0</v>
      </c>
      <c r="G55" s="1278">
        <v>0</v>
      </c>
      <c r="H55" s="1277"/>
      <c r="I55" s="1277"/>
      <c r="J55" s="1277"/>
      <c r="K55" s="1277"/>
      <c r="L55" s="1277"/>
      <c r="M55" s="1277"/>
      <c r="N55" s="1277"/>
    </row>
    <row r="56" spans="2:14" ht="12" customHeight="1" thickBot="1" x14ac:dyDescent="0.25">
      <c r="B56" s="1274"/>
      <c r="C56" s="1275"/>
      <c r="D56" s="1276"/>
      <c r="E56" s="1277" t="s">
        <v>757</v>
      </c>
      <c r="F56" s="1278">
        <v>0</v>
      </c>
      <c r="G56" s="1278">
        <v>0</v>
      </c>
      <c r="H56" s="1277"/>
      <c r="I56" s="1277"/>
      <c r="J56" s="1277"/>
      <c r="K56" s="1277"/>
      <c r="L56" s="1277"/>
      <c r="M56" s="1277"/>
      <c r="N56" s="1277"/>
    </row>
    <row r="57" spans="2:14" ht="35.25" customHeight="1" thickBot="1" x14ac:dyDescent="0.3">
      <c r="B57" s="1286" t="s">
        <v>852</v>
      </c>
      <c r="C57" s="2706" t="s">
        <v>851</v>
      </c>
      <c r="D57" s="2707"/>
      <c r="E57" s="1287" t="s">
        <v>759</v>
      </c>
      <c r="F57" s="1288">
        <f>SUM(F55:F56)</f>
        <v>0</v>
      </c>
      <c r="G57" s="1288">
        <f>SUM(G55:G56)</f>
        <v>0</v>
      </c>
      <c r="H57" s="1277"/>
      <c r="I57" s="1277"/>
      <c r="J57" s="1277"/>
      <c r="K57" s="1277"/>
      <c r="L57" s="1277"/>
      <c r="M57" s="1277"/>
      <c r="N57" s="1277"/>
    </row>
    <row r="58" spans="2:14" ht="12" customHeight="1" x14ac:dyDescent="0.25">
      <c r="B58" s="1270"/>
      <c r="C58" s="1271"/>
      <c r="D58" s="1272"/>
      <c r="E58" s="1264"/>
      <c r="F58" s="1273"/>
      <c r="G58" s="1273"/>
    </row>
    <row r="59" spans="2:14" ht="15" customHeight="1" x14ac:dyDescent="0.2">
      <c r="B59" s="1274"/>
      <c r="C59" s="1275" t="s">
        <v>853</v>
      </c>
      <c r="D59" s="1276"/>
      <c r="E59" s="1277" t="s">
        <v>756</v>
      </c>
      <c r="F59" s="1278">
        <v>22124</v>
      </c>
      <c r="G59" s="1278">
        <v>22993</v>
      </c>
      <c r="H59" s="1277"/>
      <c r="I59" s="1277"/>
      <c r="J59" s="1277"/>
      <c r="K59" s="1277"/>
      <c r="L59" s="1277"/>
      <c r="M59" s="1277"/>
    </row>
    <row r="60" spans="2:14" ht="12.75" customHeight="1" x14ac:dyDescent="0.2">
      <c r="B60" s="1274"/>
      <c r="C60" s="1275"/>
      <c r="D60" s="1276"/>
      <c r="E60" s="1277" t="s">
        <v>757</v>
      </c>
      <c r="F60" s="1278">
        <v>106163</v>
      </c>
      <c r="G60" s="1278">
        <v>96506</v>
      </c>
    </row>
    <row r="61" spans="2:14" ht="30.75" customHeight="1" x14ac:dyDescent="0.25">
      <c r="B61" s="1279" t="s">
        <v>854</v>
      </c>
      <c r="C61" s="2704" t="s">
        <v>855</v>
      </c>
      <c r="D61" s="2705"/>
      <c r="E61" s="1282" t="s">
        <v>759</v>
      </c>
      <c r="F61" s="1283">
        <f>SUM(F59:F60)</f>
        <v>128287</v>
      </c>
      <c r="G61" s="1283">
        <f>SUM(G59:G60)</f>
        <v>119499</v>
      </c>
    </row>
    <row r="62" spans="2:14" x14ac:dyDescent="0.2">
      <c r="B62" s="1274"/>
      <c r="C62" s="1275"/>
      <c r="D62" s="1276"/>
      <c r="E62" s="1277"/>
      <c r="F62" s="1278"/>
      <c r="G62" s="1278"/>
    </row>
    <row r="63" spans="2:14" x14ac:dyDescent="0.2">
      <c r="B63" s="1274"/>
      <c r="C63" s="1275" t="s">
        <v>820</v>
      </c>
      <c r="D63" s="1276"/>
      <c r="E63" s="1277" t="s">
        <v>756</v>
      </c>
      <c r="F63" s="1278">
        <v>581331</v>
      </c>
      <c r="G63" s="1278">
        <v>451426</v>
      </c>
    </row>
    <row r="64" spans="2:14" x14ac:dyDescent="0.2">
      <c r="B64" s="1274"/>
      <c r="C64" s="1284"/>
      <c r="D64" s="1276"/>
      <c r="E64" s="1277" t="s">
        <v>757</v>
      </c>
      <c r="F64" s="1278">
        <v>160552</v>
      </c>
      <c r="G64" s="1278">
        <v>228972</v>
      </c>
    </row>
    <row r="65" spans="2:7" ht="19.5" customHeight="1" x14ac:dyDescent="0.25">
      <c r="B65" s="1279" t="s">
        <v>856</v>
      </c>
      <c r="C65" s="1280" t="s">
        <v>857</v>
      </c>
      <c r="D65" s="1281"/>
      <c r="E65" s="1282" t="s">
        <v>759</v>
      </c>
      <c r="F65" s="1283">
        <f>SUM(F63:F64)</f>
        <v>741883</v>
      </c>
      <c r="G65" s="1283">
        <f>SUM(G63:G64)</f>
        <v>680398</v>
      </c>
    </row>
    <row r="66" spans="2:7" ht="12.75" customHeight="1" x14ac:dyDescent="0.2">
      <c r="B66" s="1274"/>
      <c r="C66" s="1275"/>
      <c r="D66" s="1276"/>
      <c r="E66" s="1277"/>
      <c r="F66" s="1278"/>
      <c r="G66" s="1278"/>
    </row>
    <row r="67" spans="2:7" x14ac:dyDescent="0.2">
      <c r="B67" s="1274"/>
      <c r="C67" s="1275" t="s">
        <v>858</v>
      </c>
      <c r="D67" s="1276"/>
      <c r="E67" s="1277" t="s">
        <v>756</v>
      </c>
      <c r="F67" s="1278">
        <v>445</v>
      </c>
      <c r="G67" s="1278">
        <v>335</v>
      </c>
    </row>
    <row r="68" spans="2:7" x14ac:dyDescent="0.2">
      <c r="B68" s="1274"/>
      <c r="C68" s="1275"/>
      <c r="D68" s="1276"/>
      <c r="E68" s="1277" t="s">
        <v>757</v>
      </c>
      <c r="F68" s="1278">
        <v>10979235</v>
      </c>
      <c r="G68" s="1278">
        <v>10882221</v>
      </c>
    </row>
    <row r="69" spans="2:7" ht="16.5" customHeight="1" x14ac:dyDescent="0.25">
      <c r="B69" s="1279" t="s">
        <v>859</v>
      </c>
      <c r="C69" s="1280" t="s">
        <v>858</v>
      </c>
      <c r="D69" s="1281"/>
      <c r="E69" s="1282" t="s">
        <v>759</v>
      </c>
      <c r="F69" s="1283">
        <f>SUM(F67:F68)</f>
        <v>10979680</v>
      </c>
      <c r="G69" s="1283">
        <f>SUM(G67:G68)</f>
        <v>10882556</v>
      </c>
    </row>
    <row r="70" spans="2:7" x14ac:dyDescent="0.2">
      <c r="B70" s="1274"/>
      <c r="C70" s="1275"/>
      <c r="D70" s="1276"/>
      <c r="E70" s="1277"/>
      <c r="F70" s="1278"/>
      <c r="G70" s="1278"/>
    </row>
    <row r="71" spans="2:7" ht="15" customHeight="1" x14ac:dyDescent="0.2">
      <c r="B71" s="1274"/>
      <c r="C71" s="1275" t="s">
        <v>860</v>
      </c>
      <c r="D71" s="1276"/>
      <c r="E71" s="1277" t="s">
        <v>756</v>
      </c>
      <c r="F71" s="1278">
        <f>+F59+F63+F67</f>
        <v>603900</v>
      </c>
      <c r="G71" s="1278">
        <f>+G59+G63+G67</f>
        <v>474754</v>
      </c>
    </row>
    <row r="72" spans="2:7" ht="15" thickBot="1" x14ac:dyDescent="0.25">
      <c r="B72" s="1274"/>
      <c r="C72" s="1275"/>
      <c r="D72" s="1276"/>
      <c r="E72" s="1277" t="s">
        <v>757</v>
      </c>
      <c r="F72" s="1278">
        <f>+F60+F64+F68</f>
        <v>11245950</v>
      </c>
      <c r="G72" s="1278">
        <f>+G60+G64+G68</f>
        <v>11207699</v>
      </c>
    </row>
    <row r="73" spans="2:7" ht="24.75" customHeight="1" thickBot="1" x14ac:dyDescent="0.3">
      <c r="B73" s="1286" t="s">
        <v>861</v>
      </c>
      <c r="C73" s="2706" t="s">
        <v>862</v>
      </c>
      <c r="D73" s="2707"/>
      <c r="E73" s="1287" t="s">
        <v>759</v>
      </c>
      <c r="F73" s="1288">
        <f>SUM(F71:F72)</f>
        <v>11849850</v>
      </c>
      <c r="G73" s="1288">
        <f>SUM(G71:G72)</f>
        <v>11682453</v>
      </c>
    </row>
    <row r="74" spans="2:7" x14ac:dyDescent="0.2">
      <c r="B74" s="1274"/>
      <c r="C74" s="1275"/>
      <c r="D74" s="1276"/>
      <c r="E74" s="1277"/>
      <c r="F74" s="1278"/>
      <c r="G74" s="1278"/>
    </row>
    <row r="75" spans="2:7" ht="15" x14ac:dyDescent="0.25">
      <c r="B75" s="1274"/>
      <c r="C75" s="1271" t="s">
        <v>827</v>
      </c>
      <c r="D75" s="1276"/>
      <c r="E75" s="1277" t="s">
        <v>756</v>
      </c>
      <c r="F75" s="1278">
        <f>+F34+F50+F55+F71</f>
        <v>8571550</v>
      </c>
      <c r="G75" s="1278">
        <f>+G34+G50+G55+G71</f>
        <v>6184389</v>
      </c>
    </row>
    <row r="76" spans="2:7" ht="15" thickBot="1" x14ac:dyDescent="0.25">
      <c r="B76" s="1274"/>
      <c r="C76" s="1275"/>
      <c r="D76" s="1276"/>
      <c r="E76" s="1277" t="s">
        <v>757</v>
      </c>
      <c r="F76" s="1278">
        <f>+F35+F51+F56+F72</f>
        <v>83007871</v>
      </c>
      <c r="G76" s="1278">
        <f>+G35+G51+G56+G72</f>
        <v>81394366</v>
      </c>
    </row>
    <row r="77" spans="2:7" ht="24.75" customHeight="1" thickBot="1" x14ac:dyDescent="0.3">
      <c r="B77" s="1286"/>
      <c r="C77" s="2706" t="s">
        <v>863</v>
      </c>
      <c r="D77" s="2707"/>
      <c r="E77" s="1287" t="s">
        <v>759</v>
      </c>
      <c r="F77" s="1288">
        <f>SUM(F75:F76)</f>
        <v>91579421</v>
      </c>
      <c r="G77" s="1288">
        <f>SUM(G75:G76)</f>
        <v>87578755</v>
      </c>
    </row>
    <row r="78" spans="2:7" ht="12.75" customHeight="1" x14ac:dyDescent="0.2"/>
    <row r="80" spans="2:7" ht="15" customHeight="1" x14ac:dyDescent="0.2"/>
    <row r="81" spans="8:8" ht="12" customHeight="1" x14ac:dyDescent="0.2"/>
    <row r="82" spans="8:8" x14ac:dyDescent="0.2">
      <c r="H82" s="1294"/>
    </row>
    <row r="83" spans="8:8" x14ac:dyDescent="0.2">
      <c r="H83" s="1294"/>
    </row>
    <row r="84" spans="8:8" x14ac:dyDescent="0.2">
      <c r="H84" s="1294"/>
    </row>
    <row r="86" spans="8:8" ht="21" customHeight="1" x14ac:dyDescent="0.2"/>
  </sheetData>
  <mergeCells count="9">
    <mergeCell ref="C61:D61"/>
    <mergeCell ref="C73:D73"/>
    <mergeCell ref="C77:D77"/>
    <mergeCell ref="B2:G2"/>
    <mergeCell ref="B4:G4"/>
    <mergeCell ref="C6:D6"/>
    <mergeCell ref="C36:D36"/>
    <mergeCell ref="C52:D52"/>
    <mergeCell ref="C57:D57"/>
  </mergeCells>
  <printOptions horizontalCentered="1" verticalCentered="1"/>
  <pageMargins left="0.19685039370078741" right="0.19685039370078741" top="0.38645833333333335" bottom="0.35433070866141736" header="0.15748031496062992" footer="0.31496062992125984"/>
  <pageSetup paperSize="9" scale="69" orientation="portrait" verticalDpi="300" r:id="rId1"/>
  <headerFooter alignWithMargins="0">
    <oddHeader>&amp;R&amp;"Arial CE,Félkövér"&amp;14 24. melléklet a …../2018. (…….)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B3:L196"/>
  <sheetViews>
    <sheetView zoomScale="75" zoomScaleNormal="75" workbookViewId="0">
      <selection activeCell="G6" sqref="G6"/>
    </sheetView>
  </sheetViews>
  <sheetFormatPr defaultColWidth="12" defaultRowHeight="15" x14ac:dyDescent="0.2"/>
  <cols>
    <col min="1" max="1" width="5.33203125" style="1295" customWidth="1"/>
    <col min="2" max="2" width="44" style="1295" customWidth="1"/>
    <col min="3" max="3" width="13.1640625" style="1320" customWidth="1"/>
    <col min="4" max="4" width="63.5" style="1295" customWidth="1"/>
    <col min="5" max="5" width="13.1640625" style="1320" customWidth="1"/>
    <col min="6" max="6" width="15.6640625" style="1295" customWidth="1"/>
    <col min="7" max="16384" width="12" style="1295"/>
  </cols>
  <sheetData>
    <row r="3" spans="2:6" ht="18.75" customHeight="1" x14ac:dyDescent="0.25">
      <c r="B3" s="2713" t="s">
        <v>701</v>
      </c>
      <c r="C3" s="2713"/>
      <c r="D3" s="2713"/>
      <c r="E3" s="2713"/>
      <c r="F3" s="2713"/>
    </row>
    <row r="4" spans="2:6" ht="24" customHeight="1" x14ac:dyDescent="0.2">
      <c r="B4" s="2714" t="s">
        <v>1327</v>
      </c>
      <c r="C4" s="2714"/>
      <c r="D4" s="2714"/>
      <c r="E4" s="2714"/>
      <c r="F4" s="2714"/>
    </row>
    <row r="5" spans="2:6" s="1296" customFormat="1" ht="24" customHeight="1" x14ac:dyDescent="0.25">
      <c r="B5" s="2715" t="s">
        <v>864</v>
      </c>
      <c r="C5" s="2715"/>
      <c r="D5" s="2715"/>
      <c r="E5" s="2715"/>
      <c r="F5" s="2715"/>
    </row>
    <row r="6" spans="2:6" x14ac:dyDescent="0.2">
      <c r="B6" s="2715" t="s">
        <v>865</v>
      </c>
      <c r="C6" s="2715"/>
      <c r="D6" s="2715"/>
      <c r="E6" s="2715"/>
      <c r="F6" s="2715"/>
    </row>
    <row r="7" spans="2:6" x14ac:dyDescent="0.2">
      <c r="B7" s="2715" t="s">
        <v>866</v>
      </c>
      <c r="C7" s="2715"/>
      <c r="D7" s="2715"/>
      <c r="E7" s="2715"/>
      <c r="F7" s="2715"/>
    </row>
    <row r="8" spans="2:6" ht="15.75" thickBot="1" x14ac:dyDescent="0.25">
      <c r="B8" s="2712" t="s">
        <v>867</v>
      </c>
      <c r="C8" s="2712"/>
      <c r="D8" s="2712"/>
      <c r="E8" s="2712"/>
      <c r="F8" s="2712"/>
    </row>
    <row r="9" spans="2:6" ht="42" customHeight="1" thickBot="1" x14ac:dyDescent="0.3">
      <c r="B9" s="1297" t="s">
        <v>868</v>
      </c>
      <c r="C9" s="1298" t="s">
        <v>869</v>
      </c>
      <c r="D9" s="1299" t="s">
        <v>870</v>
      </c>
      <c r="E9" s="1300" t="s">
        <v>871</v>
      </c>
      <c r="F9" s="1301" t="s">
        <v>872</v>
      </c>
    </row>
    <row r="10" spans="2:6" ht="24.75" customHeight="1" x14ac:dyDescent="0.25">
      <c r="B10" s="1302" t="s">
        <v>873</v>
      </c>
      <c r="C10" s="1303"/>
      <c r="D10" s="1304"/>
      <c r="E10" s="1305"/>
      <c r="F10" s="1306"/>
    </row>
    <row r="11" spans="2:6" x14ac:dyDescent="0.2">
      <c r="B11" s="1307" t="s">
        <v>874</v>
      </c>
      <c r="C11" s="1308">
        <v>50846</v>
      </c>
      <c r="D11" s="1309" t="s">
        <v>875</v>
      </c>
      <c r="E11" s="1310">
        <v>28873</v>
      </c>
      <c r="F11" s="1306"/>
    </row>
    <row r="12" spans="2:6" x14ac:dyDescent="0.2">
      <c r="B12" s="1307"/>
      <c r="C12" s="1308"/>
      <c r="D12" s="1309" t="s">
        <v>876</v>
      </c>
      <c r="E12" s="1310">
        <v>14078</v>
      </c>
      <c r="F12" s="1306"/>
    </row>
    <row r="13" spans="2:6" x14ac:dyDescent="0.2">
      <c r="B13" s="1307"/>
      <c r="C13" s="1308"/>
      <c r="D13" s="1309" t="s">
        <v>877</v>
      </c>
      <c r="E13" s="1310">
        <v>4524</v>
      </c>
      <c r="F13" s="1306"/>
    </row>
    <row r="14" spans="2:6" x14ac:dyDescent="0.2">
      <c r="B14" s="1307"/>
      <c r="C14" s="1311"/>
      <c r="D14" s="1309" t="s">
        <v>878</v>
      </c>
      <c r="E14" s="1310">
        <v>1135</v>
      </c>
      <c r="F14" s="1306"/>
    </row>
    <row r="15" spans="2:6" x14ac:dyDescent="0.2">
      <c r="B15" s="1307"/>
      <c r="C15" s="1311"/>
      <c r="D15" s="1309" t="s">
        <v>879</v>
      </c>
      <c r="E15" s="1310">
        <v>1500</v>
      </c>
      <c r="F15" s="1306"/>
    </row>
    <row r="16" spans="2:6" x14ac:dyDescent="0.2">
      <c r="B16" s="1307"/>
      <c r="C16" s="1308"/>
      <c r="D16" s="1309" t="s">
        <v>880</v>
      </c>
      <c r="E16" s="1310">
        <v>736</v>
      </c>
      <c r="F16" s="1306"/>
    </row>
    <row r="17" spans="2:9" s="1296" customFormat="1" ht="23.25" customHeight="1" thickBot="1" x14ac:dyDescent="0.3">
      <c r="B17" s="1312"/>
      <c r="C17" s="1313">
        <f>SUM(C11:C16)</f>
        <v>50846</v>
      </c>
      <c r="D17" s="1314"/>
      <c r="E17" s="1315">
        <f>SUM(E11:E16)</f>
        <v>50846</v>
      </c>
      <c r="F17" s="1316">
        <f>C17-E17</f>
        <v>0</v>
      </c>
    </row>
    <row r="18" spans="2:9" s="1296" customFormat="1" ht="19.5" customHeight="1" x14ac:dyDescent="0.25">
      <c r="B18" s="1302" t="s">
        <v>881</v>
      </c>
      <c r="C18" s="1311"/>
      <c r="D18" s="1304"/>
      <c r="E18" s="1305"/>
      <c r="F18" s="1317"/>
      <c r="I18" s="1295"/>
    </row>
    <row r="19" spans="2:9" x14ac:dyDescent="0.2">
      <c r="B19" s="1307" t="s">
        <v>882</v>
      </c>
      <c r="C19" s="1308">
        <v>488825</v>
      </c>
      <c r="D19" s="1309" t="s">
        <v>883</v>
      </c>
      <c r="E19" s="1310">
        <v>32035</v>
      </c>
      <c r="F19" s="1306"/>
    </row>
    <row r="20" spans="2:9" x14ac:dyDescent="0.2">
      <c r="B20" s="1307" t="s">
        <v>97</v>
      </c>
      <c r="C20" s="1311"/>
      <c r="D20" s="1309" t="s">
        <v>884</v>
      </c>
      <c r="E20" s="1310">
        <v>4070</v>
      </c>
      <c r="F20" s="1306"/>
      <c r="I20" s="1295" t="s">
        <v>97</v>
      </c>
    </row>
    <row r="21" spans="2:9" x14ac:dyDescent="0.2">
      <c r="B21" s="1307" t="s">
        <v>97</v>
      </c>
      <c r="C21" s="1311" t="s">
        <v>97</v>
      </c>
      <c r="D21" s="1309" t="s">
        <v>885</v>
      </c>
      <c r="E21" s="1310">
        <v>47933</v>
      </c>
      <c r="F21" s="1306"/>
    </row>
    <row r="22" spans="2:9" x14ac:dyDescent="0.2">
      <c r="B22" s="1307"/>
      <c r="C22" s="1308"/>
      <c r="D22" s="1309" t="s">
        <v>886</v>
      </c>
      <c r="E22" s="1310">
        <v>1982</v>
      </c>
      <c r="F22" s="1306"/>
    </row>
    <row r="23" spans="2:9" x14ac:dyDescent="0.2">
      <c r="B23" s="1307"/>
      <c r="C23" s="1308"/>
      <c r="D23" s="1309" t="s">
        <v>887</v>
      </c>
      <c r="E23" s="1310">
        <v>6481</v>
      </c>
      <c r="F23" s="1306"/>
    </row>
    <row r="24" spans="2:9" x14ac:dyDescent="0.2">
      <c r="B24" s="1307"/>
      <c r="C24" s="1311"/>
      <c r="D24" s="1309" t="s">
        <v>888</v>
      </c>
      <c r="E24" s="1310">
        <v>6222</v>
      </c>
      <c r="F24" s="1306"/>
    </row>
    <row r="25" spans="2:9" x14ac:dyDescent="0.2">
      <c r="B25" s="1307"/>
      <c r="C25" s="1308"/>
      <c r="D25" s="1309" t="s">
        <v>889</v>
      </c>
      <c r="E25" s="1310">
        <v>9089</v>
      </c>
      <c r="F25" s="1306"/>
    </row>
    <row r="26" spans="2:9" x14ac:dyDescent="0.2">
      <c r="B26" s="1307"/>
      <c r="C26" s="1311"/>
      <c r="D26" s="1309" t="s">
        <v>890</v>
      </c>
      <c r="E26" s="1310">
        <v>538</v>
      </c>
      <c r="F26" s="1306"/>
    </row>
    <row r="27" spans="2:9" x14ac:dyDescent="0.2">
      <c r="B27" s="1307"/>
      <c r="C27" s="1311"/>
      <c r="D27" s="1309" t="s">
        <v>891</v>
      </c>
      <c r="E27" s="1310">
        <v>729</v>
      </c>
      <c r="F27" s="1306"/>
    </row>
    <row r="28" spans="2:9" x14ac:dyDescent="0.2">
      <c r="B28" s="1307"/>
      <c r="C28" s="1311"/>
      <c r="D28" s="1309" t="s">
        <v>892</v>
      </c>
      <c r="E28" s="1310">
        <f>450+21863</f>
        <v>22313</v>
      </c>
      <c r="F28" s="1306"/>
    </row>
    <row r="29" spans="2:9" x14ac:dyDescent="0.2">
      <c r="B29" s="1307"/>
      <c r="C29" s="1311"/>
      <c r="D29" s="1309" t="s">
        <v>893</v>
      </c>
      <c r="E29" s="1310">
        <v>22728</v>
      </c>
      <c r="F29" s="1306"/>
    </row>
    <row r="30" spans="2:9" x14ac:dyDescent="0.2">
      <c r="B30" s="1307"/>
      <c r="C30" s="1311"/>
      <c r="D30" s="1309" t="s">
        <v>894</v>
      </c>
      <c r="E30" s="1310">
        <v>17603</v>
      </c>
      <c r="F30" s="1306"/>
    </row>
    <row r="31" spans="2:9" x14ac:dyDescent="0.2">
      <c r="B31" s="1307"/>
      <c r="C31" s="1308"/>
      <c r="D31" s="1309" t="s">
        <v>895</v>
      </c>
      <c r="E31" s="1310">
        <v>1126</v>
      </c>
      <c r="F31" s="1306"/>
    </row>
    <row r="32" spans="2:9" x14ac:dyDescent="0.2">
      <c r="B32" s="1307"/>
      <c r="C32" s="1308"/>
      <c r="D32" s="1309" t="s">
        <v>896</v>
      </c>
      <c r="E32" s="1310">
        <v>10907</v>
      </c>
      <c r="F32" s="1306"/>
    </row>
    <row r="33" spans="2:7" x14ac:dyDescent="0.2">
      <c r="B33" s="1307"/>
      <c r="C33" s="1311"/>
      <c r="D33" s="1309" t="s">
        <v>897</v>
      </c>
      <c r="E33" s="1310">
        <v>30809</v>
      </c>
      <c r="F33" s="1306"/>
    </row>
    <row r="34" spans="2:7" s="1296" customFormat="1" ht="24.75" customHeight="1" thickBot="1" x14ac:dyDescent="0.3">
      <c r="B34" s="1312"/>
      <c r="C34" s="1313">
        <f>SUM(C19:C31)</f>
        <v>488825</v>
      </c>
      <c r="D34" s="1314"/>
      <c r="E34" s="1315">
        <f>SUM(E19:E33)</f>
        <v>214565</v>
      </c>
      <c r="F34" s="1316">
        <f>C34-E34</f>
        <v>274260</v>
      </c>
      <c r="G34" s="1296" t="s">
        <v>97</v>
      </c>
    </row>
    <row r="35" spans="2:7" ht="18.75" customHeight="1" x14ac:dyDescent="0.25">
      <c r="B35" s="1302" t="s">
        <v>898</v>
      </c>
      <c r="C35" s="1318"/>
      <c r="D35" s="1309"/>
      <c r="E35" s="1310"/>
      <c r="F35" s="1319"/>
    </row>
    <row r="36" spans="2:7" x14ac:dyDescent="0.2">
      <c r="B36" s="1307" t="s">
        <v>899</v>
      </c>
      <c r="C36" s="1308">
        <v>493187</v>
      </c>
      <c r="D36" s="1309" t="s">
        <v>900</v>
      </c>
      <c r="E36" s="1310">
        <v>9851</v>
      </c>
      <c r="F36" s="1306"/>
      <c r="G36" s="1295" t="s">
        <v>97</v>
      </c>
    </row>
    <row r="37" spans="2:7" x14ac:dyDescent="0.2">
      <c r="B37" s="1307" t="s">
        <v>901</v>
      </c>
      <c r="C37" s="1308">
        <v>-28127</v>
      </c>
      <c r="D37" s="1309" t="s">
        <v>902</v>
      </c>
      <c r="E37" s="1310">
        <v>19307</v>
      </c>
      <c r="F37" s="1306"/>
    </row>
    <row r="38" spans="2:7" x14ac:dyDescent="0.2">
      <c r="B38" s="1307" t="s">
        <v>97</v>
      </c>
      <c r="C38" s="1311" t="s">
        <v>97</v>
      </c>
      <c r="D38" s="1309" t="s">
        <v>903</v>
      </c>
      <c r="E38" s="1310">
        <v>15266</v>
      </c>
      <c r="F38" s="1306"/>
      <c r="G38" s="1295" t="s">
        <v>97</v>
      </c>
    </row>
    <row r="39" spans="2:7" x14ac:dyDescent="0.2">
      <c r="B39" s="1307"/>
      <c r="C39" s="1311"/>
      <c r="D39" s="1309" t="s">
        <v>904</v>
      </c>
      <c r="E39" s="1310">
        <v>30965</v>
      </c>
      <c r="F39" s="1306"/>
      <c r="G39" s="1320" t="s">
        <v>97</v>
      </c>
    </row>
    <row r="40" spans="2:7" x14ac:dyDescent="0.2">
      <c r="B40" s="1307"/>
      <c r="C40" s="1311"/>
      <c r="D40" s="1309" t="s">
        <v>888</v>
      </c>
      <c r="E40" s="1310">
        <v>113</v>
      </c>
      <c r="F40" s="1306"/>
    </row>
    <row r="41" spans="2:7" x14ac:dyDescent="0.2">
      <c r="B41" s="1307"/>
      <c r="C41" s="1311"/>
      <c r="D41" s="1309" t="s">
        <v>905</v>
      </c>
      <c r="E41" s="1310">
        <f>18500+69022</f>
        <v>87522</v>
      </c>
      <c r="F41" s="1306"/>
    </row>
    <row r="42" spans="2:7" x14ac:dyDescent="0.2">
      <c r="B42" s="1307"/>
      <c r="C42" s="1311"/>
      <c r="D42" s="1309" t="s">
        <v>906</v>
      </c>
      <c r="E42" s="1310">
        <f>26681+18717</f>
        <v>45398</v>
      </c>
      <c r="F42" s="1306"/>
    </row>
    <row r="43" spans="2:7" x14ac:dyDescent="0.2">
      <c r="B43" s="1307"/>
      <c r="C43" s="1311"/>
      <c r="D43" s="1309" t="s">
        <v>892</v>
      </c>
      <c r="E43" s="1310">
        <f>200+41364+3500</f>
        <v>45064</v>
      </c>
      <c r="F43" s="1306"/>
    </row>
    <row r="44" spans="2:7" x14ac:dyDescent="0.2">
      <c r="B44" s="1307"/>
      <c r="C44" s="1311"/>
      <c r="D44" s="1309" t="s">
        <v>893</v>
      </c>
      <c r="E44" s="1310">
        <v>44264</v>
      </c>
      <c r="F44" s="1306"/>
    </row>
    <row r="45" spans="2:7" x14ac:dyDescent="0.2">
      <c r="B45" s="1307"/>
      <c r="C45" s="1311"/>
      <c r="D45" s="1309" t="s">
        <v>907</v>
      </c>
      <c r="E45" s="1310">
        <f>24875+383+1163</f>
        <v>26421</v>
      </c>
      <c r="F45" s="1306"/>
    </row>
    <row r="46" spans="2:7" x14ac:dyDescent="0.2">
      <c r="B46" s="1307"/>
      <c r="C46" s="1311"/>
      <c r="D46" s="1309" t="s">
        <v>908</v>
      </c>
      <c r="E46" s="1310">
        <v>960</v>
      </c>
      <c r="F46" s="1306"/>
    </row>
    <row r="47" spans="2:7" x14ac:dyDescent="0.2">
      <c r="B47" s="1307"/>
      <c r="C47" s="1311"/>
      <c r="D47" s="1309" t="s">
        <v>909</v>
      </c>
      <c r="E47" s="1310">
        <v>4527</v>
      </c>
      <c r="F47" s="1306"/>
    </row>
    <row r="48" spans="2:7" s="1296" customFormat="1" ht="21.75" customHeight="1" thickBot="1" x14ac:dyDescent="0.3">
      <c r="B48" s="1312"/>
      <c r="C48" s="1313">
        <f>SUM(C36:C47)</f>
        <v>465060</v>
      </c>
      <c r="D48" s="1314"/>
      <c r="E48" s="1315">
        <f>SUM(E36:E47)</f>
        <v>329658</v>
      </c>
      <c r="F48" s="1316">
        <f>F34+C48-E48</f>
        <v>409662</v>
      </c>
      <c r="G48" s="1321" t="s">
        <v>97</v>
      </c>
    </row>
    <row r="49" spans="2:7" ht="15.95" customHeight="1" x14ac:dyDescent="0.25">
      <c r="B49" s="1302" t="s">
        <v>910</v>
      </c>
      <c r="C49" s="1310"/>
      <c r="D49" s="1322" t="s">
        <v>911</v>
      </c>
      <c r="E49" s="1310">
        <v>133269</v>
      </c>
      <c r="F49" s="1306"/>
      <c r="G49" s="1295" t="s">
        <v>97</v>
      </c>
    </row>
    <row r="50" spans="2:7" ht="15.95" customHeight="1" x14ac:dyDescent="0.2">
      <c r="B50" s="1307" t="s">
        <v>899</v>
      </c>
      <c r="C50" s="1308">
        <v>193170</v>
      </c>
      <c r="D50" s="1309" t="s">
        <v>912</v>
      </c>
      <c r="E50" s="1310">
        <v>525</v>
      </c>
      <c r="F50" s="1306"/>
      <c r="G50" s="1320" t="s">
        <v>97</v>
      </c>
    </row>
    <row r="51" spans="2:7" ht="15.95" customHeight="1" x14ac:dyDescent="0.2">
      <c r="B51" s="1307" t="s">
        <v>901</v>
      </c>
      <c r="C51" s="1308">
        <v>-4770</v>
      </c>
      <c r="D51" s="1309" t="s">
        <v>913</v>
      </c>
      <c r="E51" s="1310">
        <v>140734</v>
      </c>
      <c r="F51" s="1306"/>
    </row>
    <row r="52" spans="2:7" ht="15.95" customHeight="1" x14ac:dyDescent="0.2">
      <c r="B52" s="1307"/>
      <c r="C52" s="1311"/>
      <c r="D52" s="1309" t="s">
        <v>914</v>
      </c>
      <c r="E52" s="1310">
        <v>406</v>
      </c>
      <c r="F52" s="1306"/>
    </row>
    <row r="53" spans="2:7" ht="15.95" customHeight="1" x14ac:dyDescent="0.2">
      <c r="B53" s="1307" t="s">
        <v>915</v>
      </c>
      <c r="C53" s="1308">
        <v>5312</v>
      </c>
      <c r="D53" s="1309" t="s">
        <v>916</v>
      </c>
      <c r="E53" s="1310">
        <v>375</v>
      </c>
      <c r="F53" s="1306"/>
    </row>
    <row r="54" spans="2:7" ht="15.95" customHeight="1" x14ac:dyDescent="0.2">
      <c r="B54" s="1307"/>
      <c r="C54" s="1311"/>
      <c r="D54" s="1309" t="s">
        <v>917</v>
      </c>
      <c r="E54" s="1310">
        <f>10759+332</f>
        <v>11091</v>
      </c>
      <c r="F54" s="1306"/>
    </row>
    <row r="55" spans="2:7" ht="15.95" customHeight="1" x14ac:dyDescent="0.2">
      <c r="B55" s="1307"/>
      <c r="C55" s="1311"/>
      <c r="D55" s="1309" t="s">
        <v>918</v>
      </c>
      <c r="E55" s="1310">
        <v>4187</v>
      </c>
      <c r="F55" s="1306"/>
    </row>
    <row r="56" spans="2:7" ht="15.95" customHeight="1" x14ac:dyDescent="0.2">
      <c r="B56" s="1307"/>
      <c r="C56" s="1311"/>
      <c r="D56" s="1309" t="s">
        <v>919</v>
      </c>
      <c r="E56" s="1310">
        <v>128635</v>
      </c>
      <c r="F56" s="1306"/>
    </row>
    <row r="57" spans="2:7" ht="20.100000000000001" customHeight="1" thickBot="1" x14ac:dyDescent="0.3">
      <c r="B57" s="1312"/>
      <c r="C57" s="1313">
        <f>SUM(C50:C56)</f>
        <v>193712</v>
      </c>
      <c r="D57" s="1314"/>
      <c r="E57" s="1315">
        <f>SUM(E49:E56)</f>
        <v>419222</v>
      </c>
      <c r="F57" s="1316">
        <f>F48+C57-E57</f>
        <v>184152</v>
      </c>
    </row>
    <row r="58" spans="2:7" ht="15.95" customHeight="1" x14ac:dyDescent="0.25">
      <c r="B58" s="1302" t="s">
        <v>920</v>
      </c>
      <c r="C58" s="1310"/>
      <c r="D58" s="1322" t="s">
        <v>921</v>
      </c>
      <c r="E58" s="1310">
        <v>4152</v>
      </c>
      <c r="F58" s="1319" t="s">
        <v>97</v>
      </c>
    </row>
    <row r="59" spans="2:7" ht="15.95" customHeight="1" x14ac:dyDescent="0.2">
      <c r="B59" s="1307" t="s">
        <v>899</v>
      </c>
      <c r="C59" s="1323">
        <v>200124</v>
      </c>
      <c r="D59" s="1309" t="s">
        <v>922</v>
      </c>
      <c r="E59" s="1310">
        <v>1408</v>
      </c>
      <c r="F59" s="1306"/>
    </row>
    <row r="60" spans="2:7" ht="15.95" customHeight="1" x14ac:dyDescent="0.2">
      <c r="B60" s="1307" t="s">
        <v>901</v>
      </c>
      <c r="C60" s="1323">
        <v>-345</v>
      </c>
      <c r="D60" s="1309" t="s">
        <v>913</v>
      </c>
      <c r="E60" s="1310">
        <v>65692</v>
      </c>
      <c r="F60" s="1306"/>
    </row>
    <row r="61" spans="2:7" ht="15.95" customHeight="1" x14ac:dyDescent="0.2">
      <c r="B61" s="1307" t="s">
        <v>97</v>
      </c>
      <c r="C61" s="1323"/>
      <c r="D61" s="1309" t="s">
        <v>923</v>
      </c>
      <c r="E61" s="1310">
        <v>14958</v>
      </c>
      <c r="F61" s="1306"/>
    </row>
    <row r="62" spans="2:7" ht="15.95" customHeight="1" x14ac:dyDescent="0.2">
      <c r="B62" s="1324" t="s">
        <v>915</v>
      </c>
      <c r="C62" s="1323">
        <v>5731</v>
      </c>
      <c r="D62" s="1309" t="s">
        <v>924</v>
      </c>
      <c r="E62" s="1310">
        <v>12874</v>
      </c>
      <c r="F62" s="1306"/>
    </row>
    <row r="63" spans="2:7" ht="15.95" customHeight="1" x14ac:dyDescent="0.2">
      <c r="B63" s="1307" t="s">
        <v>97</v>
      </c>
      <c r="C63" s="1323"/>
      <c r="D63" s="1309" t="s">
        <v>925</v>
      </c>
      <c r="E63" s="1310">
        <v>20264</v>
      </c>
      <c r="F63" s="1306"/>
    </row>
    <row r="64" spans="2:7" ht="15.95" customHeight="1" x14ac:dyDescent="0.2">
      <c r="B64" s="1307"/>
      <c r="C64" s="1323"/>
      <c r="D64" s="1309" t="s">
        <v>926</v>
      </c>
      <c r="E64" s="1310">
        <v>66482</v>
      </c>
      <c r="F64" s="1306"/>
    </row>
    <row r="65" spans="2:7" ht="20.100000000000001" customHeight="1" thickBot="1" x14ac:dyDescent="0.3">
      <c r="B65" s="1312"/>
      <c r="C65" s="1325">
        <f>SUM(C58:C64)</f>
        <v>205510</v>
      </c>
      <c r="D65" s="1314"/>
      <c r="E65" s="1315">
        <f>SUM(E58:E64)</f>
        <v>185830</v>
      </c>
      <c r="F65" s="1316">
        <f>F57+C65-E65</f>
        <v>203832</v>
      </c>
    </row>
    <row r="66" spans="2:7" ht="15.95" customHeight="1" x14ac:dyDescent="0.25">
      <c r="B66" s="1302" t="s">
        <v>927</v>
      </c>
      <c r="C66" s="1326"/>
      <c r="D66" s="1322" t="s">
        <v>926</v>
      </c>
      <c r="E66" s="1310">
        <f>44950+117070</f>
        <v>162020</v>
      </c>
      <c r="F66" s="1306"/>
    </row>
    <row r="67" spans="2:7" ht="15.95" customHeight="1" x14ac:dyDescent="0.2">
      <c r="B67" s="1307" t="s">
        <v>928</v>
      </c>
      <c r="C67" s="1323">
        <v>141152</v>
      </c>
      <c r="D67" s="1309" t="s">
        <v>913</v>
      </c>
      <c r="E67" s="1310">
        <v>66926</v>
      </c>
      <c r="F67" s="1306"/>
    </row>
    <row r="68" spans="2:7" ht="15.95" customHeight="1" x14ac:dyDescent="0.2">
      <c r="B68" s="1307" t="s">
        <v>929</v>
      </c>
      <c r="C68" s="1323">
        <v>93279</v>
      </c>
      <c r="D68" s="1309" t="s">
        <v>930</v>
      </c>
      <c r="E68" s="1310">
        <v>17229</v>
      </c>
      <c r="F68" s="1306"/>
    </row>
    <row r="69" spans="2:7" ht="15.95" customHeight="1" x14ac:dyDescent="0.2">
      <c r="B69" s="1307"/>
      <c r="C69" s="1323"/>
      <c r="D69" s="1309" t="s">
        <v>931</v>
      </c>
      <c r="E69" s="1310">
        <f>4000+842+8600+169+10926</f>
        <v>24537</v>
      </c>
      <c r="F69" s="1306"/>
    </row>
    <row r="70" spans="2:7" ht="20.100000000000001" customHeight="1" thickBot="1" x14ac:dyDescent="0.3">
      <c r="B70" s="1312"/>
      <c r="C70" s="1325">
        <f>SUM(C67:C69)</f>
        <v>234431</v>
      </c>
      <c r="D70" s="1314"/>
      <c r="E70" s="1315">
        <f>SUM(E66:E69)</f>
        <v>270712</v>
      </c>
      <c r="F70" s="1316">
        <f>F65+C70-E70</f>
        <v>167551</v>
      </c>
    </row>
    <row r="71" spans="2:7" s="1296" customFormat="1" ht="37.5" customHeight="1" thickBot="1" x14ac:dyDescent="0.3">
      <c r="B71" s="1297" t="s">
        <v>868</v>
      </c>
      <c r="C71" s="1298" t="s">
        <v>869</v>
      </c>
      <c r="D71" s="1299" t="s">
        <v>870</v>
      </c>
      <c r="E71" s="1300" t="s">
        <v>871</v>
      </c>
      <c r="F71" s="1301" t="s">
        <v>872</v>
      </c>
      <c r="G71" s="1321"/>
    </row>
    <row r="72" spans="2:7" ht="15.95" customHeight="1" x14ac:dyDescent="0.25">
      <c r="B72" s="1327" t="s">
        <v>932</v>
      </c>
      <c r="C72" s="1328"/>
      <c r="D72" s="1329" t="s">
        <v>926</v>
      </c>
      <c r="E72" s="1330">
        <v>139680</v>
      </c>
      <c r="F72" s="1331"/>
    </row>
    <row r="73" spans="2:7" ht="15.95" customHeight="1" x14ac:dyDescent="0.2">
      <c r="B73" s="1307" t="s">
        <v>928</v>
      </c>
      <c r="C73" s="1323">
        <v>133061</v>
      </c>
      <c r="D73" s="1309" t="s">
        <v>933</v>
      </c>
      <c r="E73" s="1310">
        <v>1612</v>
      </c>
      <c r="F73" s="1306"/>
    </row>
    <row r="74" spans="2:7" ht="15.95" customHeight="1" x14ac:dyDescent="0.2">
      <c r="B74" s="1307"/>
      <c r="C74" s="1323"/>
      <c r="D74" s="1309" t="s">
        <v>913</v>
      </c>
      <c r="E74" s="1310">
        <f>14300+69001</f>
        <v>83301</v>
      </c>
      <c r="F74" s="1306"/>
    </row>
    <row r="75" spans="2:7" ht="15.95" customHeight="1" x14ac:dyDescent="0.2">
      <c r="B75" s="1307" t="s">
        <v>929</v>
      </c>
      <c r="C75" s="1323">
        <v>116625</v>
      </c>
      <c r="D75" s="1309" t="s">
        <v>930</v>
      </c>
      <c r="E75" s="1310">
        <v>14221</v>
      </c>
      <c r="F75" s="1306"/>
    </row>
    <row r="76" spans="2:7" x14ac:dyDescent="0.2">
      <c r="B76" s="1307"/>
      <c r="C76" s="1323"/>
      <c r="D76" s="1309" t="s">
        <v>931</v>
      </c>
      <c r="E76" s="1310">
        <v>9144</v>
      </c>
      <c r="F76" s="1306"/>
    </row>
    <row r="77" spans="2:7" ht="20.100000000000001" customHeight="1" thickBot="1" x14ac:dyDescent="0.3">
      <c r="B77" s="1312"/>
      <c r="C77" s="1325">
        <f>SUM(C73:C76)</f>
        <v>249686</v>
      </c>
      <c r="D77" s="1314"/>
      <c r="E77" s="1315">
        <f>SUM(E72:E76)</f>
        <v>247958</v>
      </c>
      <c r="F77" s="1316">
        <f>F70+C77-E77</f>
        <v>169279</v>
      </c>
    </row>
    <row r="78" spans="2:7" ht="15.95" customHeight="1" x14ac:dyDescent="0.25">
      <c r="B78" s="1327" t="s">
        <v>934</v>
      </c>
      <c r="C78" s="1328"/>
      <c r="D78" s="1329" t="s">
        <v>926</v>
      </c>
      <c r="E78" s="1330">
        <v>96430</v>
      </c>
      <c r="F78" s="1331"/>
    </row>
    <row r="79" spans="2:7" ht="15.95" customHeight="1" x14ac:dyDescent="0.2">
      <c r="B79" s="1307" t="s">
        <v>928</v>
      </c>
      <c r="C79" s="1323">
        <v>83899</v>
      </c>
      <c r="D79" s="1309" t="s">
        <v>933</v>
      </c>
      <c r="E79" s="1310">
        <v>1263</v>
      </c>
      <c r="F79" s="1306"/>
    </row>
    <row r="80" spans="2:7" ht="15.95" customHeight="1" x14ac:dyDescent="0.2">
      <c r="B80" s="1307"/>
      <c r="C80" s="1323"/>
      <c r="D80" s="1309" t="s">
        <v>935</v>
      </c>
      <c r="E80" s="1310">
        <v>53368</v>
      </c>
      <c r="F80" s="1306"/>
    </row>
    <row r="81" spans="2:12" ht="15.95" customHeight="1" x14ac:dyDescent="0.2">
      <c r="B81" s="1307" t="s">
        <v>929</v>
      </c>
      <c r="C81" s="1323">
        <v>117221</v>
      </c>
      <c r="D81" s="1309" t="s">
        <v>936</v>
      </c>
      <c r="E81" s="1310">
        <v>81240</v>
      </c>
      <c r="F81" s="1306"/>
    </row>
    <row r="82" spans="2:12" ht="15.95" customHeight="1" x14ac:dyDescent="0.2">
      <c r="B82" s="1332"/>
      <c r="C82" s="1323"/>
      <c r="D82" s="1309" t="s">
        <v>930</v>
      </c>
      <c r="E82" s="1310">
        <v>15709</v>
      </c>
      <c r="F82" s="1306"/>
    </row>
    <row r="83" spans="2:12" ht="15.95" customHeight="1" x14ac:dyDescent="0.2">
      <c r="B83" s="1307"/>
      <c r="C83" s="1323"/>
      <c r="D83" s="1309" t="s">
        <v>937</v>
      </c>
      <c r="E83" s="1310">
        <v>5701</v>
      </c>
      <c r="F83" s="1306"/>
    </row>
    <row r="84" spans="2:12" ht="20.100000000000001" customHeight="1" thickBot="1" x14ac:dyDescent="0.3">
      <c r="B84" s="1312"/>
      <c r="C84" s="1325">
        <f>SUM(C79:C83)</f>
        <v>201120</v>
      </c>
      <c r="D84" s="1314"/>
      <c r="E84" s="1315">
        <f>SUM(E78:E83)</f>
        <v>253711</v>
      </c>
      <c r="F84" s="1316">
        <f>F77+C84-E84</f>
        <v>116688</v>
      </c>
    </row>
    <row r="85" spans="2:12" ht="15.95" customHeight="1" x14ac:dyDescent="0.25">
      <c r="B85" s="1327" t="s">
        <v>938</v>
      </c>
      <c r="C85" s="1328"/>
      <c r="D85" s="1329" t="s">
        <v>926</v>
      </c>
      <c r="E85" s="1330">
        <v>107592</v>
      </c>
      <c r="F85" s="1331"/>
    </row>
    <row r="86" spans="2:12" ht="15.95" customHeight="1" x14ac:dyDescent="0.2">
      <c r="B86" s="1307" t="s">
        <v>928</v>
      </c>
      <c r="C86" s="1323">
        <f>47847+375359</f>
        <v>423206</v>
      </c>
      <c r="D86" s="1309" t="s">
        <v>933</v>
      </c>
      <c r="E86" s="1310">
        <v>1085</v>
      </c>
      <c r="F86" s="1306"/>
      <c r="H86" s="1309"/>
      <c r="I86" s="1309"/>
      <c r="J86" s="1309"/>
      <c r="K86" s="1309"/>
      <c r="L86" s="1309"/>
    </row>
    <row r="87" spans="2:12" ht="15.95" customHeight="1" x14ac:dyDescent="0.2">
      <c r="B87" s="1307"/>
      <c r="C87" s="1323"/>
      <c r="D87" s="1309" t="s">
        <v>935</v>
      </c>
      <c r="E87" s="1310">
        <v>55184</v>
      </c>
      <c r="F87" s="1306"/>
      <c r="H87" s="1309"/>
      <c r="I87" s="1309"/>
      <c r="J87" s="1309"/>
      <c r="K87" s="1309"/>
      <c r="L87" s="1309"/>
    </row>
    <row r="88" spans="2:12" ht="15.95" customHeight="1" x14ac:dyDescent="0.2">
      <c r="B88" s="1307" t="s">
        <v>929</v>
      </c>
      <c r="C88" s="1323">
        <v>156276</v>
      </c>
      <c r="D88" s="1309" t="s">
        <v>939</v>
      </c>
      <c r="E88" s="1310">
        <f>385641+36610-220707</f>
        <v>201544</v>
      </c>
      <c r="F88" s="1306"/>
      <c r="H88" s="1309"/>
      <c r="I88" s="1309"/>
      <c r="J88" s="1309"/>
      <c r="K88" s="1309"/>
      <c r="L88" s="1309"/>
    </row>
    <row r="89" spans="2:12" ht="15.95" customHeight="1" x14ac:dyDescent="0.2">
      <c r="B89" s="1307"/>
      <c r="C89" s="1326"/>
      <c r="D89" s="1333" t="s">
        <v>930</v>
      </c>
      <c r="E89" s="1310">
        <v>10566</v>
      </c>
      <c r="F89" s="1306"/>
      <c r="H89" s="1309"/>
      <c r="I89" s="1309"/>
      <c r="J89" s="1309"/>
      <c r="K89" s="1309"/>
      <c r="L89" s="1309"/>
    </row>
    <row r="90" spans="2:12" ht="15.95" customHeight="1" x14ac:dyDescent="0.2">
      <c r="B90" s="1307"/>
      <c r="C90" s="1323"/>
      <c r="D90" s="1309" t="s">
        <v>937</v>
      </c>
      <c r="E90" s="1310">
        <v>5926</v>
      </c>
      <c r="F90" s="1306"/>
      <c r="H90" s="1309"/>
      <c r="I90" s="1309"/>
      <c r="J90" s="1309"/>
      <c r="K90" s="1309"/>
      <c r="L90" s="1309"/>
    </row>
    <row r="91" spans="2:12" ht="20.100000000000001" customHeight="1" thickBot="1" x14ac:dyDescent="0.3">
      <c r="B91" s="1312"/>
      <c r="C91" s="1325">
        <f>SUM(C86:C90)</f>
        <v>579482</v>
      </c>
      <c r="D91" s="1314"/>
      <c r="E91" s="1315">
        <f>SUM(E85:E90)</f>
        <v>381897</v>
      </c>
      <c r="F91" s="1316">
        <f>F84+C91-E91</f>
        <v>314273</v>
      </c>
      <c r="H91" s="1309"/>
      <c r="I91" s="1309"/>
      <c r="J91" s="1309"/>
      <c r="K91" s="1309"/>
      <c r="L91" s="1309"/>
    </row>
    <row r="92" spans="2:12" ht="15.95" customHeight="1" x14ac:dyDescent="0.25">
      <c r="B92" s="1302" t="s">
        <v>940</v>
      </c>
      <c r="C92" s="1323"/>
      <c r="D92" s="1309" t="s">
        <v>926</v>
      </c>
      <c r="E92" s="1310">
        <v>90541</v>
      </c>
      <c r="F92" s="1306"/>
      <c r="H92" s="1309"/>
      <c r="I92" s="1309"/>
      <c r="J92" s="1309"/>
      <c r="K92" s="1309"/>
      <c r="L92" s="1309"/>
    </row>
    <row r="93" spans="2:12" ht="15.95" customHeight="1" x14ac:dyDescent="0.2">
      <c r="B93" s="1307" t="s">
        <v>928</v>
      </c>
      <c r="C93" s="1323"/>
      <c r="D93" s="1309" t="s">
        <v>933</v>
      </c>
      <c r="E93" s="1310">
        <v>1085</v>
      </c>
      <c r="F93" s="1306"/>
      <c r="H93" s="1309"/>
      <c r="I93" s="1309"/>
      <c r="J93" s="1309"/>
      <c r="K93" s="1309"/>
      <c r="L93" s="1309"/>
    </row>
    <row r="94" spans="2:12" ht="15.95" customHeight="1" x14ac:dyDescent="0.2">
      <c r="B94" s="1307"/>
      <c r="C94" s="1323"/>
      <c r="D94" s="1309" t="s">
        <v>935</v>
      </c>
      <c r="E94" s="1310">
        <v>31851</v>
      </c>
      <c r="F94" s="1306"/>
      <c r="H94" s="1309"/>
      <c r="I94" s="1309"/>
      <c r="J94" s="1309"/>
      <c r="K94" s="1309"/>
      <c r="L94" s="1309"/>
    </row>
    <row r="95" spans="2:12" ht="15.95" customHeight="1" x14ac:dyDescent="0.2">
      <c r="B95" s="1307" t="s">
        <v>929</v>
      </c>
      <c r="C95" s="1323">
        <v>144167</v>
      </c>
      <c r="D95" s="1309" t="s">
        <v>939</v>
      </c>
      <c r="E95" s="1310">
        <v>53846</v>
      </c>
      <c r="F95" s="1306"/>
      <c r="H95" s="1309"/>
      <c r="I95" s="1309"/>
      <c r="J95" s="1309"/>
      <c r="K95" s="1309"/>
      <c r="L95" s="1309"/>
    </row>
    <row r="96" spans="2:12" ht="15.95" customHeight="1" x14ac:dyDescent="0.2">
      <c r="B96" s="1332"/>
      <c r="C96" s="1323"/>
      <c r="D96" s="1309" t="s">
        <v>930</v>
      </c>
      <c r="E96" s="1310">
        <v>635</v>
      </c>
      <c r="F96" s="1306"/>
      <c r="H96" s="1309"/>
      <c r="I96" s="1309"/>
      <c r="J96" s="1309"/>
      <c r="K96" s="1309"/>
      <c r="L96" s="1309"/>
    </row>
    <row r="97" spans="2:12" ht="15.95" customHeight="1" x14ac:dyDescent="0.2">
      <c r="B97" s="1307"/>
      <c r="C97" s="1323"/>
      <c r="D97" s="1309" t="s">
        <v>937</v>
      </c>
      <c r="E97" s="1310"/>
      <c r="F97" s="1306"/>
      <c r="H97" s="1309"/>
      <c r="I97" s="1309"/>
      <c r="J97" s="1309"/>
      <c r="K97" s="1309"/>
      <c r="L97" s="1309"/>
    </row>
    <row r="98" spans="2:12" ht="20.100000000000001" customHeight="1" thickBot="1" x14ac:dyDescent="0.3">
      <c r="B98" s="1312"/>
      <c r="C98" s="1325">
        <f>SUM(C93:C97)</f>
        <v>144167</v>
      </c>
      <c r="D98" s="1314"/>
      <c r="E98" s="1315">
        <f>SUM(E92:E97)</f>
        <v>177958</v>
      </c>
      <c r="F98" s="1316">
        <f>F91+C98-E98</f>
        <v>280482</v>
      </c>
      <c r="H98" s="1309"/>
      <c r="I98" s="1309"/>
      <c r="J98" s="1309"/>
      <c r="K98" s="1309"/>
      <c r="L98" s="1309"/>
    </row>
    <row r="99" spans="2:12" ht="15.95" customHeight="1" x14ac:dyDescent="0.25">
      <c r="B99" s="1302" t="s">
        <v>941</v>
      </c>
      <c r="C99" s="1323"/>
      <c r="D99" s="1309" t="s">
        <v>926</v>
      </c>
      <c r="E99" s="1310">
        <v>65050</v>
      </c>
      <c r="F99" s="1306"/>
      <c r="H99" s="1309"/>
      <c r="I99" s="1309"/>
      <c r="J99" s="1309"/>
      <c r="K99" s="1309"/>
      <c r="L99" s="1309"/>
    </row>
    <row r="100" spans="2:12" ht="15.95" customHeight="1" x14ac:dyDescent="0.2">
      <c r="B100" s="1307" t="s">
        <v>928</v>
      </c>
      <c r="C100" s="1323"/>
      <c r="D100" s="1309" t="s">
        <v>933</v>
      </c>
      <c r="E100" s="1310">
        <v>1085</v>
      </c>
      <c r="F100" s="1306"/>
      <c r="H100" s="1309"/>
      <c r="I100" s="1309"/>
      <c r="J100" s="1309"/>
      <c r="K100" s="1309"/>
      <c r="L100" s="1309"/>
    </row>
    <row r="101" spans="2:12" ht="15.95" customHeight="1" x14ac:dyDescent="0.2">
      <c r="B101" s="1307"/>
      <c r="C101" s="1323"/>
      <c r="D101" s="1309" t="s">
        <v>935</v>
      </c>
      <c r="E101" s="1310">
        <v>65231</v>
      </c>
      <c r="F101" s="1306"/>
      <c r="H101" s="1309"/>
      <c r="I101" s="1309"/>
      <c r="J101" s="1309"/>
      <c r="K101" s="1309"/>
      <c r="L101" s="1309"/>
    </row>
    <row r="102" spans="2:12" ht="15.95" customHeight="1" x14ac:dyDescent="0.2">
      <c r="B102" s="1307" t="s">
        <v>929</v>
      </c>
      <c r="C102" s="1323">
        <v>117418</v>
      </c>
      <c r="D102" s="1309" t="s">
        <v>942</v>
      </c>
      <c r="E102" s="1310">
        <v>87849</v>
      </c>
      <c r="F102" s="1306"/>
      <c r="H102" s="1309"/>
      <c r="I102" s="1309"/>
      <c r="J102" s="1309"/>
      <c r="K102" s="1309"/>
      <c r="L102" s="1309"/>
    </row>
    <row r="103" spans="2:12" ht="15.95" customHeight="1" x14ac:dyDescent="0.2">
      <c r="B103" s="1332"/>
      <c r="C103" s="1323"/>
      <c r="D103" s="1309" t="s">
        <v>943</v>
      </c>
      <c r="E103" s="1309">
        <v>4500</v>
      </c>
      <c r="F103" s="1306"/>
      <c r="H103" s="1309"/>
      <c r="I103" s="1309"/>
      <c r="J103" s="1309"/>
      <c r="K103" s="1309"/>
      <c r="L103" s="1309"/>
    </row>
    <row r="104" spans="2:12" ht="15.95" customHeight="1" x14ac:dyDescent="0.2">
      <c r="B104" s="1307"/>
      <c r="C104" s="1323"/>
      <c r="D104" s="1333" t="s">
        <v>930</v>
      </c>
      <c r="E104" s="1310">
        <v>638</v>
      </c>
      <c r="F104" s="1306"/>
      <c r="H104" s="1309"/>
      <c r="I104" s="1309"/>
      <c r="J104" s="1309"/>
      <c r="K104" s="1309"/>
      <c r="L104" s="1309"/>
    </row>
    <row r="105" spans="2:12" ht="15.95" customHeight="1" x14ac:dyDescent="0.25">
      <c r="B105" s="1307"/>
      <c r="C105" s="1323"/>
      <c r="D105" s="1126" t="s">
        <v>944</v>
      </c>
      <c r="E105" s="1305">
        <v>9971</v>
      </c>
      <c r="F105" s="1306"/>
      <c r="H105" s="1309"/>
      <c r="I105" s="1309"/>
      <c r="J105" s="1309"/>
      <c r="K105" s="1309"/>
      <c r="L105" s="1309"/>
    </row>
    <row r="106" spans="2:12" ht="20.100000000000001" customHeight="1" thickBot="1" x14ac:dyDescent="0.3">
      <c r="B106" s="1312"/>
      <c r="C106" s="1325">
        <f>SUM(C100:C105)</f>
        <v>117418</v>
      </c>
      <c r="D106" s="1314"/>
      <c r="E106" s="1315">
        <f>SUM(E99:E105)</f>
        <v>234324</v>
      </c>
      <c r="F106" s="1316">
        <f>F98+C106-E106</f>
        <v>163576</v>
      </c>
      <c r="H106" s="1309"/>
      <c r="I106" s="1309"/>
      <c r="J106" s="1309"/>
      <c r="K106" s="1309"/>
      <c r="L106" s="1309"/>
    </row>
    <row r="107" spans="2:12" ht="15.95" customHeight="1" x14ac:dyDescent="0.25">
      <c r="B107" s="1302" t="s">
        <v>945</v>
      </c>
      <c r="C107" s="1323"/>
      <c r="D107" s="1309" t="s">
        <v>926</v>
      </c>
      <c r="E107" s="1310">
        <v>85080</v>
      </c>
      <c r="F107" s="1306"/>
      <c r="H107" s="1309"/>
      <c r="I107" s="1309"/>
      <c r="J107" s="1309"/>
      <c r="K107" s="1309"/>
      <c r="L107" s="1309"/>
    </row>
    <row r="108" spans="2:12" ht="15.95" customHeight="1" x14ac:dyDescent="0.2">
      <c r="B108" s="1307" t="s">
        <v>928</v>
      </c>
      <c r="C108" s="1323">
        <v>22826</v>
      </c>
      <c r="D108" s="1309" t="s">
        <v>933</v>
      </c>
      <c r="E108" s="1310">
        <v>1085</v>
      </c>
      <c r="F108" s="1306"/>
      <c r="H108" s="1309"/>
      <c r="I108" s="1309"/>
      <c r="J108" s="1309"/>
      <c r="K108" s="1309"/>
      <c r="L108" s="1309"/>
    </row>
    <row r="109" spans="2:12" ht="15.95" customHeight="1" x14ac:dyDescent="0.2">
      <c r="B109" s="1307"/>
      <c r="C109" s="1323"/>
      <c r="D109" s="1309" t="s">
        <v>935</v>
      </c>
      <c r="E109" s="1310">
        <v>53128</v>
      </c>
      <c r="F109" s="1306"/>
      <c r="H109" s="1309"/>
      <c r="I109" s="1309"/>
      <c r="J109" s="1309"/>
      <c r="K109" s="1309"/>
      <c r="L109" s="1309"/>
    </row>
    <row r="110" spans="2:12" ht="15.95" customHeight="1" x14ac:dyDescent="0.2">
      <c r="B110" s="1307" t="s">
        <v>929</v>
      </c>
      <c r="C110" s="1323">
        <v>114943</v>
      </c>
      <c r="D110" s="1309" t="s">
        <v>946</v>
      </c>
      <c r="E110" s="1310">
        <v>4849</v>
      </c>
      <c r="F110" s="1306"/>
      <c r="H110" s="1309"/>
      <c r="I110" s="1309"/>
      <c r="J110" s="1309"/>
      <c r="K110" s="1309"/>
      <c r="L110" s="1309"/>
    </row>
    <row r="111" spans="2:12" ht="15.95" customHeight="1" x14ac:dyDescent="0.2">
      <c r="B111" s="1332"/>
      <c r="C111" s="1323"/>
      <c r="D111" s="1309" t="s">
        <v>943</v>
      </c>
      <c r="E111" s="1310">
        <f>26500+42546</f>
        <v>69046</v>
      </c>
      <c r="F111" s="1306"/>
      <c r="H111" s="1309"/>
      <c r="I111" s="1309"/>
      <c r="J111" s="1309"/>
      <c r="K111" s="1309"/>
      <c r="L111" s="1309"/>
    </row>
    <row r="112" spans="2:12" ht="15.95" customHeight="1" x14ac:dyDescent="0.2">
      <c r="B112" s="1307"/>
      <c r="C112" s="1323"/>
      <c r="D112" s="1309" t="s">
        <v>947</v>
      </c>
      <c r="E112" s="1310">
        <v>792</v>
      </c>
      <c r="F112" s="1306"/>
      <c r="H112" s="1309"/>
      <c r="I112" s="1309"/>
      <c r="J112" s="1309"/>
      <c r="K112" s="1309"/>
      <c r="L112" s="1309"/>
    </row>
    <row r="113" spans="2:12" ht="15.95" customHeight="1" x14ac:dyDescent="0.25">
      <c r="B113" s="1307"/>
      <c r="C113" s="1323"/>
      <c r="D113" s="1126" t="s">
        <v>944</v>
      </c>
      <c r="E113" s="1305">
        <f>113+4233</f>
        <v>4346</v>
      </c>
      <c r="F113" s="1306"/>
      <c r="H113" s="1309"/>
      <c r="I113" s="1309"/>
      <c r="J113" s="1309"/>
      <c r="K113" s="1309"/>
      <c r="L113" s="1309"/>
    </row>
    <row r="114" spans="2:12" ht="20.100000000000001" customHeight="1" thickBot="1" x14ac:dyDescent="0.3">
      <c r="B114" s="1312"/>
      <c r="C114" s="1325">
        <f>SUM(C108:C113)</f>
        <v>137769</v>
      </c>
      <c r="D114" s="1314"/>
      <c r="E114" s="1315">
        <f>SUM(E107:E113)</f>
        <v>218326</v>
      </c>
      <c r="F114" s="1316">
        <f>F106+C114-E114</f>
        <v>83019</v>
      </c>
      <c r="H114" s="1309"/>
      <c r="I114" s="1309"/>
      <c r="J114" s="1309"/>
      <c r="K114" s="1309"/>
      <c r="L114" s="1309"/>
    </row>
    <row r="115" spans="2:12" ht="15.75" x14ac:dyDescent="0.25">
      <c r="B115" s="1302" t="s">
        <v>948</v>
      </c>
      <c r="C115" s="1323"/>
      <c r="D115" s="1309" t="s">
        <v>926</v>
      </c>
      <c r="E115" s="1310">
        <v>68260</v>
      </c>
      <c r="F115" s="1306"/>
      <c r="H115" s="1309"/>
      <c r="I115" s="1309"/>
      <c r="J115" s="1309"/>
      <c r="K115" s="1309"/>
      <c r="L115" s="1309"/>
    </row>
    <row r="116" spans="2:12" x14ac:dyDescent="0.2">
      <c r="B116" s="1307" t="s">
        <v>928</v>
      </c>
      <c r="C116" s="1334"/>
      <c r="D116" s="1309" t="s">
        <v>933</v>
      </c>
      <c r="E116" s="1335">
        <v>1085</v>
      </c>
      <c r="F116" s="1306"/>
    </row>
    <row r="117" spans="2:12" x14ac:dyDescent="0.2">
      <c r="B117" s="1307"/>
      <c r="C117" s="1323"/>
      <c r="D117" s="1309" t="s">
        <v>935</v>
      </c>
      <c r="E117" s="1310">
        <v>34439</v>
      </c>
      <c r="F117" s="1306"/>
    </row>
    <row r="118" spans="2:12" x14ac:dyDescent="0.2">
      <c r="B118" s="1307" t="s">
        <v>929</v>
      </c>
      <c r="C118" s="1323">
        <v>109083</v>
      </c>
      <c r="D118" s="1309" t="s">
        <v>943</v>
      </c>
      <c r="E118" s="1310">
        <f>18655+679</f>
        <v>19334</v>
      </c>
      <c r="F118" s="1306"/>
    </row>
    <row r="119" spans="2:12" x14ac:dyDescent="0.2">
      <c r="B119" s="1332"/>
      <c r="C119" s="1323"/>
      <c r="D119" s="1309" t="s">
        <v>947</v>
      </c>
      <c r="E119" s="1310">
        <v>526</v>
      </c>
      <c r="F119" s="1306"/>
    </row>
    <row r="120" spans="2:12" ht="15.75" x14ac:dyDescent="0.25">
      <c r="B120" s="1307"/>
      <c r="C120" s="1323"/>
      <c r="D120" s="1126" t="s">
        <v>944</v>
      </c>
      <c r="E120" s="1305">
        <v>81239</v>
      </c>
      <c r="F120" s="1306"/>
    </row>
    <row r="121" spans="2:12" ht="16.5" thickBot="1" x14ac:dyDescent="0.3">
      <c r="B121" s="1312"/>
      <c r="C121" s="1325">
        <f>SUM(C116:C120)</f>
        <v>109083</v>
      </c>
      <c r="D121" s="1314"/>
      <c r="E121" s="1315">
        <f>SUM(E115:E120)</f>
        <v>204883</v>
      </c>
      <c r="F121" s="1316">
        <f>F114+C121-E121</f>
        <v>-12781</v>
      </c>
    </row>
    <row r="122" spans="2:12" ht="15.75" x14ac:dyDescent="0.25">
      <c r="B122" s="1302" t="s">
        <v>949</v>
      </c>
      <c r="C122" s="1323"/>
      <c r="D122" s="1309" t="s">
        <v>926</v>
      </c>
      <c r="E122" s="1310">
        <v>13900</v>
      </c>
      <c r="F122" s="1306"/>
    </row>
    <row r="123" spans="2:12" x14ac:dyDescent="0.2">
      <c r="B123" s="1307" t="s">
        <v>928</v>
      </c>
      <c r="C123" s="1334"/>
      <c r="D123" s="1309" t="s">
        <v>933</v>
      </c>
      <c r="E123" s="1335">
        <v>1085</v>
      </c>
      <c r="F123" s="1306"/>
    </row>
    <row r="124" spans="2:12" x14ac:dyDescent="0.2">
      <c r="B124" s="1307"/>
      <c r="C124" s="1323"/>
      <c r="D124" s="1309" t="s">
        <v>935</v>
      </c>
      <c r="E124" s="1310">
        <v>18194</v>
      </c>
      <c r="F124" s="1306"/>
    </row>
    <row r="125" spans="2:12" x14ac:dyDescent="0.2">
      <c r="B125" s="1307" t="s">
        <v>929</v>
      </c>
      <c r="C125" s="1323">
        <v>97239</v>
      </c>
      <c r="D125" s="1309" t="s">
        <v>943</v>
      </c>
      <c r="E125" s="1310">
        <v>14103</v>
      </c>
      <c r="F125" s="1306"/>
    </row>
    <row r="126" spans="2:12" x14ac:dyDescent="0.2">
      <c r="B126" s="1332"/>
      <c r="C126" s="1323"/>
      <c r="D126" s="1309" t="s">
        <v>947</v>
      </c>
      <c r="E126" s="1310">
        <v>206</v>
      </c>
      <c r="F126" s="1306"/>
      <c r="G126" s="1336"/>
    </row>
    <row r="127" spans="2:12" ht="15.75" x14ac:dyDescent="0.25">
      <c r="B127" s="1307"/>
      <c r="C127" s="1323"/>
      <c r="D127" s="1126" t="s">
        <v>944</v>
      </c>
      <c r="E127" s="1305">
        <f>205083+3377</f>
        <v>208460</v>
      </c>
      <c r="F127" s="1306"/>
    </row>
    <row r="128" spans="2:12" ht="16.5" thickBot="1" x14ac:dyDescent="0.3">
      <c r="B128" s="1312"/>
      <c r="C128" s="1325">
        <f>SUM(C123:C127)</f>
        <v>97239</v>
      </c>
      <c r="D128" s="1314"/>
      <c r="E128" s="1315">
        <f>SUM(E122:E127)</f>
        <v>255948</v>
      </c>
      <c r="F128" s="1316">
        <f>F121+C128-E128</f>
        <v>-171490</v>
      </c>
    </row>
    <row r="129" spans="2:7" ht="15.75" x14ac:dyDescent="0.25">
      <c r="B129" s="1302" t="s">
        <v>950</v>
      </c>
      <c r="C129" s="1323"/>
      <c r="D129" s="1309" t="s">
        <v>926</v>
      </c>
      <c r="E129" s="1310">
        <v>1100</v>
      </c>
      <c r="F129" s="1306"/>
    </row>
    <row r="130" spans="2:7" x14ac:dyDescent="0.2">
      <c r="B130" s="1307" t="s">
        <v>928</v>
      </c>
      <c r="C130" s="1334"/>
      <c r="D130" s="1309" t="s">
        <v>951</v>
      </c>
      <c r="E130" s="1310">
        <v>17241</v>
      </c>
      <c r="F130" s="1306"/>
    </row>
    <row r="131" spans="2:7" ht="30" x14ac:dyDescent="0.2">
      <c r="B131" s="1307"/>
      <c r="C131" s="1323"/>
      <c r="D131" s="1337" t="s">
        <v>952</v>
      </c>
      <c r="E131" s="1310">
        <v>52</v>
      </c>
      <c r="F131" s="1306"/>
    </row>
    <row r="132" spans="2:7" x14ac:dyDescent="0.2">
      <c r="B132" s="1307" t="s">
        <v>929</v>
      </c>
      <c r="C132" s="1338">
        <v>82793</v>
      </c>
      <c r="D132" s="1309" t="s">
        <v>947</v>
      </c>
      <c r="E132" s="1310">
        <v>658</v>
      </c>
      <c r="F132" s="1306"/>
    </row>
    <row r="133" spans="2:7" ht="15.75" x14ac:dyDescent="0.25">
      <c r="B133" s="1332"/>
      <c r="C133" s="1323"/>
      <c r="D133" s="1126" t="s">
        <v>944</v>
      </c>
      <c r="E133" s="1305">
        <f>1029+305355</f>
        <v>306384</v>
      </c>
      <c r="F133" s="1306"/>
    </row>
    <row r="134" spans="2:7" ht="16.5" thickBot="1" x14ac:dyDescent="0.3">
      <c r="B134" s="1312"/>
      <c r="C134" s="1325">
        <f>SUM(C130:C133)</f>
        <v>82793</v>
      </c>
      <c r="D134" s="1314"/>
      <c r="E134" s="1315">
        <f>SUM(E129:E133)</f>
        <v>325435</v>
      </c>
      <c r="F134" s="1316">
        <f>F128+C134-E134</f>
        <v>-414132</v>
      </c>
    </row>
    <row r="135" spans="2:7" ht="15.75" x14ac:dyDescent="0.25">
      <c r="B135" s="1302" t="s">
        <v>953</v>
      </c>
      <c r="C135" s="1323"/>
      <c r="D135" s="1309" t="s">
        <v>926</v>
      </c>
      <c r="E135" s="1310"/>
      <c r="F135" s="1306"/>
    </row>
    <row r="136" spans="2:7" x14ac:dyDescent="0.2">
      <c r="B136" s="1307" t="s">
        <v>928</v>
      </c>
      <c r="C136" s="1334"/>
      <c r="D136" s="1309" t="s">
        <v>951</v>
      </c>
      <c r="E136" s="1310">
        <v>15156</v>
      </c>
      <c r="F136" s="1306"/>
    </row>
    <row r="137" spans="2:7" ht="30" x14ac:dyDescent="0.2">
      <c r="B137" s="1307"/>
      <c r="C137" s="1323"/>
      <c r="D137" s="1337" t="s">
        <v>952</v>
      </c>
      <c r="E137" s="1310">
        <v>2076</v>
      </c>
      <c r="F137" s="1306"/>
    </row>
    <row r="138" spans="2:7" x14ac:dyDescent="0.2">
      <c r="B138" s="1307" t="s">
        <v>929</v>
      </c>
      <c r="C138" s="1338">
        <v>70598</v>
      </c>
      <c r="D138" s="1309" t="s">
        <v>947</v>
      </c>
      <c r="E138" s="1310">
        <v>39</v>
      </c>
      <c r="F138" s="1306"/>
    </row>
    <row r="139" spans="2:7" ht="15.75" x14ac:dyDescent="0.25">
      <c r="B139" s="1332"/>
      <c r="C139" s="1323"/>
      <c r="D139" s="1126" t="s">
        <v>944</v>
      </c>
      <c r="E139" s="1305">
        <f>861+4013+59376+1135</f>
        <v>65385</v>
      </c>
      <c r="F139" s="1306"/>
    </row>
    <row r="140" spans="2:7" ht="16.5" thickBot="1" x14ac:dyDescent="0.3">
      <c r="B140" s="1312"/>
      <c r="C140" s="1325">
        <f>SUM(C136:C138)</f>
        <v>70598</v>
      </c>
      <c r="D140" s="1314"/>
      <c r="E140" s="1315">
        <f>SUM(E135:E139)</f>
        <v>82656</v>
      </c>
      <c r="F140" s="1316">
        <f>F134+C140-E140</f>
        <v>-426190</v>
      </c>
    </row>
    <row r="141" spans="2:7" ht="15.75" x14ac:dyDescent="0.25">
      <c r="B141" s="1302" t="s">
        <v>954</v>
      </c>
      <c r="C141" s="1323"/>
      <c r="D141" s="1309" t="s">
        <v>926</v>
      </c>
      <c r="E141" s="1310"/>
      <c r="F141" s="1306"/>
    </row>
    <row r="142" spans="2:7" x14ac:dyDescent="0.2">
      <c r="B142" s="1307" t="s">
        <v>928</v>
      </c>
      <c r="C142" s="1334"/>
      <c r="D142" s="1309" t="s">
        <v>951</v>
      </c>
      <c r="E142" s="1310"/>
      <c r="F142" s="1306"/>
    </row>
    <row r="143" spans="2:7" ht="30" x14ac:dyDescent="0.2">
      <c r="B143" s="1307"/>
      <c r="C143" s="1323"/>
      <c r="D143" s="1337" t="s">
        <v>952</v>
      </c>
      <c r="E143" s="1310">
        <v>1845</v>
      </c>
      <c r="F143" s="1306"/>
      <c r="G143" s="1336"/>
    </row>
    <row r="144" spans="2:7" x14ac:dyDescent="0.2">
      <c r="B144" s="1307" t="s">
        <v>929</v>
      </c>
      <c r="C144" s="1338">
        <v>58874</v>
      </c>
      <c r="D144" s="1309" t="s">
        <v>947</v>
      </c>
      <c r="E144" s="1310">
        <v>73</v>
      </c>
      <c r="F144" s="1306"/>
    </row>
    <row r="145" spans="2:9" ht="15.75" x14ac:dyDescent="0.25">
      <c r="B145" s="1332"/>
      <c r="C145" s="1323"/>
      <c r="D145" s="1126" t="s">
        <v>944</v>
      </c>
      <c r="E145" s="1305">
        <v>0</v>
      </c>
      <c r="F145" s="1306"/>
    </row>
    <row r="146" spans="2:9" ht="16.5" thickBot="1" x14ac:dyDescent="0.3">
      <c r="B146" s="1312"/>
      <c r="C146" s="1325">
        <f>SUM(C142:C144)</f>
        <v>58874</v>
      </c>
      <c r="D146" s="1314"/>
      <c r="E146" s="1315">
        <f>SUM(E141:E145)</f>
        <v>1918</v>
      </c>
      <c r="F146" s="1316">
        <f>F140+C146-E146</f>
        <v>-369234</v>
      </c>
      <c r="G146"/>
      <c r="H146"/>
      <c r="I146"/>
    </row>
    <row r="147" spans="2:9" ht="15.75" x14ac:dyDescent="0.25">
      <c r="B147" s="1302" t="s">
        <v>955</v>
      </c>
      <c r="C147" s="1323"/>
      <c r="D147" s="1309"/>
      <c r="E147" s="1310"/>
      <c r="F147" s="1306"/>
      <c r="G147"/>
      <c r="H147"/>
      <c r="I147"/>
    </row>
    <row r="148" spans="2:9" ht="15.75" x14ac:dyDescent="0.25">
      <c r="B148" s="1307" t="s">
        <v>928</v>
      </c>
      <c r="C148" s="1334"/>
      <c r="D148" s="1309" t="s">
        <v>956</v>
      </c>
      <c r="E148" s="1310">
        <v>49982</v>
      </c>
      <c r="F148" s="1306"/>
      <c r="G148" s="1339"/>
      <c r="H148"/>
      <c r="I148"/>
    </row>
    <row r="149" spans="2:9" x14ac:dyDescent="0.2">
      <c r="B149" s="1307"/>
      <c r="C149" s="1323"/>
      <c r="D149" s="1337" t="s">
        <v>957</v>
      </c>
      <c r="E149" s="1310">
        <v>19718</v>
      </c>
      <c r="F149" s="1306"/>
      <c r="G149"/>
      <c r="H149"/>
      <c r="I149"/>
    </row>
    <row r="150" spans="2:9" ht="15.75" x14ac:dyDescent="0.25">
      <c r="B150" s="1307" t="s">
        <v>929</v>
      </c>
      <c r="C150" s="1338">
        <v>62648</v>
      </c>
      <c r="D150" s="1309" t="s">
        <v>947</v>
      </c>
      <c r="E150" s="1310"/>
      <c r="F150" s="1306"/>
      <c r="G150" s="1339"/>
      <c r="H150"/>
      <c r="I150"/>
    </row>
    <row r="151" spans="2:9" ht="15.75" x14ac:dyDescent="0.25">
      <c r="B151" s="1332"/>
      <c r="C151" s="1323"/>
      <c r="D151" s="1126" t="s">
        <v>944</v>
      </c>
      <c r="E151" s="1305">
        <v>0</v>
      </c>
      <c r="F151" s="1306"/>
      <c r="G151"/>
      <c r="H151"/>
      <c r="I151"/>
    </row>
    <row r="152" spans="2:9" ht="16.5" thickBot="1" x14ac:dyDescent="0.3">
      <c r="B152" s="1312"/>
      <c r="C152" s="1325">
        <f>SUM(C148:C150)</f>
        <v>62648</v>
      </c>
      <c r="D152" s="1314"/>
      <c r="E152" s="1315">
        <f>SUM(E147:E151)</f>
        <v>69700</v>
      </c>
      <c r="F152" s="1316">
        <f>F146+C152-E152</f>
        <v>-376286</v>
      </c>
      <c r="G152"/>
      <c r="H152"/>
      <c r="I152"/>
    </row>
    <row r="153" spans="2:9" ht="15.75" x14ac:dyDescent="0.25">
      <c r="B153" s="1327" t="s">
        <v>958</v>
      </c>
      <c r="C153" s="1328"/>
      <c r="D153" s="1329"/>
      <c r="E153" s="1330"/>
      <c r="F153" s="1331"/>
      <c r="G153"/>
      <c r="H153"/>
      <c r="I153"/>
    </row>
    <row r="154" spans="2:9" x14ac:dyDescent="0.2">
      <c r="B154" s="1307" t="s">
        <v>928</v>
      </c>
      <c r="C154" s="1334">
        <v>26046</v>
      </c>
      <c r="D154" s="1337" t="s">
        <v>957</v>
      </c>
      <c r="E154" s="1310">
        <v>19764</v>
      </c>
      <c r="F154" s="1306"/>
      <c r="G154"/>
      <c r="H154"/>
      <c r="I154"/>
    </row>
    <row r="155" spans="2:9" x14ac:dyDescent="0.2">
      <c r="B155" s="1307"/>
      <c r="C155" s="1323"/>
      <c r="D155" s="1340" t="s">
        <v>944</v>
      </c>
      <c r="E155" s="1310">
        <v>4</v>
      </c>
      <c r="F155" s="1306"/>
      <c r="G155"/>
      <c r="H155"/>
      <c r="I155"/>
    </row>
    <row r="156" spans="2:9" x14ac:dyDescent="0.2">
      <c r="B156" s="1307" t="s">
        <v>929</v>
      </c>
      <c r="C156" s="1338">
        <v>50065</v>
      </c>
      <c r="D156" s="1309" t="s">
        <v>959</v>
      </c>
      <c r="E156" s="1310">
        <v>2366</v>
      </c>
      <c r="F156" s="1306"/>
      <c r="G156"/>
      <c r="H156"/>
      <c r="I156"/>
    </row>
    <row r="157" spans="2:9" ht="15.75" x14ac:dyDescent="0.25">
      <c r="B157" s="1332"/>
      <c r="C157" s="1323"/>
      <c r="D157" s="1126"/>
      <c r="E157" s="1305"/>
      <c r="F157" s="1306"/>
      <c r="G157"/>
      <c r="H157"/>
      <c r="I157"/>
    </row>
    <row r="158" spans="2:9" ht="16.5" thickBot="1" x14ac:dyDescent="0.3">
      <c r="B158" s="1312"/>
      <c r="C158" s="1325">
        <f>SUM(C154:C157)</f>
        <v>76111</v>
      </c>
      <c r="D158" s="1314"/>
      <c r="E158" s="1315">
        <f>SUM(E154:E157)</f>
        <v>22134</v>
      </c>
      <c r="F158" s="1316">
        <f>+F152+C158-E158</f>
        <v>-322309</v>
      </c>
      <c r="G158"/>
      <c r="H158"/>
      <c r="I158"/>
    </row>
    <row r="159" spans="2:9" ht="15.75" x14ac:dyDescent="0.25">
      <c r="B159" s="1327" t="s">
        <v>960</v>
      </c>
      <c r="C159" s="1341"/>
      <c r="D159" s="1329"/>
      <c r="E159" s="1330"/>
      <c r="F159" s="1342"/>
      <c r="G159"/>
      <c r="H159"/>
      <c r="I159"/>
    </row>
    <row r="160" spans="2:9" ht="15.75" x14ac:dyDescent="0.25">
      <c r="B160" s="1307" t="s">
        <v>928</v>
      </c>
      <c r="C160" s="1343">
        <v>74316</v>
      </c>
      <c r="D160" s="1337" t="s">
        <v>957</v>
      </c>
      <c r="E160" s="1310">
        <v>23662</v>
      </c>
      <c r="F160" s="1344"/>
      <c r="G160"/>
      <c r="H160"/>
      <c r="I160"/>
    </row>
    <row r="161" spans="2:9" ht="15.75" x14ac:dyDescent="0.25">
      <c r="B161" s="1307"/>
      <c r="C161" s="1345"/>
      <c r="D161" s="1340" t="s">
        <v>944</v>
      </c>
      <c r="E161" s="1310">
        <v>1948</v>
      </c>
      <c r="F161" s="1344"/>
      <c r="G161"/>
      <c r="H161"/>
      <c r="I161"/>
    </row>
    <row r="162" spans="2:9" ht="15.75" x14ac:dyDescent="0.25">
      <c r="B162" s="1307" t="s">
        <v>929</v>
      </c>
      <c r="C162" s="61">
        <v>40185</v>
      </c>
      <c r="D162" s="1309" t="s">
        <v>959</v>
      </c>
      <c r="E162" s="1310">
        <v>1953</v>
      </c>
      <c r="F162" s="1344"/>
      <c r="G162"/>
      <c r="H162"/>
      <c r="I162"/>
    </row>
    <row r="163" spans="2:9" ht="15.75" x14ac:dyDescent="0.25">
      <c r="B163" s="1346"/>
      <c r="C163" s="1347"/>
      <c r="D163" s="1348"/>
      <c r="E163" s="1349"/>
      <c r="F163" s="1350"/>
      <c r="G163"/>
      <c r="H163"/>
      <c r="I163"/>
    </row>
    <row r="164" spans="2:9" ht="16.5" thickBot="1" x14ac:dyDescent="0.3">
      <c r="B164" s="1351"/>
      <c r="C164" s="1352">
        <f>SUM(C160:C163)</f>
        <v>114501</v>
      </c>
      <c r="D164" s="1353"/>
      <c r="E164" s="1354">
        <f>SUM(E160:E163)</f>
        <v>27563</v>
      </c>
      <c r="F164" s="1355">
        <f>+F158+C164-E164</f>
        <v>-235371</v>
      </c>
      <c r="G164"/>
      <c r="H164"/>
      <c r="I164"/>
    </row>
    <row r="165" spans="2:9" ht="15.75" x14ac:dyDescent="0.25">
      <c r="B165" s="1327" t="s">
        <v>961</v>
      </c>
      <c r="C165" s="1341"/>
      <c r="D165" s="1329"/>
      <c r="E165" s="1330"/>
      <c r="F165" s="1342"/>
      <c r="G165"/>
      <c r="H165"/>
      <c r="I165"/>
    </row>
    <row r="166" spans="2:9" ht="15.75" x14ac:dyDescent="0.25">
      <c r="B166" s="1307" t="s">
        <v>928</v>
      </c>
      <c r="C166" s="1343">
        <v>78723</v>
      </c>
      <c r="D166" s="1356" t="s">
        <v>957</v>
      </c>
      <c r="E166" s="1335">
        <v>29980</v>
      </c>
      <c r="F166" s="1344"/>
      <c r="G166"/>
      <c r="H166"/>
      <c r="I166"/>
    </row>
    <row r="167" spans="2:9" ht="15.75" x14ac:dyDescent="0.25">
      <c r="B167" s="1307"/>
      <c r="C167" s="1343"/>
      <c r="D167" s="125" t="s">
        <v>944</v>
      </c>
      <c r="E167" s="1335">
        <v>3028</v>
      </c>
      <c r="F167" s="1344"/>
      <c r="G167"/>
      <c r="H167"/>
      <c r="I167"/>
    </row>
    <row r="168" spans="2:9" ht="15.75" x14ac:dyDescent="0.25">
      <c r="B168" s="1307" t="s">
        <v>929</v>
      </c>
      <c r="C168" s="61">
        <v>31847</v>
      </c>
      <c r="D168" s="1357" t="s">
        <v>959</v>
      </c>
      <c r="E168" s="1335">
        <v>1895</v>
      </c>
      <c r="F168" s="1344"/>
      <c r="G168"/>
      <c r="H168"/>
      <c r="I168"/>
    </row>
    <row r="169" spans="2:9" ht="15.75" x14ac:dyDescent="0.25">
      <c r="B169" s="1307"/>
      <c r="C169" s="61"/>
      <c r="D169" s="1357" t="s">
        <v>962</v>
      </c>
      <c r="E169" s="1335">
        <v>25575</v>
      </c>
      <c r="F169" s="1344"/>
      <c r="G169"/>
      <c r="H169"/>
      <c r="I169"/>
    </row>
    <row r="170" spans="2:9" ht="15.75" x14ac:dyDescent="0.25">
      <c r="B170" s="1307"/>
      <c r="C170" s="61"/>
      <c r="D170" s="1357" t="s">
        <v>963</v>
      </c>
      <c r="E170" s="1335">
        <v>16000</v>
      </c>
      <c r="F170" s="1344"/>
      <c r="G170"/>
      <c r="H170"/>
      <c r="I170"/>
    </row>
    <row r="171" spans="2:9" ht="15.75" x14ac:dyDescent="0.25">
      <c r="B171" s="1346"/>
      <c r="C171" s="1358"/>
      <c r="D171" s="1348"/>
      <c r="E171" s="1359"/>
      <c r="F171" s="1350"/>
      <c r="G171"/>
      <c r="H171"/>
      <c r="I171"/>
    </row>
    <row r="172" spans="2:9" ht="16.5" thickBot="1" x14ac:dyDescent="0.3">
      <c r="B172" s="1351"/>
      <c r="C172" s="1360">
        <f>SUM(C166:C171)</f>
        <v>110570</v>
      </c>
      <c r="D172" s="1361"/>
      <c r="E172" s="1362">
        <f>SUM(E166:E171)</f>
        <v>76478</v>
      </c>
      <c r="F172" s="1355">
        <f>+F164+C172-E172</f>
        <v>-201279</v>
      </c>
      <c r="G172"/>
      <c r="H172"/>
      <c r="I172"/>
    </row>
    <row r="173" spans="2:9" ht="15.75" x14ac:dyDescent="0.25">
      <c r="B173" s="1327" t="s">
        <v>964</v>
      </c>
      <c r="C173" s="1363"/>
      <c r="D173" s="1364"/>
      <c r="E173" s="1365"/>
      <c r="F173" s="1342"/>
      <c r="G173"/>
      <c r="H173"/>
      <c r="I173"/>
    </row>
    <row r="174" spans="2:9" ht="15.75" x14ac:dyDescent="0.25">
      <c r="B174" s="1307" t="s">
        <v>928</v>
      </c>
      <c r="C174" s="1343">
        <v>55643</v>
      </c>
      <c r="D174" s="1356" t="s">
        <v>957</v>
      </c>
      <c r="E174" s="1335">
        <v>29995</v>
      </c>
      <c r="F174" s="1344"/>
      <c r="G174"/>
      <c r="H174"/>
      <c r="I174"/>
    </row>
    <row r="175" spans="2:9" ht="15.75" x14ac:dyDescent="0.25">
      <c r="B175" s="1307"/>
      <c r="C175" s="1343"/>
      <c r="D175" s="125" t="s">
        <v>944</v>
      </c>
      <c r="E175" s="1335">
        <v>128</v>
      </c>
      <c r="F175" s="1344"/>
      <c r="G175"/>
      <c r="H175"/>
      <c r="I175"/>
    </row>
    <row r="176" spans="2:9" ht="15.75" x14ac:dyDescent="0.25">
      <c r="B176" s="1307" t="s">
        <v>929</v>
      </c>
      <c r="C176" s="61">
        <v>27450</v>
      </c>
      <c r="D176" s="1357" t="s">
        <v>959</v>
      </c>
      <c r="E176" s="1335">
        <v>1837</v>
      </c>
      <c r="F176" s="1344"/>
      <c r="G176"/>
      <c r="H176"/>
      <c r="I176"/>
    </row>
    <row r="177" spans="2:9" ht="15.75" x14ac:dyDescent="0.25">
      <c r="B177" s="1307"/>
      <c r="C177" s="61"/>
      <c r="D177" s="1357" t="s">
        <v>962</v>
      </c>
      <c r="E177" s="1335">
        <v>111151</v>
      </c>
      <c r="F177" s="1344"/>
      <c r="G177"/>
      <c r="H177"/>
      <c r="I177"/>
    </row>
    <row r="178" spans="2:9" ht="15.75" x14ac:dyDescent="0.25">
      <c r="B178" s="1307"/>
      <c r="C178" s="1366"/>
      <c r="D178" s="1309"/>
      <c r="E178" s="1367"/>
      <c r="F178" s="1344"/>
      <c r="G178"/>
      <c r="H178"/>
      <c r="I178"/>
    </row>
    <row r="179" spans="2:9" ht="15.75" x14ac:dyDescent="0.25">
      <c r="B179" s="1346"/>
      <c r="C179" s="1347"/>
      <c r="D179" s="1348"/>
      <c r="E179" s="1349"/>
      <c r="F179" s="1350"/>
      <c r="G179"/>
      <c r="H179"/>
      <c r="I179"/>
    </row>
    <row r="180" spans="2:9" ht="16.5" thickBot="1" x14ac:dyDescent="0.3">
      <c r="B180" s="1351"/>
      <c r="C180" s="1352">
        <f>SUM(C174:C179)</f>
        <v>83093</v>
      </c>
      <c r="D180" s="1353"/>
      <c r="E180" s="1354">
        <f>SUM(E174:E179)</f>
        <v>143111</v>
      </c>
      <c r="F180" s="1355">
        <f>+F172+C180-E180</f>
        <v>-261297</v>
      </c>
      <c r="G180"/>
      <c r="H180"/>
      <c r="I180"/>
    </row>
    <row r="181" spans="2:9" ht="15.75" x14ac:dyDescent="0.25">
      <c r="B181" s="1327" t="s">
        <v>739</v>
      </c>
      <c r="C181" s="1363"/>
      <c r="D181" s="1364"/>
      <c r="E181" s="1365"/>
      <c r="F181" s="1342"/>
      <c r="G181"/>
      <c r="H181"/>
      <c r="I181"/>
    </row>
    <row r="182" spans="2:9" ht="15.75" x14ac:dyDescent="0.25">
      <c r="B182" s="1307" t="s">
        <v>928</v>
      </c>
      <c r="C182" s="1343">
        <v>83142</v>
      </c>
      <c r="D182" s="1356" t="s">
        <v>957</v>
      </c>
      <c r="E182" s="1335">
        <v>33745</v>
      </c>
      <c r="F182" s="1344"/>
      <c r="G182"/>
      <c r="H182"/>
      <c r="I182"/>
    </row>
    <row r="183" spans="2:9" ht="15.75" x14ac:dyDescent="0.25">
      <c r="B183" s="1307"/>
      <c r="C183" s="1343"/>
      <c r="D183" s="125" t="s">
        <v>944</v>
      </c>
      <c r="E183" s="1335">
        <v>0</v>
      </c>
      <c r="F183" s="1344"/>
      <c r="G183"/>
      <c r="H183"/>
      <c r="I183"/>
    </row>
    <row r="184" spans="2:9" ht="15.75" x14ac:dyDescent="0.25">
      <c r="B184" s="1307" t="s">
        <v>929</v>
      </c>
      <c r="C184" s="61">
        <v>23910</v>
      </c>
      <c r="D184" s="1357" t="s">
        <v>959</v>
      </c>
      <c r="E184" s="1335">
        <v>1779</v>
      </c>
      <c r="F184" s="1344"/>
      <c r="G184"/>
      <c r="H184"/>
      <c r="I184"/>
    </row>
    <row r="185" spans="2:9" ht="15.75" x14ac:dyDescent="0.25">
      <c r="B185" s="1307"/>
      <c r="C185" s="61"/>
      <c r="D185" s="1357" t="s">
        <v>962</v>
      </c>
      <c r="E185" s="1335">
        <v>24603</v>
      </c>
      <c r="F185" s="1344"/>
      <c r="G185"/>
      <c r="H185"/>
      <c r="I185"/>
    </row>
    <row r="186" spans="2:9" ht="15.75" x14ac:dyDescent="0.25">
      <c r="B186" s="1307"/>
      <c r="C186" s="1366"/>
      <c r="D186" s="1309"/>
      <c r="E186" s="1367"/>
      <c r="F186" s="1344"/>
      <c r="G186"/>
      <c r="H186"/>
      <c r="I186"/>
    </row>
    <row r="187" spans="2:9" ht="15.75" x14ac:dyDescent="0.25">
      <c r="B187" s="1346"/>
      <c r="C187" s="1347"/>
      <c r="D187" s="1348"/>
      <c r="E187" s="1349"/>
      <c r="F187" s="1350"/>
      <c r="G187"/>
      <c r="H187"/>
      <c r="I187"/>
    </row>
    <row r="188" spans="2:9" ht="16.5" thickBot="1" x14ac:dyDescent="0.3">
      <c r="B188" s="1351"/>
      <c r="C188" s="1352">
        <f>SUM(C182:C187)</f>
        <v>107052</v>
      </c>
      <c r="D188" s="1353"/>
      <c r="E188" s="1354">
        <f>SUM(E182:E187)</f>
        <v>60127</v>
      </c>
      <c r="F188" s="1355">
        <f>+F180+C188-E188</f>
        <v>-214372</v>
      </c>
      <c r="G188"/>
      <c r="H188"/>
      <c r="I188"/>
    </row>
    <row r="189" spans="2:9" ht="15.75" x14ac:dyDescent="0.25">
      <c r="B189" s="1327" t="s">
        <v>740</v>
      </c>
      <c r="C189" s="1363"/>
      <c r="D189" s="1364"/>
      <c r="E189" s="1365"/>
      <c r="F189" s="1342"/>
      <c r="G189"/>
      <c r="H189"/>
      <c r="I189"/>
    </row>
    <row r="190" spans="2:9" ht="15.75" x14ac:dyDescent="0.25">
      <c r="B190" s="1307" t="s">
        <v>928</v>
      </c>
      <c r="C190" s="1343">
        <v>95353</v>
      </c>
      <c r="D190" s="1356" t="s">
        <v>957</v>
      </c>
      <c r="E190" s="1335">
        <v>31639</v>
      </c>
      <c r="F190" s="1344"/>
      <c r="G190"/>
      <c r="H190"/>
      <c r="I190"/>
    </row>
    <row r="191" spans="2:9" ht="15.75" x14ac:dyDescent="0.25">
      <c r="B191" s="1307"/>
      <c r="C191" s="1343"/>
      <c r="D191" s="125" t="s">
        <v>944</v>
      </c>
      <c r="E191" s="1335">
        <v>0</v>
      </c>
      <c r="F191" s="1344"/>
      <c r="G191"/>
      <c r="H191"/>
      <c r="I191"/>
    </row>
    <row r="192" spans="2:9" ht="15.75" x14ac:dyDescent="0.25">
      <c r="B192" s="1307" t="s">
        <v>929</v>
      </c>
      <c r="C192" s="61">
        <v>16052</v>
      </c>
      <c r="D192" s="1357" t="s">
        <v>959</v>
      </c>
      <c r="E192" s="1335">
        <v>383</v>
      </c>
      <c r="F192" s="1344"/>
      <c r="G192"/>
      <c r="H192"/>
      <c r="I192"/>
    </row>
    <row r="193" spans="2:9" ht="15.75" x14ac:dyDescent="0.25">
      <c r="B193" s="1307"/>
      <c r="C193" s="61"/>
      <c r="D193" s="1357" t="s">
        <v>962</v>
      </c>
      <c r="E193" s="1335">
        <v>56335</v>
      </c>
      <c r="F193" s="1344"/>
      <c r="G193"/>
      <c r="H193"/>
      <c r="I193"/>
    </row>
    <row r="194" spans="2:9" ht="15.75" x14ac:dyDescent="0.25">
      <c r="B194" s="1307"/>
      <c r="C194" s="1366"/>
      <c r="D194" s="1309"/>
      <c r="E194" s="1367"/>
      <c r="F194" s="1344"/>
      <c r="G194"/>
      <c r="H194"/>
      <c r="I194"/>
    </row>
    <row r="195" spans="2:9" ht="15.75" x14ac:dyDescent="0.25">
      <c r="B195" s="1346"/>
      <c r="C195" s="1347"/>
      <c r="D195" s="1348"/>
      <c r="E195" s="1349"/>
      <c r="F195" s="1350"/>
      <c r="G195"/>
      <c r="H195"/>
      <c r="I195"/>
    </row>
    <row r="196" spans="2:9" ht="16.5" thickBot="1" x14ac:dyDescent="0.3">
      <c r="B196" s="1351"/>
      <c r="C196" s="1352">
        <f>SUM(C190:C195)</f>
        <v>111405</v>
      </c>
      <c r="D196" s="1353"/>
      <c r="E196" s="1354">
        <f>SUM(E190:E195)</f>
        <v>88357</v>
      </c>
      <c r="F196" s="1355">
        <f>+F188+C196-E196</f>
        <v>-191324</v>
      </c>
      <c r="G196"/>
      <c r="H196"/>
      <c r="I196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2" orientation="portrait" verticalDpi="300" r:id="rId1"/>
  <headerFooter alignWithMargins="0">
    <oddHeader>&amp;C &amp;R&amp;"Arial CE,Félkövér"&amp;16 25. melléklet a …../2018. (…….) önkormányzati rendelethez</oddHeader>
    <oddFooter xml:space="preserve">&amp;C </oddFooter>
  </headerFooter>
  <rowBreaks count="2" manualBreakCount="2">
    <brk id="77" min="1" max="5" man="1"/>
    <brk id="158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/>
  </sheetPr>
  <dimension ref="B2:L37"/>
  <sheetViews>
    <sheetView zoomScale="75" zoomScaleNormal="75" workbookViewId="0">
      <selection activeCell="M16" sqref="M16"/>
    </sheetView>
  </sheetViews>
  <sheetFormatPr defaultColWidth="12" defaultRowHeight="15" x14ac:dyDescent="0.2"/>
  <cols>
    <col min="1" max="1" width="3.6640625" style="1368" customWidth="1"/>
    <col min="2" max="2" width="6.6640625" style="1368" customWidth="1"/>
    <col min="3" max="4" width="12" style="1368" customWidth="1"/>
    <col min="5" max="5" width="111.33203125" style="1368" customWidth="1"/>
    <col min="6" max="6" width="22.5" style="1369" customWidth="1"/>
    <col min="7" max="7" width="24.83203125" style="1368" customWidth="1"/>
    <col min="8" max="16384" width="12" style="1368"/>
  </cols>
  <sheetData>
    <row r="2" spans="2:12" ht="18" x14ac:dyDescent="0.25">
      <c r="G2" s="1370"/>
    </row>
    <row r="3" spans="2:12" ht="24" customHeight="1" x14ac:dyDescent="0.3">
      <c r="B3" s="2719" t="s">
        <v>965</v>
      </c>
      <c r="C3" s="2719"/>
      <c r="D3" s="2719"/>
      <c r="E3" s="2719"/>
      <c r="F3" s="2719"/>
      <c r="G3" s="2719"/>
    </row>
    <row r="4" spans="2:12" ht="24.75" customHeight="1" x14ac:dyDescent="0.3">
      <c r="B4" s="2719" t="s">
        <v>1291</v>
      </c>
      <c r="C4" s="2719"/>
      <c r="D4" s="2719"/>
      <c r="E4" s="2719"/>
      <c r="F4" s="2719"/>
      <c r="G4" s="2719"/>
    </row>
    <row r="5" spans="2:12" ht="15.75" x14ac:dyDescent="0.25">
      <c r="D5" s="1371"/>
      <c r="E5" s="1371"/>
    </row>
    <row r="6" spans="2:12" ht="16.5" thickBot="1" x14ac:dyDescent="0.3">
      <c r="B6" s="1372"/>
      <c r="C6" s="1372" t="s">
        <v>97</v>
      </c>
      <c r="D6" s="1372"/>
      <c r="E6" s="1372"/>
      <c r="F6" s="1373" t="s">
        <v>97</v>
      </c>
      <c r="G6" s="1374" t="s">
        <v>32</v>
      </c>
    </row>
    <row r="7" spans="2:12" s="1379" customFormat="1" ht="18.75" x14ac:dyDescent="0.3">
      <c r="B7" s="1375"/>
      <c r="C7" s="1376" t="s">
        <v>97</v>
      </c>
      <c r="D7" s="1376" t="s">
        <v>97</v>
      </c>
      <c r="E7" s="1376"/>
      <c r="F7" s="1377" t="s">
        <v>97</v>
      </c>
      <c r="G7" s="1378"/>
    </row>
    <row r="8" spans="2:12" s="1379" customFormat="1" ht="18" customHeight="1" x14ac:dyDescent="0.25">
      <c r="B8" s="2720" t="s">
        <v>50</v>
      </c>
      <c r="C8" s="2721"/>
      <c r="D8" s="2721"/>
      <c r="E8" s="2721"/>
      <c r="F8" s="2722" t="s">
        <v>966</v>
      </c>
      <c r="G8" s="2723"/>
    </row>
    <row r="9" spans="2:12" s="1379" customFormat="1" ht="38.25" customHeight="1" thickBot="1" x14ac:dyDescent="0.3">
      <c r="B9" s="1380"/>
      <c r="C9" s="1381"/>
      <c r="D9" s="1381"/>
      <c r="E9" s="1381"/>
      <c r="F9" s="1382" t="s">
        <v>869</v>
      </c>
      <c r="G9" s="1383" t="s">
        <v>967</v>
      </c>
    </row>
    <row r="10" spans="2:12" s="1389" customFormat="1" ht="23.1" customHeight="1" x14ac:dyDescent="0.25">
      <c r="B10" s="1384" t="s">
        <v>312</v>
      </c>
      <c r="C10" s="1385" t="s">
        <v>968</v>
      </c>
      <c r="D10" s="1386"/>
      <c r="E10" s="1386"/>
      <c r="F10" s="1387">
        <f>12382</f>
        <v>12382</v>
      </c>
      <c r="G10" s="1388">
        <f>F10/F$22*100</f>
        <v>8.1174812338151892</v>
      </c>
    </row>
    <row r="11" spans="2:12" s="1389" customFormat="1" ht="31.5" customHeight="1" thickBot="1" x14ac:dyDescent="0.3">
      <c r="B11" s="1390" t="s">
        <v>60</v>
      </c>
      <c r="C11" s="1391" t="s">
        <v>969</v>
      </c>
      <c r="D11" s="1391"/>
      <c r="E11" s="1391"/>
      <c r="F11" s="1392">
        <f>SUM(F10:F10)</f>
        <v>12382</v>
      </c>
      <c r="G11" s="1393">
        <f t="shared" ref="G11:G17" si="0">F11/F$22*100</f>
        <v>8.1174812338151892</v>
      </c>
    </row>
    <row r="12" spans="2:12" s="1397" customFormat="1" ht="22.5" customHeight="1" x14ac:dyDescent="0.25">
      <c r="B12" s="1394" t="s">
        <v>313</v>
      </c>
      <c r="C12" s="1386" t="s">
        <v>970</v>
      </c>
      <c r="D12" s="1386"/>
      <c r="E12" s="1386"/>
      <c r="F12" s="1387">
        <v>0</v>
      </c>
      <c r="G12" s="1395">
        <f t="shared" si="0"/>
        <v>0</v>
      </c>
      <c r="H12" s="1396"/>
      <c r="I12" s="1396"/>
      <c r="J12" s="1396"/>
      <c r="K12" s="1396"/>
      <c r="L12" s="1396"/>
    </row>
    <row r="13" spans="2:12" s="1379" customFormat="1" ht="32.25" customHeight="1" thickBot="1" x14ac:dyDescent="0.3">
      <c r="B13" s="1398" t="s">
        <v>314</v>
      </c>
      <c r="C13" s="1399" t="s">
        <v>971</v>
      </c>
      <c r="D13" s="1399"/>
      <c r="E13" s="1399"/>
      <c r="F13" s="1400">
        <f>SUM(F12:F12)</f>
        <v>0</v>
      </c>
      <c r="G13" s="1401">
        <f t="shared" si="0"/>
        <v>0</v>
      </c>
    </row>
    <row r="14" spans="2:12" s="1397" customFormat="1" ht="23.1" customHeight="1" x14ac:dyDescent="0.25">
      <c r="B14" s="1403" t="s">
        <v>316</v>
      </c>
      <c r="C14" s="1386" t="s">
        <v>972</v>
      </c>
      <c r="D14" s="1386"/>
      <c r="E14" s="1386"/>
      <c r="F14" s="1387">
        <v>10028</v>
      </c>
      <c r="G14" s="1404">
        <f t="shared" si="0"/>
        <v>6.5742288655062779</v>
      </c>
      <c r="H14" s="1396"/>
      <c r="I14" s="1396"/>
      <c r="J14" s="1396"/>
      <c r="K14" s="1396"/>
      <c r="L14" s="1396"/>
    </row>
    <row r="15" spans="2:12" s="1389" customFormat="1" ht="39" customHeight="1" x14ac:dyDescent="0.3">
      <c r="B15" s="1394" t="s">
        <v>317</v>
      </c>
      <c r="C15" s="2716" t="s">
        <v>973</v>
      </c>
      <c r="D15" s="2717"/>
      <c r="E15" s="2718"/>
      <c r="F15" s="1387">
        <v>122836</v>
      </c>
      <c r="G15" s="1395">
        <f t="shared" si="0"/>
        <v>80.529714491755982</v>
      </c>
      <c r="H15" s="1396"/>
      <c r="I15" s="1396"/>
      <c r="J15" s="1396"/>
      <c r="K15" s="1396"/>
      <c r="L15" s="1396"/>
    </row>
    <row r="16" spans="2:12" s="1389" customFormat="1" ht="39" customHeight="1" x14ac:dyDescent="0.3">
      <c r="B16" s="1394" t="s">
        <v>318</v>
      </c>
      <c r="C16" s="2716" t="s">
        <v>1329</v>
      </c>
      <c r="D16" s="2717"/>
      <c r="E16" s="2718"/>
      <c r="F16" s="1387">
        <v>1400</v>
      </c>
      <c r="G16" s="1395">
        <f t="shared" si="0"/>
        <v>0.9178221391811715</v>
      </c>
      <c r="H16" s="1396"/>
      <c r="I16" s="1396"/>
      <c r="J16" s="1396"/>
      <c r="K16" s="1396"/>
      <c r="L16" s="1396"/>
    </row>
    <row r="17" spans="2:7" s="1379" customFormat="1" ht="32.25" customHeight="1" thickBot="1" x14ac:dyDescent="0.3">
      <c r="B17" s="1398" t="s">
        <v>975</v>
      </c>
      <c r="C17" s="1399" t="s">
        <v>974</v>
      </c>
      <c r="D17" s="1399"/>
      <c r="E17" s="1399"/>
      <c r="F17" s="1400">
        <f>SUM(F14:F16)</f>
        <v>134264</v>
      </c>
      <c r="G17" s="1401">
        <f t="shared" si="0"/>
        <v>88.021765496443436</v>
      </c>
    </row>
    <row r="18" spans="2:7" s="1409" customFormat="1" ht="20.100000000000001" customHeight="1" x14ac:dyDescent="0.25">
      <c r="B18" s="1405"/>
      <c r="C18" s="1406"/>
      <c r="D18" s="1406"/>
      <c r="E18" s="1406"/>
      <c r="F18" s="1407"/>
      <c r="G18" s="1408"/>
    </row>
    <row r="19" spans="2:7" s="1379" customFormat="1" ht="23.1" customHeight="1" x14ac:dyDescent="0.25">
      <c r="B19" s="1410" t="s">
        <v>977</v>
      </c>
      <c r="C19" s="1406" t="s">
        <v>976</v>
      </c>
      <c r="D19" s="1406"/>
      <c r="E19" s="1406"/>
      <c r="F19" s="1407">
        <v>5000</v>
      </c>
      <c r="G19" s="1411">
        <f>F19/F$22*100</f>
        <v>3.2779362113613271</v>
      </c>
    </row>
    <row r="20" spans="2:7" s="1379" customFormat="1" ht="23.1" customHeight="1" x14ac:dyDescent="0.25">
      <c r="B20" s="1412" t="s">
        <v>979</v>
      </c>
      <c r="C20" s="1413" t="s">
        <v>978</v>
      </c>
      <c r="D20" s="1413"/>
      <c r="E20" s="1413"/>
      <c r="F20" s="1414">
        <v>0</v>
      </c>
      <c r="G20" s="1415">
        <f>F20/F$22*100</f>
        <v>0</v>
      </c>
    </row>
    <row r="21" spans="2:7" s="1379" customFormat="1" ht="23.1" customHeight="1" x14ac:dyDescent="0.25">
      <c r="B21" s="1412" t="s">
        <v>981</v>
      </c>
      <c r="C21" s="1406" t="s">
        <v>980</v>
      </c>
      <c r="D21" s="1406"/>
      <c r="E21" s="1406"/>
      <c r="F21" s="1387">
        <v>889</v>
      </c>
      <c r="G21" s="1411">
        <f>F21/F$22*100</f>
        <v>0.58281705838004394</v>
      </c>
    </row>
    <row r="22" spans="2:7" s="1379" customFormat="1" ht="23.1" customHeight="1" thickBot="1" x14ac:dyDescent="0.3">
      <c r="B22" s="1416" t="s">
        <v>1328</v>
      </c>
      <c r="C22" s="1417" t="s">
        <v>982</v>
      </c>
      <c r="D22" s="1417"/>
      <c r="E22" s="1417"/>
      <c r="F22" s="1418">
        <f>+F11+F13+F17+F19+F20+F21</f>
        <v>152535</v>
      </c>
      <c r="G22" s="1419">
        <f>F22/F$22*100</f>
        <v>100</v>
      </c>
    </row>
    <row r="23" spans="2:7" s="1379" customFormat="1" ht="29.25" customHeight="1" x14ac:dyDescent="0.25">
      <c r="F23" s="1402"/>
      <c r="G23" s="1420"/>
    </row>
    <row r="24" spans="2:7" ht="20.100000000000001" customHeight="1" x14ac:dyDescent="0.2">
      <c r="G24" s="1369"/>
    </row>
    <row r="25" spans="2:7" ht="20.100000000000001" customHeight="1" x14ac:dyDescent="0.2">
      <c r="G25" s="1369"/>
    </row>
    <row r="26" spans="2:7" ht="20.100000000000001" customHeight="1" x14ac:dyDescent="0.2">
      <c r="G26" s="1369"/>
    </row>
    <row r="27" spans="2:7" ht="20.100000000000001" customHeight="1" x14ac:dyDescent="0.2">
      <c r="G27" s="1369"/>
    </row>
    <row r="28" spans="2:7" ht="30.75" customHeight="1" x14ac:dyDescent="0.2">
      <c r="G28" s="1369"/>
    </row>
    <row r="29" spans="2:7" ht="20.100000000000001" customHeight="1" x14ac:dyDescent="0.2">
      <c r="G29" s="1369"/>
    </row>
    <row r="30" spans="2:7" ht="14.25" customHeight="1" x14ac:dyDescent="0.2">
      <c r="G30" s="1369"/>
    </row>
    <row r="31" spans="2:7" x14ac:dyDescent="0.2">
      <c r="G31" s="1369"/>
    </row>
    <row r="32" spans="2:7" x14ac:dyDescent="0.2">
      <c r="G32" s="1369"/>
    </row>
    <row r="33" spans="7:7" x14ac:dyDescent="0.2">
      <c r="G33" s="1369"/>
    </row>
    <row r="34" spans="7:7" x14ac:dyDescent="0.2">
      <c r="G34" s="1369"/>
    </row>
    <row r="35" spans="7:7" x14ac:dyDescent="0.2">
      <c r="G35" s="1369"/>
    </row>
    <row r="36" spans="7:7" x14ac:dyDescent="0.2">
      <c r="G36" s="1369"/>
    </row>
    <row r="37" spans="7:7" x14ac:dyDescent="0.2">
      <c r="G37" s="1369"/>
    </row>
  </sheetData>
  <mergeCells count="6">
    <mergeCell ref="C16:E16"/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verticalDpi="300" r:id="rId1"/>
  <headerFooter alignWithMargins="0">
    <oddHeader xml:space="preserve">&amp;R&amp;"Arial,Félkövér"&amp;16  26. melléklet a …../2018. (…….) önkormányzati rendelethez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2:K38"/>
  <sheetViews>
    <sheetView zoomScaleNormal="100" workbookViewId="0">
      <selection activeCell="Q25" sqref="Q25"/>
    </sheetView>
  </sheetViews>
  <sheetFormatPr defaultColWidth="10.6640625" defaultRowHeight="12.75" x14ac:dyDescent="0.2"/>
  <cols>
    <col min="1" max="1" width="4.33203125" style="1421" customWidth="1"/>
    <col min="2" max="2" width="5.5" style="1421" customWidth="1"/>
    <col min="3" max="3" width="10.6640625" style="1421" customWidth="1"/>
    <col min="4" max="4" width="48.6640625" style="1421" customWidth="1"/>
    <col min="5" max="5" width="16.83203125" style="1421" customWidth="1"/>
    <col min="6" max="7" width="12.5" style="1421" customWidth="1"/>
    <col min="8" max="8" width="13.6640625" style="1421" customWidth="1"/>
    <col min="9" max="9" width="16.33203125" style="1421" customWidth="1"/>
    <col min="10" max="10" width="13.6640625" style="1421" customWidth="1"/>
    <col min="11" max="11" width="15.5" style="1421" customWidth="1"/>
    <col min="12" max="16384" width="10.6640625" style="1421"/>
  </cols>
  <sheetData>
    <row r="2" spans="1:11" ht="21" customHeight="1" x14ac:dyDescent="0.25">
      <c r="A2" s="2724" t="s">
        <v>1324</v>
      </c>
      <c r="B2" s="2724"/>
      <c r="C2" s="2724"/>
      <c r="D2" s="2724"/>
      <c r="E2" s="2724"/>
      <c r="F2" s="2724"/>
      <c r="G2" s="2724"/>
      <c r="H2" s="2724"/>
      <c r="I2" s="2724"/>
      <c r="J2" s="2724"/>
      <c r="K2" s="2724"/>
    </row>
    <row r="3" spans="1:11" x14ac:dyDescent="0.2">
      <c r="A3" s="1422"/>
      <c r="B3" s="1422"/>
      <c r="C3" s="1422"/>
      <c r="D3" s="1422"/>
      <c r="E3" s="1422"/>
      <c r="F3" s="1422"/>
      <c r="G3" s="1422"/>
      <c r="H3" s="1422"/>
      <c r="I3" s="1422"/>
      <c r="J3" s="1422"/>
      <c r="K3" s="1422"/>
    </row>
    <row r="4" spans="1:11" ht="13.5" thickBot="1" x14ac:dyDescent="0.25">
      <c r="A4" s="2725"/>
      <c r="B4" s="2725"/>
      <c r="C4" s="2725"/>
      <c r="D4" s="2725"/>
      <c r="E4" s="2725"/>
      <c r="F4" s="2725"/>
      <c r="G4" s="2725"/>
      <c r="H4" s="2725"/>
      <c r="I4" s="2725"/>
      <c r="J4" s="2725"/>
      <c r="K4" s="1423"/>
    </row>
    <row r="5" spans="1:11" x14ac:dyDescent="0.2">
      <c r="A5" s="2726" t="s">
        <v>703</v>
      </c>
      <c r="B5" s="2727"/>
      <c r="C5" s="2732" t="s">
        <v>50</v>
      </c>
      <c r="D5" s="2727"/>
      <c r="E5" s="2735" t="s">
        <v>983</v>
      </c>
      <c r="F5" s="2736"/>
      <c r="G5" s="2736"/>
      <c r="H5" s="2736"/>
      <c r="I5" s="2736"/>
      <c r="J5" s="2736"/>
      <c r="K5" s="2737"/>
    </row>
    <row r="6" spans="1:11" x14ac:dyDescent="0.2">
      <c r="A6" s="2728"/>
      <c r="B6" s="2729"/>
      <c r="C6" s="2733"/>
      <c r="D6" s="2729"/>
      <c r="E6" s="2738" t="s">
        <v>984</v>
      </c>
      <c r="F6" s="2739"/>
      <c r="G6" s="2740"/>
      <c r="H6" s="2738" t="s">
        <v>985</v>
      </c>
      <c r="I6" s="2739"/>
      <c r="J6" s="2739"/>
      <c r="K6" s="2741"/>
    </row>
    <row r="7" spans="1:11" x14ac:dyDescent="0.2">
      <c r="A7" s="2728"/>
      <c r="B7" s="2729"/>
      <c r="C7" s="2733"/>
      <c r="D7" s="2729"/>
      <c r="E7" s="2742" t="s">
        <v>986</v>
      </c>
      <c r="F7" s="2744" t="s">
        <v>987</v>
      </c>
      <c r="G7" s="2745"/>
      <c r="H7" s="2748" t="s">
        <v>988</v>
      </c>
      <c r="I7" s="2749"/>
      <c r="J7" s="2744" t="s">
        <v>989</v>
      </c>
      <c r="K7" s="2750"/>
    </row>
    <row r="8" spans="1:11" x14ac:dyDescent="0.2">
      <c r="A8" s="2728"/>
      <c r="B8" s="2729"/>
      <c r="C8" s="2733"/>
      <c r="D8" s="2729"/>
      <c r="E8" s="2743"/>
      <c r="F8" s="2746"/>
      <c r="G8" s="2747"/>
      <c r="H8" s="2752" t="s">
        <v>990</v>
      </c>
      <c r="I8" s="2753"/>
      <c r="J8" s="2746"/>
      <c r="K8" s="2751"/>
    </row>
    <row r="9" spans="1:11" x14ac:dyDescent="0.2">
      <c r="A9" s="2728"/>
      <c r="B9" s="2729"/>
      <c r="C9" s="2733"/>
      <c r="D9" s="2729"/>
      <c r="E9" s="1424" t="s">
        <v>991</v>
      </c>
      <c r="F9" s="1424" t="s">
        <v>992</v>
      </c>
      <c r="G9" s="1424" t="s">
        <v>993</v>
      </c>
      <c r="H9" s="1424" t="s">
        <v>994</v>
      </c>
      <c r="I9" s="1424" t="s">
        <v>995</v>
      </c>
      <c r="J9" s="1424" t="s">
        <v>994</v>
      </c>
      <c r="K9" s="1425" t="s">
        <v>995</v>
      </c>
    </row>
    <row r="10" spans="1:11" ht="13.5" thickBot="1" x14ac:dyDescent="0.25">
      <c r="A10" s="2730"/>
      <c r="B10" s="2731"/>
      <c r="C10" s="2734"/>
      <c r="D10" s="2731"/>
      <c r="E10" s="1426" t="s">
        <v>996</v>
      </c>
      <c r="F10" s="1426" t="s">
        <v>997</v>
      </c>
      <c r="G10" s="1426" t="s">
        <v>998</v>
      </c>
      <c r="H10" s="1426" t="s">
        <v>999</v>
      </c>
      <c r="I10" s="1426" t="s">
        <v>1000</v>
      </c>
      <c r="J10" s="1426" t="s">
        <v>1001</v>
      </c>
      <c r="K10" s="1427" t="s">
        <v>1002</v>
      </c>
    </row>
    <row r="11" spans="1:11" ht="15" customHeight="1" x14ac:dyDescent="0.2">
      <c r="A11" s="2754" t="s">
        <v>1003</v>
      </c>
      <c r="B11" s="2755"/>
      <c r="C11" s="2756" t="s">
        <v>1004</v>
      </c>
      <c r="D11" s="2757"/>
      <c r="E11" s="1428">
        <v>4000</v>
      </c>
      <c r="F11" s="1429">
        <v>1756</v>
      </c>
      <c r="G11" s="1430">
        <v>4796</v>
      </c>
      <c r="H11" s="1431">
        <v>3984</v>
      </c>
      <c r="I11" s="1428">
        <v>73628071</v>
      </c>
      <c r="J11" s="1429">
        <v>3992</v>
      </c>
      <c r="K11" s="1432">
        <v>102722401</v>
      </c>
    </row>
    <row r="12" spans="1:11" ht="15" customHeight="1" x14ac:dyDescent="0.2">
      <c r="A12" s="2758" t="s">
        <v>1005</v>
      </c>
      <c r="B12" s="2759"/>
      <c r="C12" s="2760" t="s">
        <v>1006</v>
      </c>
      <c r="D12" s="2761"/>
      <c r="E12" s="1433">
        <v>20</v>
      </c>
      <c r="F12" s="1434">
        <v>24</v>
      </c>
      <c r="G12" s="1435">
        <v>2307</v>
      </c>
      <c r="H12" s="1436">
        <v>20</v>
      </c>
      <c r="I12" s="1433">
        <v>4342243</v>
      </c>
      <c r="J12" s="1434">
        <v>20</v>
      </c>
      <c r="K12" s="1437">
        <v>4231209</v>
      </c>
    </row>
    <row r="13" spans="1:11" ht="15" customHeight="1" x14ac:dyDescent="0.2">
      <c r="A13" s="2758" t="s">
        <v>1007</v>
      </c>
      <c r="B13" s="2759"/>
      <c r="C13" s="2760" t="s">
        <v>1008</v>
      </c>
      <c r="D13" s="2761"/>
      <c r="E13" s="1433">
        <v>1</v>
      </c>
      <c r="F13" s="1434">
        <v>0</v>
      </c>
      <c r="G13" s="1435">
        <v>0</v>
      </c>
      <c r="H13" s="1436">
        <v>1</v>
      </c>
      <c r="I13" s="1433">
        <v>145</v>
      </c>
      <c r="J13" s="1434">
        <v>1</v>
      </c>
      <c r="K13" s="1437">
        <v>2090</v>
      </c>
    </row>
    <row r="14" spans="1:11" ht="15" customHeight="1" x14ac:dyDescent="0.2">
      <c r="A14" s="2758" t="s">
        <v>1009</v>
      </c>
      <c r="B14" s="2759"/>
      <c r="C14" s="2760" t="s">
        <v>1010</v>
      </c>
      <c r="D14" s="2761"/>
      <c r="E14" s="1433">
        <v>14</v>
      </c>
      <c r="F14" s="1434"/>
      <c r="G14" s="1435"/>
      <c r="H14" s="1436">
        <v>14</v>
      </c>
      <c r="I14" s="1433">
        <v>12737489</v>
      </c>
      <c r="J14" s="1434">
        <v>14</v>
      </c>
      <c r="K14" s="1437">
        <v>10603145</v>
      </c>
    </row>
    <row r="15" spans="1:11" ht="15" customHeight="1" thickBot="1" x14ac:dyDescent="0.25">
      <c r="A15" s="2762" t="s">
        <v>1011</v>
      </c>
      <c r="B15" s="2763"/>
      <c r="C15" s="2764" t="s">
        <v>1012</v>
      </c>
      <c r="D15" s="2765"/>
      <c r="E15" s="1438">
        <v>4034</v>
      </c>
      <c r="F15" s="1438">
        <v>1780</v>
      </c>
      <c r="G15" s="1438">
        <v>7103</v>
      </c>
      <c r="H15" s="1438">
        <f>H11+H12+H14</f>
        <v>4018</v>
      </c>
      <c r="I15" s="1438">
        <v>90707803</v>
      </c>
      <c r="J15" s="1438">
        <v>4026</v>
      </c>
      <c r="K15" s="1439">
        <v>117568337</v>
      </c>
    </row>
    <row r="16" spans="1:11" ht="15" customHeight="1" x14ac:dyDescent="0.2">
      <c r="A16" s="2767" t="s">
        <v>1013</v>
      </c>
      <c r="B16" s="2768"/>
      <c r="C16" s="1440" t="s">
        <v>1014</v>
      </c>
      <c r="D16" s="1441"/>
      <c r="E16" s="1442">
        <v>2188</v>
      </c>
      <c r="F16" s="1443">
        <v>0</v>
      </c>
      <c r="G16" s="1444">
        <v>0</v>
      </c>
      <c r="H16" s="1445">
        <v>1795</v>
      </c>
      <c r="I16" s="1442">
        <v>2422968</v>
      </c>
      <c r="J16" s="1443">
        <v>1794</v>
      </c>
      <c r="K16" s="1446">
        <v>10755727</v>
      </c>
    </row>
    <row r="17" spans="1:11" ht="15" customHeight="1" x14ac:dyDescent="0.2">
      <c r="A17" s="2769" t="s">
        <v>1015</v>
      </c>
      <c r="B17" s="2755"/>
      <c r="C17" s="2756" t="s">
        <v>1016</v>
      </c>
      <c r="D17" s="2757"/>
      <c r="E17" s="1430">
        <v>0</v>
      </c>
      <c r="F17" s="1429">
        <v>0</v>
      </c>
      <c r="G17" s="1430">
        <v>0</v>
      </c>
      <c r="H17" s="1431">
        <v>0</v>
      </c>
      <c r="I17" s="1428">
        <v>0</v>
      </c>
      <c r="J17" s="1429">
        <v>0</v>
      </c>
      <c r="K17" s="1432">
        <v>0</v>
      </c>
    </row>
    <row r="18" spans="1:11" ht="15" customHeight="1" x14ac:dyDescent="0.2">
      <c r="A18" s="2766" t="s">
        <v>1017</v>
      </c>
      <c r="B18" s="2759"/>
      <c r="C18" s="1447" t="s">
        <v>1018</v>
      </c>
      <c r="D18" s="1448" t="s">
        <v>1019</v>
      </c>
      <c r="E18" s="1435">
        <v>3599</v>
      </c>
      <c r="F18" s="1434">
        <v>885</v>
      </c>
      <c r="G18" s="1435">
        <v>962</v>
      </c>
      <c r="H18" s="1436">
        <v>3590</v>
      </c>
      <c r="I18" s="1433">
        <v>88101301</v>
      </c>
      <c r="J18" s="1434">
        <v>3591</v>
      </c>
      <c r="K18" s="1437">
        <v>114530301</v>
      </c>
    </row>
    <row r="19" spans="1:11" ht="15" customHeight="1" x14ac:dyDescent="0.2">
      <c r="A19" s="2769" t="s">
        <v>1020</v>
      </c>
      <c r="B19" s="2755"/>
      <c r="C19" s="1449" t="s">
        <v>1021</v>
      </c>
      <c r="D19" s="1448" t="s">
        <v>1022</v>
      </c>
      <c r="E19" s="1435">
        <v>435</v>
      </c>
      <c r="F19" s="1434">
        <v>895</v>
      </c>
      <c r="G19" s="1435">
        <v>6141</v>
      </c>
      <c r="H19" s="1436">
        <v>428</v>
      </c>
      <c r="I19" s="1433">
        <v>2606502</v>
      </c>
      <c r="J19" s="1434">
        <v>435</v>
      </c>
      <c r="K19" s="1437">
        <v>3038036</v>
      </c>
    </row>
    <row r="20" spans="1:11" ht="15" customHeight="1" x14ac:dyDescent="0.2">
      <c r="A20" s="2770" t="s">
        <v>1023</v>
      </c>
      <c r="B20" s="2771"/>
      <c r="C20" s="1450"/>
      <c r="D20" s="1451" t="s">
        <v>1024</v>
      </c>
      <c r="E20" s="1452">
        <v>1797</v>
      </c>
      <c r="F20" s="1453">
        <v>776</v>
      </c>
      <c r="G20" s="1452">
        <v>833</v>
      </c>
      <c r="H20" s="1454">
        <v>1783</v>
      </c>
      <c r="I20" s="1455">
        <v>48412632</v>
      </c>
      <c r="J20" s="1453">
        <v>1791</v>
      </c>
      <c r="K20" s="1456">
        <v>46657904</v>
      </c>
    </row>
    <row r="21" spans="1:11" ht="15" customHeight="1" x14ac:dyDescent="0.2">
      <c r="A21" s="2766" t="s">
        <v>1025</v>
      </c>
      <c r="B21" s="2759"/>
      <c r="C21" s="1457" t="s">
        <v>1018</v>
      </c>
      <c r="D21" s="1448" t="s">
        <v>1026</v>
      </c>
      <c r="E21" s="1458">
        <v>879</v>
      </c>
      <c r="F21" s="1434">
        <v>423</v>
      </c>
      <c r="G21" s="1435">
        <v>8899</v>
      </c>
      <c r="H21" s="1436">
        <v>877</v>
      </c>
      <c r="I21" s="1433">
        <v>38503744</v>
      </c>
      <c r="J21" s="1434">
        <v>877</v>
      </c>
      <c r="K21" s="1437">
        <v>60281916</v>
      </c>
    </row>
    <row r="22" spans="1:11" ht="15" customHeight="1" x14ac:dyDescent="0.2">
      <c r="A22" s="2769" t="s">
        <v>1027</v>
      </c>
      <c r="B22" s="2755"/>
      <c r="C22" s="1459" t="s">
        <v>1021</v>
      </c>
      <c r="D22" s="1460" t="s">
        <v>1028</v>
      </c>
      <c r="E22" s="1430">
        <v>1358</v>
      </c>
      <c r="F22" s="1429">
        <v>580</v>
      </c>
      <c r="G22" s="1430">
        <v>7371</v>
      </c>
      <c r="H22" s="1431">
        <v>1358</v>
      </c>
      <c r="I22" s="1428">
        <v>3791427</v>
      </c>
      <c r="J22" s="1429">
        <v>1358</v>
      </c>
      <c r="K22" s="1432">
        <v>10628517</v>
      </c>
    </row>
    <row r="23" spans="1:11" ht="15" customHeight="1" x14ac:dyDescent="0.2">
      <c r="A23" s="2766" t="s">
        <v>1029</v>
      </c>
      <c r="B23" s="2759"/>
      <c r="C23" s="2760" t="s">
        <v>1030</v>
      </c>
      <c r="D23" s="2761"/>
      <c r="E23" s="1435">
        <v>1055</v>
      </c>
      <c r="F23" s="1434">
        <v>1082</v>
      </c>
      <c r="G23" s="1435">
        <v>7783</v>
      </c>
      <c r="H23" s="1436">
        <v>1041</v>
      </c>
      <c r="I23" s="1433">
        <v>17220361</v>
      </c>
      <c r="J23" s="1434">
        <v>1049</v>
      </c>
      <c r="K23" s="1437">
        <v>18510474</v>
      </c>
    </row>
    <row r="24" spans="1:11" ht="15" customHeight="1" x14ac:dyDescent="0.2">
      <c r="A24" s="2770" t="s">
        <v>1031</v>
      </c>
      <c r="B24" s="2772"/>
      <c r="C24" s="1451"/>
      <c r="D24" s="1451" t="s">
        <v>1032</v>
      </c>
      <c r="E24" s="1452">
        <v>1035</v>
      </c>
      <c r="F24" s="1453">
        <v>988</v>
      </c>
      <c r="G24" s="1452">
        <v>3228</v>
      </c>
      <c r="H24" s="1454">
        <v>1028</v>
      </c>
      <c r="I24" s="1455">
        <v>17199547</v>
      </c>
      <c r="J24" s="1453">
        <v>1029</v>
      </c>
      <c r="K24" s="1456">
        <v>18489653</v>
      </c>
    </row>
    <row r="25" spans="1:11" ht="15" customHeight="1" x14ac:dyDescent="0.2">
      <c r="A25" s="2766" t="s">
        <v>1033</v>
      </c>
      <c r="B25" s="2759"/>
      <c r="C25" s="1461" t="s">
        <v>1034</v>
      </c>
      <c r="D25" s="1448" t="s">
        <v>1035</v>
      </c>
      <c r="E25" s="1458">
        <v>9</v>
      </c>
      <c r="F25" s="1434">
        <v>0</v>
      </c>
      <c r="G25" s="1435">
        <v>1018</v>
      </c>
      <c r="H25" s="1436">
        <v>2</v>
      </c>
      <c r="I25" s="1433">
        <v>5</v>
      </c>
      <c r="J25" s="1434">
        <v>9</v>
      </c>
      <c r="K25" s="1437">
        <v>12</v>
      </c>
    </row>
    <row r="26" spans="1:11" ht="15" customHeight="1" x14ac:dyDescent="0.2">
      <c r="A26" s="2769" t="s">
        <v>1036</v>
      </c>
      <c r="B26" s="2773"/>
      <c r="C26" s="1460" t="s">
        <v>1021</v>
      </c>
      <c r="D26" s="1460" t="s">
        <v>1037</v>
      </c>
      <c r="E26" s="1430">
        <v>11</v>
      </c>
      <c r="F26" s="1429">
        <v>94</v>
      </c>
      <c r="G26" s="1430">
        <v>3537</v>
      </c>
      <c r="H26" s="1429">
        <v>11</v>
      </c>
      <c r="I26" s="1430">
        <v>20809</v>
      </c>
      <c r="J26" s="1429">
        <v>11</v>
      </c>
      <c r="K26" s="1432">
        <v>20809</v>
      </c>
    </row>
    <row r="27" spans="1:11" ht="15" customHeight="1" x14ac:dyDescent="0.2">
      <c r="A27" s="2766" t="s">
        <v>1038</v>
      </c>
      <c r="B27" s="2759"/>
      <c r="C27" s="2760" t="s">
        <v>1039</v>
      </c>
      <c r="D27" s="2761"/>
      <c r="E27" s="1435">
        <v>1164</v>
      </c>
      <c r="F27" s="1434">
        <v>697</v>
      </c>
      <c r="G27" s="1435">
        <v>9320</v>
      </c>
      <c r="H27" s="1434">
        <v>1163</v>
      </c>
      <c r="I27" s="1435">
        <v>70481418</v>
      </c>
      <c r="J27" s="1434">
        <v>1164</v>
      </c>
      <c r="K27" s="1437">
        <v>88188623</v>
      </c>
    </row>
    <row r="28" spans="1:11" ht="15" customHeight="1" x14ac:dyDescent="0.2">
      <c r="A28" s="2770" t="s">
        <v>1040</v>
      </c>
      <c r="B28" s="2772"/>
      <c r="C28" s="1451"/>
      <c r="D28" s="1451" t="s">
        <v>1032</v>
      </c>
      <c r="E28" s="1452">
        <v>1148</v>
      </c>
      <c r="F28" s="1453">
        <v>694</v>
      </c>
      <c r="G28" s="1452">
        <v>3938</v>
      </c>
      <c r="H28" s="1453">
        <v>1147</v>
      </c>
      <c r="I28" s="1452">
        <v>70198423</v>
      </c>
      <c r="J28" s="1453">
        <v>1148</v>
      </c>
      <c r="K28" s="1456">
        <v>87732830</v>
      </c>
    </row>
    <row r="29" spans="1:11" ht="15" customHeight="1" x14ac:dyDescent="0.2">
      <c r="A29" s="2766" t="s">
        <v>1041</v>
      </c>
      <c r="B29" s="2759"/>
      <c r="C29" s="1461" t="s">
        <v>1042</v>
      </c>
      <c r="D29" s="1448" t="s">
        <v>1035</v>
      </c>
      <c r="E29" s="1458">
        <v>7</v>
      </c>
      <c r="F29" s="1434">
        <v>0</v>
      </c>
      <c r="G29" s="1435">
        <v>7487</v>
      </c>
      <c r="H29" s="1434">
        <v>7</v>
      </c>
      <c r="I29" s="1435">
        <v>41385</v>
      </c>
      <c r="J29" s="1434">
        <v>7</v>
      </c>
      <c r="K29" s="1437">
        <v>41385</v>
      </c>
    </row>
    <row r="30" spans="1:11" ht="15" customHeight="1" x14ac:dyDescent="0.2">
      <c r="A30" s="2766" t="s">
        <v>1043</v>
      </c>
      <c r="B30" s="2759"/>
      <c r="C30" s="1462" t="s">
        <v>1021</v>
      </c>
      <c r="D30" s="1448" t="s">
        <v>1037</v>
      </c>
      <c r="E30" s="1458">
        <v>5</v>
      </c>
      <c r="F30" s="1434">
        <v>1</v>
      </c>
      <c r="G30" s="1435">
        <v>8586</v>
      </c>
      <c r="H30" s="1434">
        <v>5</v>
      </c>
      <c r="I30" s="1435">
        <v>149507</v>
      </c>
      <c r="J30" s="1434">
        <v>5</v>
      </c>
      <c r="K30" s="1437">
        <v>181198</v>
      </c>
    </row>
    <row r="31" spans="1:11" ht="15" customHeight="1" x14ac:dyDescent="0.2">
      <c r="A31" s="2766" t="s">
        <v>1044</v>
      </c>
      <c r="B31" s="2759"/>
      <c r="C31" s="1460"/>
      <c r="D31" s="1460" t="s">
        <v>1045</v>
      </c>
      <c r="E31" s="1430">
        <v>4</v>
      </c>
      <c r="F31" s="1429">
        <v>0</v>
      </c>
      <c r="G31" s="1430">
        <v>9309</v>
      </c>
      <c r="H31" s="1429">
        <v>4</v>
      </c>
      <c r="I31" s="1430">
        <v>92103</v>
      </c>
      <c r="J31" s="1429">
        <v>4</v>
      </c>
      <c r="K31" s="1432">
        <v>233210</v>
      </c>
    </row>
    <row r="32" spans="1:11" ht="15" customHeight="1" x14ac:dyDescent="0.2">
      <c r="A32" s="2766" t="s">
        <v>1046</v>
      </c>
      <c r="B32" s="2759"/>
      <c r="C32" s="2760" t="s">
        <v>1047</v>
      </c>
      <c r="D32" s="2761"/>
      <c r="E32" s="1435">
        <v>1815</v>
      </c>
      <c r="F32" s="1434"/>
      <c r="G32" s="1435"/>
      <c r="H32" s="1434">
        <v>1814</v>
      </c>
      <c r="I32" s="1435">
        <v>3006024</v>
      </c>
      <c r="J32" s="1434">
        <v>1813</v>
      </c>
      <c r="K32" s="1437">
        <v>10869240</v>
      </c>
    </row>
    <row r="33" spans="1:11" ht="15" customHeight="1" x14ac:dyDescent="0.2">
      <c r="A33" s="2770" t="s">
        <v>1048</v>
      </c>
      <c r="B33" s="2772"/>
      <c r="C33" s="1451"/>
      <c r="D33" s="1451" t="s">
        <v>1032</v>
      </c>
      <c r="E33" s="1452">
        <v>1809</v>
      </c>
      <c r="F33" s="1453"/>
      <c r="G33" s="1452"/>
      <c r="H33" s="1453">
        <v>1808</v>
      </c>
      <c r="I33" s="1452">
        <v>2997419</v>
      </c>
      <c r="J33" s="1453">
        <v>1807</v>
      </c>
      <c r="K33" s="1456">
        <v>10831177</v>
      </c>
    </row>
    <row r="34" spans="1:11" ht="15" customHeight="1" x14ac:dyDescent="0.2">
      <c r="A34" s="2766" t="s">
        <v>1049</v>
      </c>
      <c r="B34" s="2759"/>
      <c r="C34" s="1461" t="s">
        <v>1050</v>
      </c>
      <c r="D34" s="1448" t="s">
        <v>1035</v>
      </c>
      <c r="E34" s="1458">
        <v>0</v>
      </c>
      <c r="F34" s="1434"/>
      <c r="G34" s="1435"/>
      <c r="H34" s="1434">
        <v>0</v>
      </c>
      <c r="I34" s="1435">
        <v>0</v>
      </c>
      <c r="J34" s="1434">
        <v>0</v>
      </c>
      <c r="K34" s="1437">
        <v>0</v>
      </c>
    </row>
    <row r="35" spans="1:11" ht="15" customHeight="1" x14ac:dyDescent="0.2">
      <c r="A35" s="2769" t="s">
        <v>1051</v>
      </c>
      <c r="B35" s="2773"/>
      <c r="C35" s="1460" t="s">
        <v>1021</v>
      </c>
      <c r="D35" s="1460" t="s">
        <v>1037</v>
      </c>
      <c r="E35" s="1430">
        <v>6</v>
      </c>
      <c r="F35" s="1429"/>
      <c r="G35" s="1430"/>
      <c r="H35" s="1429">
        <v>6</v>
      </c>
      <c r="I35" s="1430">
        <v>8605</v>
      </c>
      <c r="J35" s="1429">
        <v>6</v>
      </c>
      <c r="K35" s="1432">
        <v>38063</v>
      </c>
    </row>
    <row r="36" spans="1:11" ht="15" customHeight="1" x14ac:dyDescent="0.2">
      <c r="A36" s="2770" t="s">
        <v>1052</v>
      </c>
      <c r="B36" s="2772"/>
      <c r="C36" s="1463"/>
      <c r="D36" s="1464" t="s">
        <v>1053</v>
      </c>
      <c r="E36" s="1452">
        <v>26</v>
      </c>
      <c r="F36" s="1453">
        <v>613</v>
      </c>
      <c r="G36" s="1452">
        <v>9928</v>
      </c>
      <c r="H36" s="1453">
        <v>19</v>
      </c>
      <c r="I36" s="1452">
        <v>613433</v>
      </c>
      <c r="J36" s="1453">
        <v>26</v>
      </c>
      <c r="K36" s="1456">
        <v>1029597</v>
      </c>
    </row>
    <row r="37" spans="1:11" ht="15" customHeight="1" x14ac:dyDescent="0.2">
      <c r="A37" s="2766" t="s">
        <v>1054</v>
      </c>
      <c r="B37" s="2759"/>
      <c r="C37" s="1462" t="s">
        <v>1055</v>
      </c>
      <c r="D37" s="1465" t="s">
        <v>1056</v>
      </c>
      <c r="E37" s="1458">
        <v>6</v>
      </c>
      <c r="F37" s="1434">
        <v>9</v>
      </c>
      <c r="G37" s="1435">
        <v>8414</v>
      </c>
      <c r="H37" s="1434">
        <v>6</v>
      </c>
      <c r="I37" s="1435">
        <v>745096</v>
      </c>
      <c r="J37" s="1434">
        <v>6</v>
      </c>
      <c r="K37" s="1437">
        <v>747081</v>
      </c>
    </row>
    <row r="38" spans="1:11" ht="15" customHeight="1" thickBot="1" x14ac:dyDescent="0.25">
      <c r="A38" s="2774">
        <v>28</v>
      </c>
      <c r="B38" s="2775"/>
      <c r="C38" s="1466" t="s">
        <v>1021</v>
      </c>
      <c r="D38" s="1467" t="s">
        <v>1057</v>
      </c>
      <c r="E38" s="1468">
        <v>303</v>
      </c>
      <c r="F38" s="1469">
        <v>71</v>
      </c>
      <c r="G38" s="1468">
        <v>2471</v>
      </c>
      <c r="H38" s="1469">
        <v>303</v>
      </c>
      <c r="I38" s="1468">
        <v>9292039</v>
      </c>
      <c r="J38" s="1469">
        <v>303</v>
      </c>
      <c r="K38" s="1470">
        <v>13034964</v>
      </c>
    </row>
  </sheetData>
  <mergeCells count="49">
    <mergeCell ref="A36:B36"/>
    <mergeCell ref="A37:B37"/>
    <mergeCell ref="A38:B38"/>
    <mergeCell ref="A31:B31"/>
    <mergeCell ref="A32:B32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A11:B11"/>
    <mergeCell ref="C11:D11"/>
    <mergeCell ref="A12:B12"/>
    <mergeCell ref="C12:D12"/>
    <mergeCell ref="A13:B13"/>
    <mergeCell ref="C13:D13"/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&amp;R&amp;"Arial,Félkövér"&amp;12 27. melléklet a …../2018. (…….)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B2:H109"/>
  <sheetViews>
    <sheetView zoomScale="75" zoomScaleNormal="75" workbookViewId="0">
      <selection activeCell="O76" sqref="O76"/>
    </sheetView>
  </sheetViews>
  <sheetFormatPr defaultColWidth="10.6640625" defaultRowHeight="15" x14ac:dyDescent="0.2"/>
  <cols>
    <col min="1" max="1" width="10.6640625" style="1472"/>
    <col min="2" max="2" width="11.5" style="1471" customWidth="1"/>
    <col min="3" max="3" width="8.83203125" style="1472" customWidth="1"/>
    <col min="4" max="4" width="118" style="1472" customWidth="1"/>
    <col min="5" max="5" width="26" style="1472" customWidth="1"/>
    <col min="6" max="6" width="23.5" style="1472" customWidth="1"/>
    <col min="7" max="7" width="24.1640625" style="1472" customWidth="1"/>
    <col min="8" max="8" width="18.83203125" style="1472" customWidth="1"/>
    <col min="9" max="16384" width="10.6640625" style="1472"/>
  </cols>
  <sheetData>
    <row r="2" spans="2:8" ht="18" x14ac:dyDescent="0.25">
      <c r="E2" s="1370"/>
      <c r="F2" s="1473"/>
    </row>
    <row r="5" spans="2:8" ht="21.75" customHeight="1" x14ac:dyDescent="0.3">
      <c r="B5" s="2781" t="s">
        <v>1387</v>
      </c>
      <c r="C5" s="2781"/>
      <c r="D5" s="2781"/>
      <c r="E5" s="2781"/>
      <c r="F5" s="2781"/>
      <c r="G5" s="2781"/>
    </row>
    <row r="6" spans="2:8" ht="15.75" thickBot="1" x14ac:dyDescent="0.25">
      <c r="G6" s="1475" t="s">
        <v>32</v>
      </c>
    </row>
    <row r="7" spans="2:8" s="1474" customFormat="1" ht="20.100000000000001" customHeight="1" thickBot="1" x14ac:dyDescent="0.3">
      <c r="B7" s="1476" t="s">
        <v>751</v>
      </c>
      <c r="C7" s="1477"/>
      <c r="D7" s="1477"/>
      <c r="E7" s="2782"/>
      <c r="F7" s="2783"/>
      <c r="G7" s="2784"/>
    </row>
    <row r="8" spans="2:8" ht="20.100000000000001" customHeight="1" thickBot="1" x14ac:dyDescent="0.3">
      <c r="B8" s="1478"/>
      <c r="C8" s="1479"/>
      <c r="D8" s="1479"/>
      <c r="E8" s="1480" t="s">
        <v>1058</v>
      </c>
      <c r="F8" s="1481" t="s">
        <v>1059</v>
      </c>
      <c r="G8" s="1482" t="s">
        <v>1060</v>
      </c>
    </row>
    <row r="9" spans="2:8" s="1487" customFormat="1" ht="20.100000000000001" customHeight="1" thickBot="1" x14ac:dyDescent="0.35">
      <c r="B9" s="1483" t="s">
        <v>1061</v>
      </c>
      <c r="C9" s="1484" t="s">
        <v>1062</v>
      </c>
      <c r="D9" s="1484"/>
      <c r="E9" s="1485">
        <f>+E10+E16+E45+E49</f>
        <v>93910962</v>
      </c>
      <c r="F9" s="1485">
        <f>+F10+F16+F45+F49</f>
        <v>24429818</v>
      </c>
      <c r="G9" s="1486">
        <f>+G10+G16+G45+G49</f>
        <v>76780660</v>
      </c>
    </row>
    <row r="10" spans="2:8" s="1492" customFormat="1" ht="20.100000000000001" customHeight="1" thickBot="1" x14ac:dyDescent="0.3">
      <c r="B10" s="1488" t="s">
        <v>763</v>
      </c>
      <c r="C10" s="1489" t="s">
        <v>1063</v>
      </c>
      <c r="D10" s="1489"/>
      <c r="E10" s="1490">
        <f>SUM(E12:E14)</f>
        <v>743927</v>
      </c>
      <c r="F10" s="1490">
        <f>SUM(F12:F14)</f>
        <v>685844</v>
      </c>
      <c r="G10" s="1491">
        <f>SUM(G12:G14)</f>
        <v>58083</v>
      </c>
    </row>
    <row r="11" spans="2:8" s="1497" customFormat="1" ht="20.100000000000001" customHeight="1" x14ac:dyDescent="0.25">
      <c r="B11" s="1493" t="s">
        <v>1064</v>
      </c>
      <c r="C11" s="1494" t="s">
        <v>755</v>
      </c>
      <c r="D11" s="1494"/>
      <c r="E11" s="1495">
        <f>SUM(E12:E13)</f>
        <v>328246</v>
      </c>
      <c r="F11" s="1495">
        <f>SUM(F12:F13)</f>
        <v>282915</v>
      </c>
      <c r="G11" s="1496">
        <f>SUM(G12:G13)</f>
        <v>45331</v>
      </c>
      <c r="H11" s="1492"/>
    </row>
    <row r="12" spans="2:8" s="1502" customFormat="1" ht="20.100000000000001" customHeight="1" x14ac:dyDescent="0.25">
      <c r="B12" s="1498"/>
      <c r="C12" s="1499" t="s">
        <v>1065</v>
      </c>
      <c r="D12" s="1499"/>
      <c r="E12" s="1500">
        <v>328246</v>
      </c>
      <c r="F12" s="1499">
        <v>282915</v>
      </c>
      <c r="G12" s="1501">
        <f>E12-F12</f>
        <v>45331</v>
      </c>
      <c r="H12" s="1492"/>
    </row>
    <row r="13" spans="2:8" s="1502" customFormat="1" ht="20.100000000000001" customHeight="1" x14ac:dyDescent="0.25">
      <c r="B13" s="1503"/>
      <c r="C13" s="1504" t="s">
        <v>1066</v>
      </c>
      <c r="D13" s="1504"/>
      <c r="E13" s="1505">
        <v>0</v>
      </c>
      <c r="F13" s="1504">
        <v>0</v>
      </c>
      <c r="G13" s="1506">
        <f>E13-F13</f>
        <v>0</v>
      </c>
      <c r="H13" s="1492"/>
    </row>
    <row r="14" spans="2:8" s="1497" customFormat="1" ht="20.100000000000001" customHeight="1" x14ac:dyDescent="0.25">
      <c r="B14" s="1507" t="s">
        <v>761</v>
      </c>
      <c r="C14" s="1508" t="s">
        <v>760</v>
      </c>
      <c r="D14" s="1508"/>
      <c r="E14" s="1509">
        <f>SUM(E15)</f>
        <v>415681</v>
      </c>
      <c r="F14" s="1509">
        <f>SUM(F15)</f>
        <v>402929</v>
      </c>
      <c r="G14" s="1510">
        <f>SUM(G15)</f>
        <v>12752</v>
      </c>
      <c r="H14" s="1492"/>
    </row>
    <row r="15" spans="2:8" s="1502" customFormat="1" ht="20.100000000000001" customHeight="1" thickBot="1" x14ac:dyDescent="0.3">
      <c r="B15" s="1503"/>
      <c r="C15" s="1504" t="s">
        <v>1065</v>
      </c>
      <c r="D15" s="1504"/>
      <c r="E15" s="1505">
        <v>415681</v>
      </c>
      <c r="F15" s="1504">
        <v>402929</v>
      </c>
      <c r="G15" s="1506">
        <f>E15-F15</f>
        <v>12752</v>
      </c>
      <c r="H15" s="1492"/>
    </row>
    <row r="16" spans="2:8" s="1492" customFormat="1" ht="20.100000000000001" customHeight="1" thickBot="1" x14ac:dyDescent="0.3">
      <c r="B16" s="1488" t="s">
        <v>775</v>
      </c>
      <c r="C16" s="1489" t="s">
        <v>1067</v>
      </c>
      <c r="D16" s="1489"/>
      <c r="E16" s="1490">
        <f>+E17+E36+E40+E41</f>
        <v>92307495</v>
      </c>
      <c r="F16" s="1490">
        <f>+F17+F36+F40+F41</f>
        <v>23695924</v>
      </c>
      <c r="G16" s="1511">
        <f>E16-F16</f>
        <v>68611571</v>
      </c>
    </row>
    <row r="17" spans="2:8" s="1516" customFormat="1" ht="20.100000000000001" customHeight="1" x14ac:dyDescent="0.25">
      <c r="B17" s="1512" t="s">
        <v>766</v>
      </c>
      <c r="C17" s="1513" t="s">
        <v>765</v>
      </c>
      <c r="D17" s="1513"/>
      <c r="E17" s="1514">
        <f>+E18+E24+E32</f>
        <v>85131533</v>
      </c>
      <c r="F17" s="1514">
        <f>+F18+F24+F32</f>
        <v>19855230</v>
      </c>
      <c r="G17" s="1515">
        <f>+G18+G24+G32</f>
        <v>65276303</v>
      </c>
      <c r="H17" s="1492"/>
    </row>
    <row r="18" spans="2:8" s="1522" customFormat="1" ht="20.100000000000001" customHeight="1" x14ac:dyDescent="0.25">
      <c r="B18" s="1517"/>
      <c r="C18" s="1518" t="s">
        <v>1068</v>
      </c>
      <c r="D18" s="1519"/>
      <c r="E18" s="1520">
        <f>SUM(E19:E23)</f>
        <v>48435513</v>
      </c>
      <c r="F18" s="1520">
        <f>SUM(F19:F23)</f>
        <v>11119314</v>
      </c>
      <c r="G18" s="1521">
        <f>SUM(G19:G23)</f>
        <v>37316199</v>
      </c>
      <c r="H18" s="1492"/>
    </row>
    <row r="19" spans="2:8" s="1502" customFormat="1" ht="20.100000000000001" customHeight="1" x14ac:dyDescent="0.25">
      <c r="B19" s="1503"/>
      <c r="C19" s="1523" t="s">
        <v>1069</v>
      </c>
      <c r="D19" s="1504" t="s">
        <v>1070</v>
      </c>
      <c r="E19" s="1505">
        <v>33244135</v>
      </c>
      <c r="F19" s="1504">
        <v>8657269</v>
      </c>
      <c r="G19" s="1506">
        <f t="shared" ref="G19:G23" si="0">E19-F19</f>
        <v>24586866</v>
      </c>
      <c r="H19" s="1492"/>
    </row>
    <row r="20" spans="2:8" s="1502" customFormat="1" ht="20.100000000000001" customHeight="1" x14ac:dyDescent="0.25">
      <c r="B20" s="1498"/>
      <c r="C20" s="1524" t="s">
        <v>1069</v>
      </c>
      <c r="D20" s="1499" t="s">
        <v>1071</v>
      </c>
      <c r="E20" s="1500">
        <v>10737257</v>
      </c>
      <c r="F20" s="1499">
        <v>2274538</v>
      </c>
      <c r="G20" s="1501">
        <f t="shared" si="0"/>
        <v>8462719</v>
      </c>
      <c r="H20" s="1492"/>
    </row>
    <row r="21" spans="2:8" s="1502" customFormat="1" ht="20.100000000000001" customHeight="1" x14ac:dyDescent="0.25">
      <c r="B21" s="1498"/>
      <c r="C21" s="1524" t="s">
        <v>1069</v>
      </c>
      <c r="D21" s="1499" t="s">
        <v>1072</v>
      </c>
      <c r="E21" s="1500">
        <v>689806</v>
      </c>
      <c r="F21" s="1499">
        <v>133</v>
      </c>
      <c r="G21" s="1501">
        <f t="shared" si="0"/>
        <v>689673</v>
      </c>
      <c r="H21" s="1492"/>
    </row>
    <row r="22" spans="2:8" s="1502" customFormat="1" ht="20.100000000000001" customHeight="1" x14ac:dyDescent="0.25">
      <c r="B22" s="1498"/>
      <c r="C22" s="1524" t="s">
        <v>1069</v>
      </c>
      <c r="D22" s="1499" t="s">
        <v>1073</v>
      </c>
      <c r="E22" s="1500">
        <f>66139+150111+76094</f>
        <v>292344</v>
      </c>
      <c r="F22" s="1499">
        <f>5298+21952+15835</f>
        <v>43085</v>
      </c>
      <c r="G22" s="1501">
        <f t="shared" si="0"/>
        <v>249259</v>
      </c>
      <c r="H22" s="1492"/>
    </row>
    <row r="23" spans="2:8" s="1502" customFormat="1" ht="38.25" customHeight="1" x14ac:dyDescent="0.25">
      <c r="B23" s="1503"/>
      <c r="C23" s="1525" t="s">
        <v>1069</v>
      </c>
      <c r="D23" s="1526" t="s">
        <v>1074</v>
      </c>
      <c r="E23" s="1505">
        <f>569+3471402</f>
        <v>3471971</v>
      </c>
      <c r="F23" s="1504">
        <f>1+144285+3</f>
        <v>144289</v>
      </c>
      <c r="G23" s="1506">
        <f t="shared" si="0"/>
        <v>3327682</v>
      </c>
      <c r="H23" s="1492"/>
    </row>
    <row r="24" spans="2:8" s="1522" customFormat="1" ht="20.100000000000001" customHeight="1" x14ac:dyDescent="0.25">
      <c r="B24" s="1517"/>
      <c r="C24" s="1518" t="s">
        <v>1075</v>
      </c>
      <c r="D24" s="1519"/>
      <c r="E24" s="1520">
        <f>SUM(E25:E31)</f>
        <v>33011439</v>
      </c>
      <c r="F24" s="1520">
        <f>SUM(F25:F31)</f>
        <v>8204589</v>
      </c>
      <c r="G24" s="1521">
        <f>SUM(G25:G31)</f>
        <v>24806850</v>
      </c>
      <c r="H24" s="1492"/>
    </row>
    <row r="25" spans="2:8" s="1502" customFormat="1" ht="20.100000000000001" customHeight="1" x14ac:dyDescent="0.25">
      <c r="B25" s="1503"/>
      <c r="C25" s="1523" t="s">
        <v>1069</v>
      </c>
      <c r="D25" s="1504" t="s">
        <v>1076</v>
      </c>
      <c r="E25" s="1505">
        <v>2801766</v>
      </c>
      <c r="F25" s="1504">
        <v>1077431</v>
      </c>
      <c r="G25" s="1506">
        <f t="shared" ref="G25:G31" si="1">E25-F25</f>
        <v>1724335</v>
      </c>
      <c r="H25" s="1492"/>
    </row>
    <row r="26" spans="2:8" s="1502" customFormat="1" ht="20.100000000000001" customHeight="1" x14ac:dyDescent="0.25">
      <c r="B26" s="1498"/>
      <c r="C26" s="1524" t="s">
        <v>1069</v>
      </c>
      <c r="D26" s="1499" t="s">
        <v>1077</v>
      </c>
      <c r="E26" s="1500">
        <v>281298</v>
      </c>
      <c r="F26" s="1499">
        <v>29766</v>
      </c>
      <c r="G26" s="1501">
        <f t="shared" si="1"/>
        <v>251532</v>
      </c>
      <c r="H26" s="1492"/>
    </row>
    <row r="27" spans="2:8" s="1502" customFormat="1" ht="20.100000000000001" customHeight="1" x14ac:dyDescent="0.25">
      <c r="B27" s="1498"/>
      <c r="C27" s="1524" t="s">
        <v>1069</v>
      </c>
      <c r="D27" s="1499" t="s">
        <v>1078</v>
      </c>
      <c r="E27" s="1500">
        <v>445840</v>
      </c>
      <c r="F27" s="1499">
        <v>138573</v>
      </c>
      <c r="G27" s="1501">
        <f t="shared" si="1"/>
        <v>307267</v>
      </c>
      <c r="H27" s="1492"/>
    </row>
    <row r="28" spans="2:8" s="1502" customFormat="1" ht="20.100000000000001" customHeight="1" x14ac:dyDescent="0.25">
      <c r="B28" s="1498"/>
      <c r="C28" s="1524" t="s">
        <v>1069</v>
      </c>
      <c r="D28" s="1499" t="s">
        <v>1079</v>
      </c>
      <c r="E28" s="1500">
        <v>6295052</v>
      </c>
      <c r="F28" s="1499">
        <v>1421113</v>
      </c>
      <c r="G28" s="1501">
        <f t="shared" si="1"/>
        <v>4873939</v>
      </c>
      <c r="H28" s="1492"/>
    </row>
    <row r="29" spans="2:8" s="1502" customFormat="1" ht="20.100000000000001" customHeight="1" x14ac:dyDescent="0.25">
      <c r="B29" s="1498"/>
      <c r="C29" s="1524" t="s">
        <v>1069</v>
      </c>
      <c r="D29" s="1499" t="s">
        <v>1080</v>
      </c>
      <c r="E29" s="1500">
        <f>1664568+205543</f>
        <v>1870111</v>
      </c>
      <c r="F29" s="1499">
        <f>10781+1576</f>
        <v>12357</v>
      </c>
      <c r="G29" s="1501">
        <f t="shared" si="1"/>
        <v>1857754</v>
      </c>
      <c r="H29" s="1492"/>
    </row>
    <row r="30" spans="2:8" s="1502" customFormat="1" ht="20.100000000000001" customHeight="1" x14ac:dyDescent="0.25">
      <c r="B30" s="1498"/>
      <c r="C30" s="1524" t="s">
        <v>1069</v>
      </c>
      <c r="D30" s="1499" t="s">
        <v>1073</v>
      </c>
      <c r="E30" s="1500">
        <f>405203+364+42959+3381687+6360491+8294510+1618688</f>
        <v>20103902</v>
      </c>
      <c r="F30" s="1499">
        <f>90997+364+2174+1119295+1224849+2596048+218251</f>
        <v>5251978</v>
      </c>
      <c r="G30" s="1501">
        <f t="shared" si="1"/>
        <v>14851924</v>
      </c>
      <c r="H30" s="1492"/>
    </row>
    <row r="31" spans="2:8" s="1502" customFormat="1" ht="39" customHeight="1" x14ac:dyDescent="0.25">
      <c r="B31" s="1503"/>
      <c r="C31" s="1525" t="s">
        <v>1069</v>
      </c>
      <c r="D31" s="1526" t="s">
        <v>1081</v>
      </c>
      <c r="E31" s="1505">
        <f>1213472-2</f>
        <v>1213470</v>
      </c>
      <c r="F31" s="1504">
        <f>273370+1</f>
        <v>273371</v>
      </c>
      <c r="G31" s="1506">
        <f t="shared" si="1"/>
        <v>940099</v>
      </c>
      <c r="H31" s="1492"/>
    </row>
    <row r="32" spans="2:8" s="1522" customFormat="1" ht="20.100000000000001" customHeight="1" x14ac:dyDescent="0.25">
      <c r="B32" s="1517"/>
      <c r="C32" s="1518" t="s">
        <v>1066</v>
      </c>
      <c r="D32" s="1519"/>
      <c r="E32" s="1520">
        <f>SUM(E33:E35)</f>
        <v>3684581</v>
      </c>
      <c r="F32" s="1520">
        <f>SUM(F33:F35)</f>
        <v>531327</v>
      </c>
      <c r="G32" s="1521">
        <f>SUM(G33:G35)</f>
        <v>3153254</v>
      </c>
      <c r="H32" s="1492"/>
    </row>
    <row r="33" spans="2:8" s="1502" customFormat="1" ht="20.100000000000001" customHeight="1" x14ac:dyDescent="0.25">
      <c r="B33" s="1503"/>
      <c r="C33" s="1523" t="s">
        <v>1069</v>
      </c>
      <c r="D33" s="1504" t="s">
        <v>1082</v>
      </c>
      <c r="E33" s="1505">
        <v>41476</v>
      </c>
      <c r="F33" s="1504">
        <v>0</v>
      </c>
      <c r="G33" s="1506">
        <f>E33-F33</f>
        <v>41476</v>
      </c>
      <c r="H33" s="1492"/>
    </row>
    <row r="34" spans="2:8" s="1502" customFormat="1" ht="20.100000000000001" customHeight="1" x14ac:dyDescent="0.25">
      <c r="B34" s="1498"/>
      <c r="C34" s="1524" t="s">
        <v>1069</v>
      </c>
      <c r="D34" s="1499" t="s">
        <v>1073</v>
      </c>
      <c r="E34" s="1500">
        <f>3574148+65891</f>
        <v>3640039</v>
      </c>
      <c r="F34" s="1499">
        <f>521002+9225</f>
        <v>530227</v>
      </c>
      <c r="G34" s="1501">
        <f>E34-F34</f>
        <v>3109812</v>
      </c>
      <c r="H34" s="1492"/>
    </row>
    <row r="35" spans="2:8" s="1502" customFormat="1" ht="40.5" customHeight="1" x14ac:dyDescent="0.25">
      <c r="B35" s="1503"/>
      <c r="C35" s="1525" t="s">
        <v>1069</v>
      </c>
      <c r="D35" s="1526" t="s">
        <v>1083</v>
      </c>
      <c r="E35" s="1505">
        <v>3066</v>
      </c>
      <c r="F35" s="1504">
        <v>1100</v>
      </c>
      <c r="G35" s="1506">
        <f>E35-F35</f>
        <v>1966</v>
      </c>
      <c r="H35" s="1492"/>
    </row>
    <row r="36" spans="2:8" s="1531" customFormat="1" ht="20.100000000000001" customHeight="1" x14ac:dyDescent="0.25">
      <c r="B36" s="1527" t="s">
        <v>1084</v>
      </c>
      <c r="C36" s="1528" t="s">
        <v>1085</v>
      </c>
      <c r="D36" s="1528"/>
      <c r="E36" s="1529">
        <f>SUM(E37:E39)</f>
        <v>5393758</v>
      </c>
      <c r="F36" s="1529">
        <f>SUM(F37:F39)</f>
        <v>3840075</v>
      </c>
      <c r="G36" s="1530">
        <f>SUM(G37:G39)</f>
        <v>1553683</v>
      </c>
      <c r="H36" s="1492"/>
    </row>
    <row r="37" spans="2:8" ht="20.100000000000001" customHeight="1" x14ac:dyDescent="0.25">
      <c r="B37" s="1478"/>
      <c r="C37" s="1479" t="s">
        <v>1086</v>
      </c>
      <c r="D37" s="1479"/>
      <c r="E37" s="1532">
        <v>1024076</v>
      </c>
      <c r="F37" s="1479">
        <v>0</v>
      </c>
      <c r="G37" s="1533">
        <f>E37-F37</f>
        <v>1024076</v>
      </c>
      <c r="H37" s="1492"/>
    </row>
    <row r="38" spans="2:8" ht="20.100000000000001" customHeight="1" x14ac:dyDescent="0.25">
      <c r="B38" s="1534"/>
      <c r="C38" s="1535" t="s">
        <v>1087</v>
      </c>
      <c r="D38" s="1535"/>
      <c r="E38" s="1536">
        <f>4369683-1</f>
        <v>4369682</v>
      </c>
      <c r="F38" s="1535">
        <f>3840074+1</f>
        <v>3840075</v>
      </c>
      <c r="G38" s="1537">
        <f>E38-F38</f>
        <v>529607</v>
      </c>
      <c r="H38" s="1492"/>
    </row>
    <row r="39" spans="2:8" ht="20.100000000000001" customHeight="1" x14ac:dyDescent="0.25">
      <c r="B39" s="1538"/>
      <c r="C39" s="1539" t="s">
        <v>1088</v>
      </c>
      <c r="D39" s="1539"/>
      <c r="E39" s="1540">
        <v>0</v>
      </c>
      <c r="F39" s="1539">
        <v>0</v>
      </c>
      <c r="G39" s="1541">
        <f>E39-F39</f>
        <v>0</v>
      </c>
      <c r="H39" s="1492"/>
    </row>
    <row r="40" spans="2:8" s="1531" customFormat="1" ht="20.100000000000001" customHeight="1" x14ac:dyDescent="0.25">
      <c r="B40" s="1542" t="s">
        <v>771</v>
      </c>
      <c r="C40" s="1543" t="s">
        <v>1089</v>
      </c>
      <c r="D40" s="1543"/>
      <c r="E40" s="1544">
        <v>619</v>
      </c>
      <c r="F40" s="1544">
        <v>619</v>
      </c>
      <c r="G40" s="1545">
        <f>E40-F40</f>
        <v>0</v>
      </c>
      <c r="H40" s="1492"/>
    </row>
    <row r="41" spans="2:8" s="1531" customFormat="1" ht="20.100000000000001" customHeight="1" x14ac:dyDescent="0.25">
      <c r="B41" s="1546" t="s">
        <v>1090</v>
      </c>
      <c r="C41" s="1547" t="s">
        <v>772</v>
      </c>
      <c r="D41" s="1547"/>
      <c r="E41" s="1548">
        <f>SUM(E42:E43)</f>
        <v>1781585</v>
      </c>
      <c r="F41" s="1548">
        <f>SUM(F42:F43)</f>
        <v>0</v>
      </c>
      <c r="G41" s="1549">
        <f>SUM(G42:G43)</f>
        <v>1781585</v>
      </c>
      <c r="H41" s="1492"/>
    </row>
    <row r="42" spans="2:8" ht="20.100000000000001" customHeight="1" x14ac:dyDescent="0.25">
      <c r="B42" s="1534"/>
      <c r="C42" s="1550" t="s">
        <v>1091</v>
      </c>
      <c r="D42" s="1550"/>
      <c r="E42" s="1551">
        <v>763112</v>
      </c>
      <c r="F42" s="1550">
        <v>0</v>
      </c>
      <c r="G42" s="1537">
        <f>E42-F42</f>
        <v>763112</v>
      </c>
      <c r="H42" s="1492"/>
    </row>
    <row r="43" spans="2:8" ht="20.100000000000001" customHeight="1" x14ac:dyDescent="0.25">
      <c r="B43" s="1534"/>
      <c r="C43" s="1550" t="s">
        <v>1092</v>
      </c>
      <c r="D43" s="1550"/>
      <c r="E43" s="1551">
        <v>1018473</v>
      </c>
      <c r="F43" s="1550">
        <v>0</v>
      </c>
      <c r="G43" s="1537">
        <f>E43-F43</f>
        <v>1018473</v>
      </c>
      <c r="H43" s="1492"/>
    </row>
    <row r="44" spans="2:8" s="1531" customFormat="1" ht="20.100000000000001" customHeight="1" thickBot="1" x14ac:dyDescent="0.3">
      <c r="B44" s="1546" t="s">
        <v>1093</v>
      </c>
      <c r="C44" s="1547" t="s">
        <v>1094</v>
      </c>
      <c r="D44" s="1552"/>
      <c r="E44" s="1553">
        <v>0</v>
      </c>
      <c r="F44" s="1552">
        <v>0</v>
      </c>
      <c r="G44" s="1549">
        <f>E44-F44</f>
        <v>0</v>
      </c>
      <c r="H44" s="1492"/>
    </row>
    <row r="45" spans="2:8" s="1559" customFormat="1" ht="20.100000000000001" customHeight="1" thickBot="1" x14ac:dyDescent="0.3">
      <c r="B45" s="1554" t="s">
        <v>782</v>
      </c>
      <c r="C45" s="1555" t="s">
        <v>1095</v>
      </c>
      <c r="D45" s="1556"/>
      <c r="E45" s="1557"/>
      <c r="F45" s="1556"/>
      <c r="G45" s="1558">
        <f>SUM(G46:G48)</f>
        <v>7299516</v>
      </c>
      <c r="H45" s="1492"/>
    </row>
    <row r="46" spans="2:8" s="1565" customFormat="1" ht="20.100000000000001" customHeight="1" x14ac:dyDescent="0.2">
      <c r="B46" s="1560" t="s">
        <v>1096</v>
      </c>
      <c r="C46" s="1561" t="s">
        <v>1097</v>
      </c>
      <c r="D46" s="1562"/>
      <c r="E46" s="1563"/>
      <c r="F46" s="1562"/>
      <c r="G46" s="1564">
        <v>7299516</v>
      </c>
    </row>
    <row r="47" spans="2:8" s="1565" customFormat="1" ht="20.100000000000001" customHeight="1" x14ac:dyDescent="0.2">
      <c r="B47" s="1566" t="s">
        <v>780</v>
      </c>
      <c r="C47" s="1567" t="s">
        <v>1098</v>
      </c>
      <c r="D47" s="1568"/>
      <c r="E47" s="1569"/>
      <c r="F47" s="1568"/>
      <c r="G47" s="1564">
        <v>0</v>
      </c>
    </row>
    <row r="48" spans="2:8" s="1565" customFormat="1" ht="20.100000000000001" customHeight="1" thickBot="1" x14ac:dyDescent="0.25">
      <c r="B48" s="1560" t="s">
        <v>1099</v>
      </c>
      <c r="C48" s="1561" t="s">
        <v>1100</v>
      </c>
      <c r="D48" s="1562"/>
      <c r="E48" s="1563"/>
      <c r="F48" s="1562"/>
      <c r="G48" s="1570">
        <v>0</v>
      </c>
    </row>
    <row r="49" spans="2:8" s="1559" customFormat="1" ht="20.100000000000001" customHeight="1" thickBot="1" x14ac:dyDescent="0.3">
      <c r="B49" s="1554" t="s">
        <v>1101</v>
      </c>
      <c r="C49" s="1555" t="s">
        <v>1102</v>
      </c>
      <c r="D49" s="1556"/>
      <c r="E49" s="1557">
        <f>SUM(E50)</f>
        <v>859540</v>
      </c>
      <c r="F49" s="1557">
        <f t="shared" ref="F49:G49" si="2">SUM(F50)</f>
        <v>48050</v>
      </c>
      <c r="G49" s="1557">
        <f t="shared" si="2"/>
        <v>811490</v>
      </c>
      <c r="H49" s="1492"/>
    </row>
    <row r="50" spans="2:8" ht="20.100000000000001" customHeight="1" thickBot="1" x14ac:dyDescent="0.25">
      <c r="B50" s="1478" t="s">
        <v>1388</v>
      </c>
      <c r="C50" s="1571" t="s">
        <v>1389</v>
      </c>
      <c r="D50" s="1572"/>
      <c r="E50" s="1573">
        <f>859539+1</f>
        <v>859540</v>
      </c>
      <c r="F50" s="1572">
        <v>48050</v>
      </c>
      <c r="G50" s="1533">
        <f>+E50-F50</f>
        <v>811490</v>
      </c>
    </row>
    <row r="51" spans="2:8" s="1559" customFormat="1" ht="20.100000000000001" customHeight="1" thickBot="1" x14ac:dyDescent="0.3">
      <c r="B51" s="1554" t="s">
        <v>1103</v>
      </c>
      <c r="C51" s="1555" t="s">
        <v>1104</v>
      </c>
      <c r="D51" s="1556"/>
      <c r="E51" s="1557" t="s">
        <v>97</v>
      </c>
      <c r="F51" s="1556"/>
      <c r="G51" s="1558">
        <f>SUM(G52:G53)</f>
        <v>20606</v>
      </c>
      <c r="H51" s="1492"/>
    </row>
    <row r="52" spans="2:8" s="1565" customFormat="1" ht="20.100000000000001" customHeight="1" x14ac:dyDescent="0.2">
      <c r="B52" s="1560" t="s">
        <v>789</v>
      </c>
      <c r="C52" s="1561" t="s">
        <v>1105</v>
      </c>
      <c r="D52" s="1562"/>
      <c r="E52" s="1563" t="s">
        <v>97</v>
      </c>
      <c r="F52" s="1562"/>
      <c r="G52" s="1570">
        <v>20606</v>
      </c>
    </row>
    <row r="53" spans="2:8" s="1565" customFormat="1" ht="20.100000000000001" customHeight="1" x14ac:dyDescent="0.2">
      <c r="B53" s="1566" t="s">
        <v>791</v>
      </c>
      <c r="C53" s="1567" t="s">
        <v>790</v>
      </c>
      <c r="D53" s="1568"/>
      <c r="E53" s="1569" t="s">
        <v>97</v>
      </c>
      <c r="F53" s="1568"/>
      <c r="G53" s="1564">
        <v>0</v>
      </c>
    </row>
    <row r="54" spans="2:8" ht="20.100000000000001" customHeight="1" thickBot="1" x14ac:dyDescent="0.25">
      <c r="B54" s="1478"/>
      <c r="C54" s="1479"/>
      <c r="D54" s="1572"/>
      <c r="E54" s="1573"/>
      <c r="F54" s="1572"/>
      <c r="G54" s="1533"/>
    </row>
    <row r="55" spans="2:8" s="1559" customFormat="1" ht="20.100000000000001" customHeight="1" thickBot="1" x14ac:dyDescent="0.3">
      <c r="B55" s="1554" t="s">
        <v>805</v>
      </c>
      <c r="C55" s="1555" t="s">
        <v>1106</v>
      </c>
      <c r="D55" s="1556"/>
      <c r="E55" s="1557"/>
      <c r="F55" s="1556"/>
      <c r="G55" s="1558">
        <f>SUM(G56:G59)</f>
        <v>9059029</v>
      </c>
      <c r="H55" s="1492"/>
    </row>
    <row r="56" spans="2:8" s="1565" customFormat="1" ht="20.100000000000001" customHeight="1" x14ac:dyDescent="0.2">
      <c r="B56" s="1560" t="s">
        <v>797</v>
      </c>
      <c r="C56" s="1561" t="s">
        <v>796</v>
      </c>
      <c r="D56" s="1562"/>
      <c r="E56" s="1563"/>
      <c r="F56" s="1562"/>
      <c r="G56" s="1574">
        <v>0</v>
      </c>
    </row>
    <row r="57" spans="2:8" s="1565" customFormat="1" ht="20.100000000000001" customHeight="1" x14ac:dyDescent="0.2">
      <c r="B57" s="1566" t="s">
        <v>799</v>
      </c>
      <c r="C57" s="1567" t="s">
        <v>798</v>
      </c>
      <c r="D57" s="1568"/>
      <c r="E57" s="1569"/>
      <c r="F57" s="1568"/>
      <c r="G57" s="1575">
        <v>1169</v>
      </c>
    </row>
    <row r="58" spans="2:8" s="1565" customFormat="1" ht="20.100000000000001" customHeight="1" x14ac:dyDescent="0.2">
      <c r="B58" s="1560" t="s">
        <v>801</v>
      </c>
      <c r="C58" s="1561" t="s">
        <v>800</v>
      </c>
      <c r="D58" s="1562"/>
      <c r="E58" s="1563"/>
      <c r="F58" s="1562"/>
      <c r="G58" s="1574">
        <v>9053484</v>
      </c>
    </row>
    <row r="59" spans="2:8" s="1565" customFormat="1" ht="20.100000000000001" customHeight="1" x14ac:dyDescent="0.2">
      <c r="B59" s="1566" t="s">
        <v>1107</v>
      </c>
      <c r="C59" s="1567" t="s">
        <v>802</v>
      </c>
      <c r="D59" s="1568"/>
      <c r="E59" s="1569"/>
      <c r="F59" s="1568"/>
      <c r="G59" s="1575">
        <v>4376</v>
      </c>
    </row>
    <row r="60" spans="2:8" ht="20.100000000000001" customHeight="1" thickBot="1" x14ac:dyDescent="0.25">
      <c r="B60" s="1478"/>
      <c r="C60" s="1479"/>
      <c r="D60" s="1572"/>
      <c r="E60" s="1573"/>
      <c r="F60" s="1572"/>
      <c r="G60" s="1533"/>
    </row>
    <row r="61" spans="2:8" s="1559" customFormat="1" ht="20.100000000000001" customHeight="1" thickBot="1" x14ac:dyDescent="0.3">
      <c r="B61" s="1554" t="s">
        <v>813</v>
      </c>
      <c r="C61" s="1555" t="s">
        <v>1108</v>
      </c>
      <c r="D61" s="1556"/>
      <c r="E61" s="1557"/>
      <c r="F61" s="1556"/>
      <c r="G61" s="1558">
        <f>SUM(G62:G64)</f>
        <v>1371354</v>
      </c>
      <c r="H61" s="1492"/>
    </row>
    <row r="62" spans="2:8" s="1565" customFormat="1" ht="20.100000000000001" customHeight="1" x14ac:dyDescent="0.2">
      <c r="B62" s="1560" t="s">
        <v>807</v>
      </c>
      <c r="C62" s="1561" t="s">
        <v>806</v>
      </c>
      <c r="D62" s="1576"/>
      <c r="E62" s="1577"/>
      <c r="F62" s="1576"/>
      <c r="G62" s="1570">
        <v>1056339</v>
      </c>
    </row>
    <row r="63" spans="2:8" s="1565" customFormat="1" ht="20.100000000000001" customHeight="1" x14ac:dyDescent="0.2">
      <c r="B63" s="1566" t="s">
        <v>809</v>
      </c>
      <c r="C63" s="1567" t="s">
        <v>808</v>
      </c>
      <c r="D63" s="1578"/>
      <c r="E63" s="1579"/>
      <c r="F63" s="1578"/>
      <c r="G63" s="1564">
        <v>141195</v>
      </c>
    </row>
    <row r="64" spans="2:8" s="1565" customFormat="1" ht="20.100000000000001" customHeight="1" x14ac:dyDescent="0.2">
      <c r="B64" s="1566" t="s">
        <v>811</v>
      </c>
      <c r="C64" s="1567" t="s">
        <v>810</v>
      </c>
      <c r="D64" s="1578"/>
      <c r="E64" s="1579"/>
      <c r="F64" s="1578"/>
      <c r="G64" s="1564">
        <v>173820</v>
      </c>
    </row>
    <row r="65" spans="2:8" s="1585" customFormat="1" ht="20.100000000000001" customHeight="1" thickBot="1" x14ac:dyDescent="0.3">
      <c r="B65" s="1580"/>
      <c r="C65" s="1581"/>
      <c r="D65" s="1582"/>
      <c r="E65" s="1583"/>
      <c r="F65" s="1582"/>
      <c r="G65" s="1584"/>
    </row>
    <row r="66" spans="2:8" s="1559" customFormat="1" ht="20.100000000000001" customHeight="1" thickBot="1" x14ac:dyDescent="0.3">
      <c r="B66" s="1554" t="s">
        <v>815</v>
      </c>
      <c r="C66" s="1555" t="s">
        <v>1109</v>
      </c>
      <c r="D66" s="1556"/>
      <c r="E66" s="1557"/>
      <c r="F66" s="1556"/>
      <c r="G66" s="1558">
        <v>-52224</v>
      </c>
      <c r="H66" s="1492"/>
    </row>
    <row r="67" spans="2:8" s="1585" customFormat="1" ht="20.100000000000001" customHeight="1" thickBot="1" x14ac:dyDescent="0.3">
      <c r="B67" s="1580"/>
      <c r="C67" s="1581"/>
      <c r="D67" s="1582"/>
      <c r="E67" s="1583"/>
      <c r="F67" s="1582"/>
      <c r="G67" s="1584"/>
    </row>
    <row r="68" spans="2:8" s="1559" customFormat="1" ht="20.100000000000001" customHeight="1" thickBot="1" x14ac:dyDescent="0.3">
      <c r="B68" s="1554" t="s">
        <v>1110</v>
      </c>
      <c r="C68" s="1555" t="s">
        <v>1111</v>
      </c>
      <c r="D68" s="1556"/>
      <c r="E68" s="1557"/>
      <c r="F68" s="1556"/>
      <c r="G68" s="1558">
        <v>399330</v>
      </c>
      <c r="H68" s="1492"/>
    </row>
    <row r="69" spans="2:8" ht="20.100000000000001" customHeight="1" thickBot="1" x14ac:dyDescent="0.25">
      <c r="B69" s="1586"/>
      <c r="C69" s="1479"/>
      <c r="D69" s="1572"/>
      <c r="E69" s="1572"/>
      <c r="F69" s="1572"/>
      <c r="G69" s="1479"/>
    </row>
    <row r="70" spans="2:8" s="1559" customFormat="1" ht="20.100000000000001" customHeight="1" thickBot="1" x14ac:dyDescent="0.3">
      <c r="B70" s="1587" t="s">
        <v>827</v>
      </c>
      <c r="C70" s="1555"/>
      <c r="D70" s="1556"/>
      <c r="E70" s="1557"/>
      <c r="F70" s="1556"/>
      <c r="G70" s="1558"/>
      <c r="H70" s="1492"/>
    </row>
    <row r="71" spans="2:8" s="1593" customFormat="1" ht="20.100000000000001" customHeight="1" thickBot="1" x14ac:dyDescent="0.35">
      <c r="B71" s="1588" t="s">
        <v>1112</v>
      </c>
      <c r="C71" s="1589" t="s">
        <v>1113</v>
      </c>
      <c r="D71" s="1590"/>
      <c r="E71" s="1591"/>
      <c r="F71" s="1590"/>
      <c r="G71" s="1592">
        <f>SUM(G72:G77)</f>
        <v>74803825</v>
      </c>
    </row>
    <row r="72" spans="2:8" s="1565" customFormat="1" ht="20.100000000000001" customHeight="1" x14ac:dyDescent="0.2">
      <c r="B72" s="1566" t="s">
        <v>829</v>
      </c>
      <c r="C72" s="1567" t="s">
        <v>828</v>
      </c>
      <c r="D72" s="1578"/>
      <c r="E72" s="1579"/>
      <c r="F72" s="1578"/>
      <c r="G72" s="1564">
        <v>98490251</v>
      </c>
    </row>
    <row r="73" spans="2:8" s="1565" customFormat="1" ht="20.100000000000001" customHeight="1" x14ac:dyDescent="0.2">
      <c r="B73" s="1566" t="s">
        <v>831</v>
      </c>
      <c r="C73" s="1567" t="s">
        <v>830</v>
      </c>
      <c r="D73" s="1578"/>
      <c r="E73" s="1579"/>
      <c r="F73" s="1578"/>
      <c r="G73" s="1564">
        <v>-2489899</v>
      </c>
    </row>
    <row r="74" spans="2:8" s="1565" customFormat="1" ht="20.100000000000001" customHeight="1" x14ac:dyDescent="0.2">
      <c r="B74" s="1566" t="s">
        <v>833</v>
      </c>
      <c r="C74" s="1567" t="s">
        <v>832</v>
      </c>
      <c r="D74" s="1578"/>
      <c r="E74" s="1579"/>
      <c r="F74" s="1578"/>
      <c r="G74" s="1564">
        <v>921142</v>
      </c>
    </row>
    <row r="75" spans="2:8" s="1565" customFormat="1" ht="20.100000000000001" customHeight="1" x14ac:dyDescent="0.2">
      <c r="B75" s="1566" t="s">
        <v>835</v>
      </c>
      <c r="C75" s="1567" t="s">
        <v>834</v>
      </c>
      <c r="D75" s="1578"/>
      <c r="E75" s="1579"/>
      <c r="F75" s="1578"/>
      <c r="G75" s="1564">
        <v>-21256336</v>
      </c>
    </row>
    <row r="76" spans="2:8" s="1565" customFormat="1" ht="20.100000000000001" customHeight="1" x14ac:dyDescent="0.2">
      <c r="B76" s="1566" t="s">
        <v>837</v>
      </c>
      <c r="C76" s="1567" t="s">
        <v>836</v>
      </c>
      <c r="D76" s="1578"/>
      <c r="E76" s="1579"/>
      <c r="F76" s="1578"/>
      <c r="G76" s="1564">
        <v>0</v>
      </c>
    </row>
    <row r="77" spans="2:8" s="1565" customFormat="1" ht="20.100000000000001" customHeight="1" thickBot="1" x14ac:dyDescent="0.25">
      <c r="B77" s="1566" t="s">
        <v>839</v>
      </c>
      <c r="C77" s="1567" t="s">
        <v>838</v>
      </c>
      <c r="D77" s="1578"/>
      <c r="E77" s="1579"/>
      <c r="F77" s="1578"/>
      <c r="G77" s="1564">
        <v>-861333</v>
      </c>
    </row>
    <row r="78" spans="2:8" s="1593" customFormat="1" ht="20.100000000000001" customHeight="1" thickBot="1" x14ac:dyDescent="0.35">
      <c r="B78" s="1588" t="s">
        <v>1114</v>
      </c>
      <c r="C78" s="1589" t="s">
        <v>1115</v>
      </c>
      <c r="D78" s="1590"/>
      <c r="E78" s="1591"/>
      <c r="F78" s="1590"/>
      <c r="G78" s="1592">
        <f>SUM(G79:G81)</f>
        <v>1092477</v>
      </c>
    </row>
    <row r="79" spans="2:8" ht="20.100000000000001" customHeight="1" x14ac:dyDescent="0.2">
      <c r="B79" s="1478" t="s">
        <v>844</v>
      </c>
      <c r="C79" s="1479" t="s">
        <v>1116</v>
      </c>
      <c r="D79" s="1572"/>
      <c r="E79" s="1573"/>
      <c r="F79" s="1572"/>
      <c r="G79" s="1533">
        <v>527365</v>
      </c>
    </row>
    <row r="80" spans="2:8" ht="20.100000000000001" customHeight="1" x14ac:dyDescent="0.2">
      <c r="B80" s="1534" t="s">
        <v>846</v>
      </c>
      <c r="C80" s="1535" t="s">
        <v>1117</v>
      </c>
      <c r="D80" s="1550"/>
      <c r="E80" s="1551"/>
      <c r="F80" s="1550"/>
      <c r="G80" s="1537">
        <v>110632</v>
      </c>
    </row>
    <row r="81" spans="2:7" ht="20.100000000000001" customHeight="1" x14ac:dyDescent="0.2">
      <c r="B81" s="1534" t="s">
        <v>848</v>
      </c>
      <c r="C81" s="1535" t="s">
        <v>847</v>
      </c>
      <c r="D81" s="1550"/>
      <c r="E81" s="1551"/>
      <c r="F81" s="1550"/>
      <c r="G81" s="1537">
        <v>454480</v>
      </c>
    </row>
    <row r="82" spans="2:7" ht="20.100000000000001" customHeight="1" thickBot="1" x14ac:dyDescent="0.25">
      <c r="B82" s="1478"/>
      <c r="C82" s="1479"/>
      <c r="D82" s="1572"/>
      <c r="E82" s="1573"/>
      <c r="F82" s="1572"/>
      <c r="G82" s="1533"/>
    </row>
    <row r="83" spans="2:7" s="1593" customFormat="1" ht="20.100000000000001" customHeight="1" thickBot="1" x14ac:dyDescent="0.35">
      <c r="B83" s="1588" t="s">
        <v>1118</v>
      </c>
      <c r="C83" s="1589" t="s">
        <v>1119</v>
      </c>
      <c r="D83" s="1590"/>
      <c r="E83" s="1591"/>
      <c r="F83" s="1590"/>
      <c r="G83" s="1592">
        <v>0</v>
      </c>
    </row>
    <row r="84" spans="2:7" ht="20.100000000000001" customHeight="1" thickBot="1" x14ac:dyDescent="0.25">
      <c r="B84" s="1478"/>
      <c r="C84" s="1479"/>
      <c r="D84" s="1572"/>
      <c r="E84" s="1573"/>
      <c r="F84" s="1572"/>
      <c r="G84" s="1533"/>
    </row>
    <row r="85" spans="2:7" s="1593" customFormat="1" ht="20.100000000000001" customHeight="1" thickBot="1" x14ac:dyDescent="0.35">
      <c r="B85" s="1588" t="s">
        <v>1120</v>
      </c>
      <c r="C85" s="1589" t="s">
        <v>1121</v>
      </c>
      <c r="D85" s="1590"/>
      <c r="E85" s="1591"/>
      <c r="F85" s="1590"/>
      <c r="G85" s="1592">
        <v>11682453</v>
      </c>
    </row>
    <row r="86" spans="2:7" ht="20.100000000000001" customHeight="1" x14ac:dyDescent="0.2">
      <c r="B86" s="1594"/>
      <c r="C86" s="1595"/>
      <c r="D86" s="1596"/>
      <c r="E86" s="1597"/>
      <c r="F86" s="1596"/>
      <c r="G86" s="1598"/>
    </row>
    <row r="87" spans="2:7" s="1603" customFormat="1" ht="20.100000000000001" customHeight="1" x14ac:dyDescent="0.25">
      <c r="B87" s="1599" t="s">
        <v>1122</v>
      </c>
      <c r="C87" s="1600"/>
      <c r="D87" s="1600"/>
      <c r="E87" s="1601"/>
      <c r="F87" s="1600"/>
      <c r="G87" s="1602"/>
    </row>
    <row r="88" spans="2:7" s="1522" customFormat="1" ht="20.100000000000001" customHeight="1" x14ac:dyDescent="0.25">
      <c r="B88" s="1616"/>
      <c r="C88" s="1617" t="s">
        <v>1123</v>
      </c>
      <c r="D88" s="1617"/>
      <c r="E88" s="1606">
        <f>SUM(E89:E92)</f>
        <v>3582258</v>
      </c>
      <c r="F88" s="1606">
        <f>SUM(F89:F92)</f>
        <v>3582258</v>
      </c>
      <c r="G88" s="1607">
        <f>SUM(G89:G92)</f>
        <v>0</v>
      </c>
    </row>
    <row r="89" spans="2:7" s="1613" customFormat="1" ht="20.100000000000001" customHeight="1" x14ac:dyDescent="0.2">
      <c r="B89" s="1614"/>
      <c r="C89" s="1615" t="s">
        <v>1063</v>
      </c>
      <c r="D89" s="1615"/>
      <c r="E89" s="1604">
        <v>582287</v>
      </c>
      <c r="F89" s="1604">
        <v>582287</v>
      </c>
      <c r="G89" s="1608">
        <f>+E89-F89</f>
        <v>0</v>
      </c>
    </row>
    <row r="90" spans="2:7" s="1613" customFormat="1" ht="20.100000000000001" customHeight="1" x14ac:dyDescent="0.2">
      <c r="B90" s="1610"/>
      <c r="C90" s="1611" t="s">
        <v>1124</v>
      </c>
      <c r="D90" s="1611"/>
      <c r="E90" s="1605">
        <v>165552</v>
      </c>
      <c r="F90" s="1605">
        <v>165552</v>
      </c>
      <c r="G90" s="1608">
        <f>+E90-F90</f>
        <v>0</v>
      </c>
    </row>
    <row r="91" spans="2:7" s="1613" customFormat="1" ht="20.100000000000001" customHeight="1" x14ac:dyDescent="0.2">
      <c r="B91" s="1614"/>
      <c r="C91" s="1615" t="s">
        <v>1125</v>
      </c>
      <c r="D91" s="1615"/>
      <c r="E91" s="1604">
        <v>2833900</v>
      </c>
      <c r="F91" s="1604">
        <v>2833900</v>
      </c>
      <c r="G91" s="1608">
        <f>+E91-F91</f>
        <v>0</v>
      </c>
    </row>
    <row r="92" spans="2:7" s="1613" customFormat="1" ht="19.5" customHeight="1" x14ac:dyDescent="0.2">
      <c r="B92" s="1614"/>
      <c r="C92" s="1615" t="s">
        <v>770</v>
      </c>
      <c r="D92" s="1615"/>
      <c r="E92" s="1604">
        <v>519</v>
      </c>
      <c r="F92" s="1604">
        <v>519</v>
      </c>
      <c r="G92" s="1608">
        <f>+E92-F92</f>
        <v>0</v>
      </c>
    </row>
    <row r="93" spans="2:7" s="1497" customFormat="1" ht="19.5" customHeight="1" x14ac:dyDescent="0.25">
      <c r="B93" s="1493"/>
      <c r="C93" s="1504"/>
      <c r="D93" s="1494"/>
      <c r="E93" s="1505"/>
      <c r="F93" s="1494"/>
      <c r="G93" s="1496"/>
    </row>
    <row r="94" spans="2:7" s="1522" customFormat="1" ht="20.100000000000001" customHeight="1" x14ac:dyDescent="0.25">
      <c r="B94" s="1616"/>
      <c r="C94" s="1617" t="s">
        <v>1126</v>
      </c>
      <c r="D94" s="1617"/>
      <c r="E94" s="1606">
        <f>SUM(E95:E97)</f>
        <v>268074</v>
      </c>
      <c r="F94" s="1606">
        <f>SUM(F95:F97)</f>
        <v>268074</v>
      </c>
      <c r="G94" s="1607">
        <f>SUM(G95:G97)</f>
        <v>0</v>
      </c>
    </row>
    <row r="95" spans="2:7" s="1497" customFormat="1" ht="19.5" customHeight="1" x14ac:dyDescent="0.25">
      <c r="B95" s="1507"/>
      <c r="C95" s="1499" t="s">
        <v>1127</v>
      </c>
      <c r="D95" s="1508"/>
      <c r="E95" s="1500">
        <v>15539</v>
      </c>
      <c r="F95" s="1615">
        <v>15539</v>
      </c>
      <c r="G95" s="1608">
        <f>+E95-F95</f>
        <v>0</v>
      </c>
    </row>
    <row r="96" spans="2:7" s="1497" customFormat="1" ht="20.100000000000001" customHeight="1" x14ac:dyDescent="0.25">
      <c r="B96" s="1493"/>
      <c r="C96" s="1504" t="s">
        <v>1128</v>
      </c>
      <c r="D96" s="1494"/>
      <c r="E96" s="1505">
        <v>0</v>
      </c>
      <c r="F96" s="1611">
        <v>0</v>
      </c>
      <c r="G96" s="1608">
        <f>+E96-F96</f>
        <v>0</v>
      </c>
    </row>
    <row r="97" spans="2:7" s="1497" customFormat="1" ht="20.100000000000001" customHeight="1" x14ac:dyDescent="0.25">
      <c r="B97" s="1507"/>
      <c r="C97" s="1499" t="s">
        <v>1129</v>
      </c>
      <c r="D97" s="1508"/>
      <c r="E97" s="1500">
        <v>252535</v>
      </c>
      <c r="F97" s="1615">
        <v>252535</v>
      </c>
      <c r="G97" s="1608">
        <f>+E97-F97</f>
        <v>0</v>
      </c>
    </row>
    <row r="98" spans="2:7" s="1502" customFormat="1" ht="20.100000000000001" customHeight="1" x14ac:dyDescent="0.2">
      <c r="B98" s="1503"/>
      <c r="C98" s="1504"/>
      <c r="D98" s="1504"/>
      <c r="E98" s="1505"/>
      <c r="F98" s="1504"/>
      <c r="G98" s="1506"/>
    </row>
    <row r="99" spans="2:7" s="1516" customFormat="1" ht="20.100000000000001" customHeight="1" x14ac:dyDescent="0.25">
      <c r="B99" s="1609"/>
      <c r="C99" s="1519" t="s">
        <v>1130</v>
      </c>
      <c r="D99" s="2154"/>
      <c r="E99" s="2155">
        <f>SUM(E100:E105)</f>
        <v>9765591</v>
      </c>
      <c r="F99" s="2155">
        <f t="shared" ref="F99:G99" si="3">SUM(F100:F105)</f>
        <v>4211902</v>
      </c>
      <c r="G99" s="2155">
        <f t="shared" si="3"/>
        <v>5553689</v>
      </c>
    </row>
    <row r="100" spans="2:7" s="2160" customFormat="1" ht="33" customHeight="1" x14ac:dyDescent="0.2">
      <c r="B100" s="2156"/>
      <c r="C100" s="2787" t="s">
        <v>1391</v>
      </c>
      <c r="D100" s="2788"/>
      <c r="E100" s="2157">
        <v>108127</v>
      </c>
      <c r="F100" s="2158">
        <v>34794</v>
      </c>
      <c r="G100" s="2159">
        <f t="shared" ref="G100:G105" si="4">+E100-F100</f>
        <v>73333</v>
      </c>
    </row>
    <row r="101" spans="2:7" s="1613" customFormat="1" ht="33" customHeight="1" x14ac:dyDescent="0.2">
      <c r="B101" s="1610"/>
      <c r="C101" s="2785" t="s">
        <v>1390</v>
      </c>
      <c r="D101" s="2786"/>
      <c r="E101" s="1605">
        <v>4438039</v>
      </c>
      <c r="F101" s="1611">
        <f>1463292</f>
        <v>1463292</v>
      </c>
      <c r="G101" s="1612">
        <f t="shared" si="4"/>
        <v>2974747</v>
      </c>
    </row>
    <row r="102" spans="2:7" s="1613" customFormat="1" ht="33" customHeight="1" x14ac:dyDescent="0.2">
      <c r="B102" s="1614"/>
      <c r="C102" s="2776" t="s">
        <v>1131</v>
      </c>
      <c r="D102" s="2658"/>
      <c r="E102" s="1604">
        <v>2439372</v>
      </c>
      <c r="F102" s="1615">
        <f>1339259-1</f>
        <v>1339258</v>
      </c>
      <c r="G102" s="1608">
        <f t="shared" si="4"/>
        <v>1100114</v>
      </c>
    </row>
    <row r="103" spans="2:7" s="1613" customFormat="1" ht="33" customHeight="1" x14ac:dyDescent="0.2">
      <c r="B103" s="1614"/>
      <c r="C103" s="2776" t="s">
        <v>1132</v>
      </c>
      <c r="D103" s="2658"/>
      <c r="E103" s="1604">
        <v>1730658</v>
      </c>
      <c r="F103" s="1615">
        <v>757198</v>
      </c>
      <c r="G103" s="1608">
        <f t="shared" si="4"/>
        <v>973460</v>
      </c>
    </row>
    <row r="104" spans="2:7" s="1613" customFormat="1" ht="33" customHeight="1" x14ac:dyDescent="0.2">
      <c r="B104" s="1614"/>
      <c r="C104" s="2776" t="s">
        <v>1133</v>
      </c>
      <c r="D104" s="2658"/>
      <c r="E104" s="1604">
        <v>585516</v>
      </c>
      <c r="F104" s="1615">
        <v>351830</v>
      </c>
      <c r="G104" s="1608">
        <f t="shared" si="4"/>
        <v>233686</v>
      </c>
    </row>
    <row r="105" spans="2:7" s="1613" customFormat="1" ht="33" customHeight="1" x14ac:dyDescent="0.2">
      <c r="B105" s="1614"/>
      <c r="C105" s="2776" t="s">
        <v>1134</v>
      </c>
      <c r="D105" s="2658"/>
      <c r="E105" s="1604">
        <v>463879</v>
      </c>
      <c r="F105" s="1615">
        <v>265530</v>
      </c>
      <c r="G105" s="1608">
        <f t="shared" si="4"/>
        <v>198349</v>
      </c>
    </row>
    <row r="106" spans="2:7" s="1522" customFormat="1" ht="20.100000000000001" customHeight="1" x14ac:dyDescent="0.25">
      <c r="B106" s="1616"/>
      <c r="C106" s="1617"/>
      <c r="D106" s="1617"/>
      <c r="E106" s="1606"/>
      <c r="F106" s="1617"/>
      <c r="G106" s="1607"/>
    </row>
    <row r="107" spans="2:7" s="1516" customFormat="1" ht="20.100000000000001" customHeight="1" x14ac:dyDescent="0.25">
      <c r="B107" s="1618"/>
      <c r="C107" s="1617" t="s">
        <v>1135</v>
      </c>
      <c r="D107" s="1513"/>
      <c r="E107" s="1514"/>
      <c r="F107" s="1514"/>
      <c r="G107" s="1515"/>
    </row>
    <row r="108" spans="2:7" s="1516" customFormat="1" ht="20.100000000000001" customHeight="1" x14ac:dyDescent="0.25">
      <c r="B108" s="1609"/>
      <c r="C108" s="2777" t="s">
        <v>1136</v>
      </c>
      <c r="D108" s="2778"/>
      <c r="E108" s="1619">
        <v>0</v>
      </c>
      <c r="F108" s="1620">
        <v>0</v>
      </c>
      <c r="G108" s="1621">
        <v>0</v>
      </c>
    </row>
    <row r="109" spans="2:7" s="1585" customFormat="1" ht="22.5" customHeight="1" thickBot="1" x14ac:dyDescent="0.3">
      <c r="B109" s="1622"/>
      <c r="C109" s="2779" t="s">
        <v>1137</v>
      </c>
      <c r="D109" s="2780"/>
      <c r="E109" s="1623">
        <v>0</v>
      </c>
      <c r="F109" s="1624">
        <v>0</v>
      </c>
      <c r="G109" s="1625">
        <v>6088498</v>
      </c>
    </row>
  </sheetData>
  <mergeCells count="10">
    <mergeCell ref="C105:D105"/>
    <mergeCell ref="C108:D108"/>
    <mergeCell ref="C109:D109"/>
    <mergeCell ref="B5:G5"/>
    <mergeCell ref="E7:G7"/>
    <mergeCell ref="C101:D101"/>
    <mergeCell ref="C102:D102"/>
    <mergeCell ref="C103:D103"/>
    <mergeCell ref="C104:D104"/>
    <mergeCell ref="C100:D100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landscape" verticalDpi="300" r:id="rId1"/>
  <headerFooter alignWithMargins="0">
    <oddHeader>&amp;R&amp;"Arial CE,Normál"&amp;14 &amp;"Arial CE,Félkövér"28. melléklet a …../2018. (…….) önkormányzati rendelethez</oddHeader>
  </headerFooter>
  <rowBreaks count="2" manualBreakCount="2">
    <brk id="39" min="1" max="6" man="1"/>
    <brk id="69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G287"/>
  <sheetViews>
    <sheetView zoomScale="65" zoomScaleNormal="65" workbookViewId="0">
      <selection activeCell="D3" sqref="D3"/>
    </sheetView>
  </sheetViews>
  <sheetFormatPr defaultColWidth="12" defaultRowHeight="27.75" x14ac:dyDescent="0.4"/>
  <cols>
    <col min="1" max="1" width="12" style="1628"/>
    <col min="2" max="2" width="113" style="1634" customWidth="1"/>
    <col min="3" max="3" width="143.6640625" style="1688" customWidth="1"/>
    <col min="4" max="4" width="46.5" style="1689" customWidth="1"/>
    <col min="5" max="5" width="12" style="1628"/>
    <col min="6" max="6" width="36.1640625" style="1629" customWidth="1"/>
    <col min="7" max="7" width="39.6640625" style="1628" customWidth="1"/>
    <col min="8" max="8" width="35.1640625" style="1628" bestFit="1" customWidth="1"/>
    <col min="9" max="9" width="30.33203125" style="1628" customWidth="1"/>
    <col min="10" max="16384" width="12" style="1628"/>
  </cols>
  <sheetData>
    <row r="1" spans="2:7" ht="33.75" customHeight="1" x14ac:dyDescent="0.35">
      <c r="C1" s="1626"/>
      <c r="D1" s="1627"/>
    </row>
    <row r="2" spans="2:7" ht="33.75" customHeight="1" x14ac:dyDescent="0.35">
      <c r="B2" s="2266"/>
      <c r="C2" s="1626"/>
      <c r="D2" s="1627"/>
    </row>
    <row r="3" spans="2:7" s="1630" customFormat="1" ht="33.75" customHeight="1" x14ac:dyDescent="0.5">
      <c r="B3" s="2266"/>
      <c r="C3" s="1626"/>
      <c r="D3" s="1626"/>
      <c r="F3" s="1631"/>
    </row>
    <row r="4" spans="2:7" s="1632" customFormat="1" ht="33.75" customHeight="1" x14ac:dyDescent="0.5">
      <c r="B4" s="2789" t="s">
        <v>702</v>
      </c>
      <c r="C4" s="2789"/>
      <c r="D4" s="2789"/>
      <c r="F4" s="1633"/>
    </row>
    <row r="5" spans="2:7" ht="33.75" customHeight="1" x14ac:dyDescent="0.5">
      <c r="B5" s="2789" t="s">
        <v>1405</v>
      </c>
      <c r="C5" s="2789"/>
      <c r="D5" s="2789"/>
    </row>
    <row r="6" spans="2:7" s="1636" customFormat="1" ht="33.75" customHeight="1" thickBot="1" x14ac:dyDescent="0.45">
      <c r="B6" s="1634"/>
      <c r="C6" s="1688"/>
      <c r="D6" s="1688"/>
      <c r="F6" s="1637"/>
    </row>
    <row r="7" spans="2:7" s="2287" customFormat="1" ht="33.75" customHeight="1" x14ac:dyDescent="0.4">
      <c r="B7" s="1635" t="s">
        <v>1138</v>
      </c>
      <c r="C7" s="2285" t="s">
        <v>1139</v>
      </c>
      <c r="D7" s="2286" t="s">
        <v>1140</v>
      </c>
    </row>
    <row r="8" spans="2:7" s="2287" customFormat="1" ht="33.75" customHeight="1" x14ac:dyDescent="0.4">
      <c r="B8" s="1638"/>
      <c r="C8" s="2288"/>
      <c r="D8" s="2289" t="s">
        <v>32</v>
      </c>
    </row>
    <row r="9" spans="2:7" s="1636" customFormat="1" ht="33.75" customHeight="1" x14ac:dyDescent="0.4">
      <c r="B9" s="1638"/>
      <c r="C9" s="1693"/>
      <c r="D9" s="2251"/>
      <c r="F9" s="1637"/>
    </row>
    <row r="10" spans="2:7" s="1636" customFormat="1" ht="33.75" customHeight="1" thickBot="1" x14ac:dyDescent="0.45">
      <c r="B10" s="1639"/>
      <c r="C10" s="2252"/>
      <c r="D10" s="2253"/>
      <c r="F10" s="1637"/>
    </row>
    <row r="11" spans="2:7" ht="33.75" customHeight="1" x14ac:dyDescent="0.35">
      <c r="B11" s="1635"/>
      <c r="C11" s="2254"/>
      <c r="D11" s="2255"/>
    </row>
    <row r="12" spans="2:7" ht="33.75" customHeight="1" thickBot="1" x14ac:dyDescent="0.45">
      <c r="B12" s="2267" t="s">
        <v>1141</v>
      </c>
      <c r="C12" s="2256"/>
      <c r="D12" s="2257"/>
      <c r="F12" s="1643" t="s">
        <v>97</v>
      </c>
      <c r="G12" s="1643" t="s">
        <v>97</v>
      </c>
    </row>
    <row r="13" spans="2:7" ht="33.75" customHeight="1" x14ac:dyDescent="0.35">
      <c r="B13" s="1640" t="s">
        <v>1145</v>
      </c>
      <c r="C13" s="2290" t="s">
        <v>1406</v>
      </c>
      <c r="D13" s="1642">
        <v>3210.0770000000002</v>
      </c>
      <c r="F13" s="1643"/>
      <c r="G13" s="1643"/>
    </row>
    <row r="14" spans="2:7" ht="33.75" customHeight="1" x14ac:dyDescent="0.35">
      <c r="B14" s="1640"/>
      <c r="C14" s="2291" t="s">
        <v>1407</v>
      </c>
      <c r="D14" s="2292">
        <v>882.06799999999998</v>
      </c>
      <c r="F14" s="1643"/>
      <c r="G14" s="1643"/>
    </row>
    <row r="15" spans="2:7" ht="33.75" customHeight="1" thickBot="1" x14ac:dyDescent="0.4">
      <c r="B15" s="1646"/>
      <c r="C15" s="2293" t="s">
        <v>1408</v>
      </c>
      <c r="D15" s="2294">
        <v>93.4</v>
      </c>
      <c r="F15" s="1643"/>
      <c r="G15" s="1643"/>
    </row>
    <row r="16" spans="2:7" ht="33.75" customHeight="1" x14ac:dyDescent="0.35">
      <c r="B16" s="1649" t="s">
        <v>1142</v>
      </c>
      <c r="C16" s="2290" t="s">
        <v>1409</v>
      </c>
      <c r="D16" s="1650">
        <v>304.8</v>
      </c>
      <c r="F16" s="1643"/>
      <c r="G16" s="1643"/>
    </row>
    <row r="17" spans="2:7" ht="33.75" customHeight="1" x14ac:dyDescent="0.35">
      <c r="B17" s="1651"/>
      <c r="C17" s="2291" t="s">
        <v>1410</v>
      </c>
      <c r="D17" s="1642">
        <v>132.715</v>
      </c>
      <c r="F17" s="1643"/>
      <c r="G17" s="1643"/>
    </row>
    <row r="18" spans="2:7" ht="33.75" customHeight="1" thickBot="1" x14ac:dyDescent="0.4">
      <c r="B18" s="1651"/>
      <c r="C18" s="2293" t="s">
        <v>1411</v>
      </c>
      <c r="D18" s="1648">
        <v>509</v>
      </c>
      <c r="F18" s="1643"/>
      <c r="G18" s="1643"/>
    </row>
    <row r="19" spans="2:7" ht="33.75" customHeight="1" x14ac:dyDescent="0.35">
      <c r="B19" s="1649" t="s">
        <v>1148</v>
      </c>
      <c r="C19" s="2290" t="s">
        <v>1412</v>
      </c>
      <c r="D19" s="1650">
        <v>178.30799999999999</v>
      </c>
      <c r="F19" s="1643"/>
      <c r="G19" s="1643"/>
    </row>
    <row r="20" spans="2:7" ht="33.75" customHeight="1" x14ac:dyDescent="0.35">
      <c r="B20" s="1654"/>
      <c r="C20" s="2290" t="s">
        <v>1413</v>
      </c>
      <c r="D20" s="1642">
        <v>301.75200000000001</v>
      </c>
      <c r="F20" s="1643"/>
      <c r="G20" s="1643"/>
    </row>
    <row r="21" spans="2:7" ht="33.75" customHeight="1" thickBot="1" x14ac:dyDescent="0.4">
      <c r="B21" s="1654"/>
      <c r="C21" s="2293" t="s">
        <v>1414</v>
      </c>
      <c r="D21" s="1648">
        <v>1026.652</v>
      </c>
      <c r="F21" s="1643"/>
      <c r="G21" s="1643"/>
    </row>
    <row r="22" spans="2:7" ht="33.75" customHeight="1" x14ac:dyDescent="0.35">
      <c r="B22" s="2268" t="s">
        <v>1147</v>
      </c>
      <c r="C22" s="2290" t="s">
        <v>1415</v>
      </c>
      <c r="D22" s="1642">
        <v>1440</v>
      </c>
      <c r="F22" s="1643"/>
      <c r="G22" s="1643"/>
    </row>
    <row r="23" spans="2:7" ht="33.75" customHeight="1" thickBot="1" x14ac:dyDescent="0.4">
      <c r="B23" s="2151"/>
      <c r="C23" s="2293" t="s">
        <v>1143</v>
      </c>
      <c r="D23" s="1656">
        <v>1748.7139999999999</v>
      </c>
      <c r="F23" s="1643"/>
      <c r="G23" s="1643"/>
    </row>
    <row r="24" spans="2:7" ht="33.75" customHeight="1" thickBot="1" x14ac:dyDescent="0.4">
      <c r="B24" s="2268" t="s">
        <v>1149</v>
      </c>
      <c r="C24" s="2293" t="s">
        <v>1414</v>
      </c>
      <c r="D24" s="2295">
        <v>515.81100000000004</v>
      </c>
      <c r="F24" s="1643"/>
      <c r="G24" s="1643"/>
    </row>
    <row r="25" spans="2:7" ht="33.75" customHeight="1" thickBot="1" x14ac:dyDescent="0.4">
      <c r="B25" s="2269" t="s">
        <v>1144</v>
      </c>
      <c r="C25" s="2296" t="s">
        <v>1414</v>
      </c>
      <c r="D25" s="2295">
        <v>460.83199999999999</v>
      </c>
      <c r="F25" s="1643"/>
      <c r="G25" s="1643"/>
    </row>
    <row r="26" spans="2:7" ht="33.75" customHeight="1" x14ac:dyDescent="0.35">
      <c r="B26" s="2268" t="s">
        <v>1154</v>
      </c>
      <c r="C26" s="2290" t="s">
        <v>1416</v>
      </c>
      <c r="D26" s="1642">
        <v>110.17100000000001</v>
      </c>
      <c r="F26" s="1643"/>
      <c r="G26" s="1643"/>
    </row>
    <row r="27" spans="2:7" ht="33.75" customHeight="1" thickBot="1" x14ac:dyDescent="0.4">
      <c r="B27" s="2148"/>
      <c r="C27" s="2293" t="s">
        <v>1411</v>
      </c>
      <c r="D27" s="1656">
        <v>724</v>
      </c>
      <c r="F27" s="1643"/>
      <c r="G27" s="1643"/>
    </row>
    <row r="28" spans="2:7" ht="33.75" customHeight="1" x14ac:dyDescent="0.35">
      <c r="B28" s="2268" t="s">
        <v>1204</v>
      </c>
      <c r="C28" s="2290" t="s">
        <v>1417</v>
      </c>
      <c r="D28" s="1650">
        <v>5201.2979999999998</v>
      </c>
      <c r="F28" s="1643"/>
      <c r="G28" s="1643"/>
    </row>
    <row r="29" spans="2:7" ht="33.75" customHeight="1" x14ac:dyDescent="0.35">
      <c r="B29" s="2147"/>
      <c r="C29" s="2290" t="s">
        <v>1418</v>
      </c>
      <c r="D29" s="1642">
        <v>280.39999999999998</v>
      </c>
      <c r="F29" s="1643"/>
      <c r="G29" s="1643"/>
    </row>
    <row r="30" spans="2:7" ht="33.75" customHeight="1" thickBot="1" x14ac:dyDescent="0.4">
      <c r="B30" s="2147"/>
      <c r="C30" s="2293" t="s">
        <v>1414</v>
      </c>
      <c r="D30" s="1648">
        <v>2271.0740000000001</v>
      </c>
      <c r="F30" s="1643"/>
      <c r="G30" s="1643"/>
    </row>
    <row r="31" spans="2:7" ht="33.75" customHeight="1" thickBot="1" x14ac:dyDescent="0.4">
      <c r="B31" s="1649" t="s">
        <v>1360</v>
      </c>
      <c r="C31" s="2293" t="s">
        <v>1411</v>
      </c>
      <c r="D31" s="1642">
        <v>657</v>
      </c>
      <c r="F31" s="1643"/>
      <c r="G31" s="1643"/>
    </row>
    <row r="32" spans="2:7" ht="33.75" customHeight="1" x14ac:dyDescent="0.35">
      <c r="B32" s="1649" t="s">
        <v>1146</v>
      </c>
      <c r="C32" s="2290" t="s">
        <v>1419</v>
      </c>
      <c r="D32" s="1650">
        <v>848.66499999999996</v>
      </c>
      <c r="F32" s="1643"/>
      <c r="G32" s="1643"/>
    </row>
    <row r="33" spans="2:7" ht="33.75" customHeight="1" x14ac:dyDescent="0.35">
      <c r="B33" s="2147"/>
      <c r="C33" s="2290" t="s">
        <v>1420</v>
      </c>
      <c r="D33" s="1642">
        <v>365</v>
      </c>
      <c r="F33" s="1643"/>
      <c r="G33" s="1643"/>
    </row>
    <row r="34" spans="2:7" ht="33.75" customHeight="1" thickBot="1" x14ac:dyDescent="0.4">
      <c r="B34" s="2147"/>
      <c r="C34" s="2293" t="s">
        <v>1411</v>
      </c>
      <c r="D34" s="1642">
        <v>766</v>
      </c>
      <c r="F34" s="1643"/>
      <c r="G34" s="1643"/>
    </row>
    <row r="35" spans="2:7" ht="33.75" customHeight="1" thickBot="1" x14ac:dyDescent="0.4">
      <c r="B35" s="1649" t="s">
        <v>1151</v>
      </c>
      <c r="C35" s="2293" t="s">
        <v>1411</v>
      </c>
      <c r="D35" s="2295">
        <v>787</v>
      </c>
      <c r="F35" s="1643"/>
      <c r="G35" s="1643"/>
    </row>
    <row r="36" spans="2:7" ht="33.75" customHeight="1" x14ac:dyDescent="0.35">
      <c r="B36" s="2149" t="s">
        <v>1152</v>
      </c>
      <c r="C36" s="2290" t="s">
        <v>1421</v>
      </c>
      <c r="D36" s="1642">
        <v>304.8</v>
      </c>
      <c r="F36" s="1643"/>
      <c r="G36" s="1643"/>
    </row>
    <row r="37" spans="2:7" ht="33.75" customHeight="1" thickBot="1" x14ac:dyDescent="0.4">
      <c r="B37" s="1654"/>
      <c r="C37" s="2293" t="s">
        <v>1411</v>
      </c>
      <c r="D37" s="1656">
        <v>3657</v>
      </c>
      <c r="F37" s="1643"/>
      <c r="G37" s="1643"/>
    </row>
    <row r="38" spans="2:7" ht="33.75" customHeight="1" thickBot="1" x14ac:dyDescent="0.4">
      <c r="B38" s="2269" t="s">
        <v>1150</v>
      </c>
      <c r="C38" s="2296" t="s">
        <v>1143</v>
      </c>
      <c r="D38" s="2295">
        <v>500.25700000000001</v>
      </c>
      <c r="F38" s="1643"/>
      <c r="G38" s="1643"/>
    </row>
    <row r="39" spans="2:7" ht="33.75" customHeight="1" thickBot="1" x14ac:dyDescent="0.4">
      <c r="B39" s="2268" t="s">
        <v>1155</v>
      </c>
      <c r="C39" s="2297" t="s">
        <v>1143</v>
      </c>
      <c r="D39" s="2295">
        <v>673.66800000000001</v>
      </c>
      <c r="F39" s="1643"/>
      <c r="G39" s="1643"/>
    </row>
    <row r="40" spans="2:7" ht="33.75" customHeight="1" thickBot="1" x14ac:dyDescent="0.4">
      <c r="B40" s="1649" t="s">
        <v>1156</v>
      </c>
      <c r="C40" s="2293" t="s">
        <v>1414</v>
      </c>
      <c r="D40" s="2295">
        <v>704.69299999999998</v>
      </c>
      <c r="F40" s="1643"/>
      <c r="G40" s="1643"/>
    </row>
    <row r="41" spans="2:7" ht="33.75" customHeight="1" thickBot="1" x14ac:dyDescent="0.4">
      <c r="B41" s="1649" t="s">
        <v>1153</v>
      </c>
      <c r="C41" s="2293" t="s">
        <v>1414</v>
      </c>
      <c r="D41" s="2295">
        <v>1660.3309999999999</v>
      </c>
      <c r="F41" s="1643"/>
      <c r="G41" s="1643"/>
    </row>
    <row r="42" spans="2:7" ht="33.75" customHeight="1" thickBot="1" x14ac:dyDescent="0.4">
      <c r="B42" s="1649" t="s">
        <v>1365</v>
      </c>
      <c r="C42" s="2293" t="s">
        <v>1411</v>
      </c>
      <c r="D42" s="1642">
        <v>929</v>
      </c>
      <c r="F42" s="1643"/>
      <c r="G42" s="1643"/>
    </row>
    <row r="43" spans="2:7" ht="33.75" customHeight="1" thickBot="1" x14ac:dyDescent="0.4">
      <c r="B43" s="2268" t="s">
        <v>1157</v>
      </c>
      <c r="C43" s="2297" t="s">
        <v>1143</v>
      </c>
      <c r="D43" s="2295">
        <v>569.04600000000005</v>
      </c>
      <c r="F43" s="1643"/>
      <c r="G43" s="1643"/>
    </row>
    <row r="44" spans="2:7" s="2314" customFormat="1" ht="33.75" customHeight="1" thickBot="1" x14ac:dyDescent="0.45">
      <c r="B44" s="2270" t="s">
        <v>1158</v>
      </c>
      <c r="C44" s="2258"/>
      <c r="D44" s="2313">
        <f>SUM(D13:D43)</f>
        <v>31813.532000000003</v>
      </c>
      <c r="F44" s="2315"/>
      <c r="G44" s="2315"/>
    </row>
    <row r="45" spans="2:7" ht="33.75" customHeight="1" x14ac:dyDescent="0.35">
      <c r="B45" s="2268" t="s">
        <v>226</v>
      </c>
      <c r="C45" s="2298" t="s">
        <v>1422</v>
      </c>
      <c r="D45" s="1650">
        <v>212.09</v>
      </c>
      <c r="F45" s="1643"/>
      <c r="G45" s="1643"/>
    </row>
    <row r="46" spans="2:7" ht="33.75" customHeight="1" x14ac:dyDescent="0.35">
      <c r="B46" s="2151"/>
      <c r="C46" s="2299" t="s">
        <v>1423</v>
      </c>
      <c r="D46" s="1642">
        <v>673.1</v>
      </c>
      <c r="F46" s="1643"/>
      <c r="G46" s="1643"/>
    </row>
    <row r="47" spans="2:7" ht="33.75" customHeight="1" x14ac:dyDescent="0.35">
      <c r="B47" s="2147"/>
      <c r="C47" s="2300" t="s">
        <v>1424</v>
      </c>
      <c r="D47" s="1642">
        <v>365.76</v>
      </c>
      <c r="F47" s="1643"/>
      <c r="G47" s="1643"/>
    </row>
    <row r="48" spans="2:7" ht="33.75" customHeight="1" x14ac:dyDescent="0.35">
      <c r="B48" s="2147"/>
      <c r="C48" s="2300" t="s">
        <v>1425</v>
      </c>
      <c r="D48" s="1642">
        <v>723.9</v>
      </c>
      <c r="F48" s="1643"/>
      <c r="G48" s="1643"/>
    </row>
    <row r="49" spans="2:7" ht="33.75" customHeight="1" x14ac:dyDescent="0.35">
      <c r="B49" s="2147"/>
      <c r="C49" s="2299" t="s">
        <v>1426</v>
      </c>
      <c r="D49" s="1642">
        <v>1341.181</v>
      </c>
      <c r="F49" s="1643"/>
      <c r="G49" s="1643"/>
    </row>
    <row r="50" spans="2:7" ht="33.75" customHeight="1" x14ac:dyDescent="0.35">
      <c r="B50" s="2147"/>
      <c r="C50" s="2300" t="s">
        <v>1427</v>
      </c>
      <c r="D50" s="1642">
        <v>506.73</v>
      </c>
      <c r="F50" s="1643"/>
      <c r="G50" s="1643"/>
    </row>
    <row r="51" spans="2:7" ht="33.75" customHeight="1" x14ac:dyDescent="0.35">
      <c r="B51" s="2147"/>
      <c r="C51" s="2300" t="s">
        <v>1428</v>
      </c>
      <c r="D51" s="1642">
        <v>227.33</v>
      </c>
      <c r="F51" s="1643"/>
      <c r="G51" s="1643"/>
    </row>
    <row r="52" spans="2:7" ht="33.75" customHeight="1" x14ac:dyDescent="0.35">
      <c r="B52" s="2147"/>
      <c r="C52" s="2300" t="s">
        <v>1429</v>
      </c>
      <c r="D52" s="1642">
        <v>198.12</v>
      </c>
      <c r="G52" s="1629"/>
    </row>
    <row r="53" spans="2:7" ht="33.75" customHeight="1" x14ac:dyDescent="0.35">
      <c r="B53" s="2147"/>
      <c r="C53" s="2300" t="s">
        <v>1430</v>
      </c>
      <c r="D53" s="1642">
        <v>309.88</v>
      </c>
      <c r="G53" s="1629"/>
    </row>
    <row r="54" spans="2:7" ht="33.75" customHeight="1" x14ac:dyDescent="0.35">
      <c r="B54" s="2147"/>
      <c r="C54" s="2300" t="s">
        <v>1431</v>
      </c>
      <c r="D54" s="1642">
        <v>271.77999999999997</v>
      </c>
      <c r="G54" s="1629"/>
    </row>
    <row r="55" spans="2:7" ht="33.75" customHeight="1" x14ac:dyDescent="0.35">
      <c r="B55" s="2147"/>
      <c r="C55" s="2300" t="s">
        <v>1432</v>
      </c>
      <c r="D55" s="1642">
        <v>316.23</v>
      </c>
      <c r="G55" s="1629"/>
    </row>
    <row r="56" spans="2:7" ht="33.75" customHeight="1" x14ac:dyDescent="0.35">
      <c r="B56" s="2147"/>
      <c r="C56" s="2300" t="s">
        <v>1433</v>
      </c>
      <c r="D56" s="1642">
        <v>506.73</v>
      </c>
      <c r="G56" s="1629"/>
    </row>
    <row r="57" spans="2:7" ht="33.75" customHeight="1" x14ac:dyDescent="0.35">
      <c r="B57" s="2147"/>
      <c r="C57" s="2300" t="s">
        <v>1434</v>
      </c>
      <c r="D57" s="1642">
        <v>532.13</v>
      </c>
      <c r="F57" s="1643"/>
      <c r="G57" s="1643"/>
    </row>
    <row r="58" spans="2:7" ht="33.75" customHeight="1" x14ac:dyDescent="0.35">
      <c r="B58" s="2147"/>
      <c r="C58" s="2300" t="s">
        <v>1435</v>
      </c>
      <c r="D58" s="1642">
        <v>198.12</v>
      </c>
      <c r="F58" s="1643"/>
      <c r="G58" s="1643"/>
    </row>
    <row r="59" spans="2:7" ht="33.75" customHeight="1" x14ac:dyDescent="0.35">
      <c r="B59" s="2147"/>
      <c r="C59" s="2300" t="s">
        <v>1436</v>
      </c>
      <c r="D59" s="1642">
        <v>341.63</v>
      </c>
      <c r="F59" s="1643"/>
      <c r="G59" s="1643"/>
    </row>
    <row r="60" spans="2:7" ht="33.75" customHeight="1" x14ac:dyDescent="0.35">
      <c r="B60" s="2147"/>
      <c r="C60" s="2299" t="s">
        <v>1437</v>
      </c>
      <c r="D60" s="1642">
        <v>758.19</v>
      </c>
      <c r="F60" s="1643"/>
      <c r="G60" s="1643"/>
    </row>
    <row r="61" spans="2:7" ht="33.75" customHeight="1" x14ac:dyDescent="0.35">
      <c r="B61" s="2147"/>
      <c r="C61" s="2299" t="s">
        <v>1438</v>
      </c>
      <c r="D61" s="1642">
        <v>1470.66</v>
      </c>
      <c r="F61" s="1643"/>
      <c r="G61" s="1643"/>
    </row>
    <row r="62" spans="2:7" ht="51.75" customHeight="1" x14ac:dyDescent="0.35">
      <c r="B62" s="2147"/>
      <c r="C62" s="2299" t="s">
        <v>1439</v>
      </c>
      <c r="D62" s="1642">
        <v>1699.26</v>
      </c>
      <c r="F62" s="1643"/>
      <c r="G62" s="1643"/>
    </row>
    <row r="63" spans="2:7" ht="51" customHeight="1" x14ac:dyDescent="0.35">
      <c r="B63" s="2147"/>
      <c r="C63" s="2299" t="s">
        <v>1440</v>
      </c>
      <c r="D63" s="1642">
        <v>3744.1439999999998</v>
      </c>
      <c r="G63" s="1629"/>
    </row>
    <row r="64" spans="2:7" ht="33.75" customHeight="1" x14ac:dyDescent="0.35">
      <c r="B64" s="2147"/>
      <c r="C64" s="2299" t="s">
        <v>1441</v>
      </c>
      <c r="D64" s="1642">
        <v>262.81400000000002</v>
      </c>
      <c r="G64" s="1629"/>
    </row>
    <row r="65" spans="2:7" ht="33.75" customHeight="1" x14ac:dyDescent="0.35">
      <c r="B65" s="2147"/>
      <c r="C65" s="2299" t="s">
        <v>1442</v>
      </c>
      <c r="D65" s="1642">
        <v>1591.31</v>
      </c>
      <c r="F65" s="1643"/>
      <c r="G65" s="1643"/>
    </row>
    <row r="66" spans="2:7" ht="33.75" customHeight="1" x14ac:dyDescent="0.35">
      <c r="B66" s="2147"/>
      <c r="C66" s="2299" t="s">
        <v>1443</v>
      </c>
      <c r="D66" s="1645">
        <v>3059.538</v>
      </c>
      <c r="G66" s="1629"/>
    </row>
    <row r="67" spans="2:7" ht="33.75" customHeight="1" x14ac:dyDescent="0.35">
      <c r="B67" s="2147"/>
      <c r="C67" s="2299" t="s">
        <v>1444</v>
      </c>
      <c r="D67" s="1642">
        <v>9678.9240000000009</v>
      </c>
      <c r="G67" s="1629"/>
    </row>
    <row r="68" spans="2:7" ht="33.75" customHeight="1" x14ac:dyDescent="0.35">
      <c r="B68" s="2147"/>
      <c r="C68" s="2299" t="s">
        <v>1445</v>
      </c>
      <c r="D68" s="1642">
        <v>2451.1</v>
      </c>
      <c r="F68" s="1643"/>
      <c r="G68" s="1643"/>
    </row>
    <row r="69" spans="2:7" ht="33.75" customHeight="1" x14ac:dyDescent="0.35">
      <c r="B69" s="2147"/>
      <c r="C69" s="2299" t="s">
        <v>1446</v>
      </c>
      <c r="D69" s="1642">
        <v>347.59899999999999</v>
      </c>
      <c r="F69" s="1643"/>
      <c r="G69" s="1643"/>
    </row>
    <row r="70" spans="2:7" ht="33.75" customHeight="1" x14ac:dyDescent="0.35">
      <c r="B70" s="2147"/>
      <c r="C70" s="2299" t="s">
        <v>1447</v>
      </c>
      <c r="D70" s="1642">
        <v>2785.6329999999998</v>
      </c>
      <c r="F70" s="1643"/>
      <c r="G70" s="1643"/>
    </row>
    <row r="71" spans="2:7" ht="33.75" customHeight="1" x14ac:dyDescent="0.35">
      <c r="B71" s="2147"/>
      <c r="C71" s="2299" t="s">
        <v>1448</v>
      </c>
      <c r="D71" s="1642">
        <v>1831.848</v>
      </c>
      <c r="F71" s="1643"/>
      <c r="G71" s="1643"/>
    </row>
    <row r="72" spans="2:7" ht="33.75" customHeight="1" x14ac:dyDescent="0.35">
      <c r="B72" s="2147"/>
      <c r="C72" s="2299" t="s">
        <v>1449</v>
      </c>
      <c r="D72" s="1642">
        <v>1168.9079999999999</v>
      </c>
      <c r="F72" s="1643"/>
      <c r="G72" s="1643"/>
    </row>
    <row r="73" spans="2:7" ht="33.75" customHeight="1" x14ac:dyDescent="0.35">
      <c r="B73" s="2147"/>
      <c r="C73" s="2299" t="s">
        <v>1450</v>
      </c>
      <c r="D73" s="1642">
        <v>211.089</v>
      </c>
      <c r="F73" s="1643"/>
      <c r="G73" s="1643"/>
    </row>
    <row r="74" spans="2:7" ht="33.75" customHeight="1" x14ac:dyDescent="0.35">
      <c r="B74" s="2147"/>
      <c r="C74" s="2299" t="s">
        <v>1451</v>
      </c>
      <c r="D74" s="1642">
        <v>34.200000000000003</v>
      </c>
      <c r="F74" s="1643"/>
      <c r="G74" s="1643"/>
    </row>
    <row r="75" spans="2:7" ht="33.75" customHeight="1" x14ac:dyDescent="0.35">
      <c r="B75" s="2147"/>
      <c r="C75" s="2299" t="s">
        <v>1452</v>
      </c>
      <c r="D75" s="1642">
        <v>88.9</v>
      </c>
      <c r="F75" s="1643"/>
      <c r="G75" s="1643"/>
    </row>
    <row r="76" spans="2:7" ht="47.25" customHeight="1" x14ac:dyDescent="0.35">
      <c r="B76" s="2147"/>
      <c r="C76" s="2299" t="s">
        <v>1453</v>
      </c>
      <c r="D76" s="1642">
        <v>370.93700000000001</v>
      </c>
      <c r="F76" s="1643"/>
      <c r="G76" s="1643"/>
    </row>
    <row r="77" spans="2:7" ht="33.75" customHeight="1" x14ac:dyDescent="0.35">
      <c r="B77" s="2147"/>
      <c r="C77" s="2299" t="s">
        <v>1454</v>
      </c>
      <c r="D77" s="1642">
        <v>478</v>
      </c>
      <c r="G77" s="1629"/>
    </row>
    <row r="78" spans="2:7" ht="33.75" customHeight="1" x14ac:dyDescent="0.35">
      <c r="B78" s="2147"/>
      <c r="C78" s="2299" t="s">
        <v>1455</v>
      </c>
      <c r="D78" s="1642">
        <v>682</v>
      </c>
      <c r="G78" s="1629"/>
    </row>
    <row r="79" spans="2:7" ht="33.75" customHeight="1" x14ac:dyDescent="0.35">
      <c r="B79" s="2147"/>
      <c r="C79" s="2299" t="s">
        <v>1456</v>
      </c>
      <c r="D79" s="1642">
        <v>681.86300000000006</v>
      </c>
      <c r="G79" s="1629"/>
    </row>
    <row r="80" spans="2:7" ht="33.75" customHeight="1" x14ac:dyDescent="0.35">
      <c r="B80" s="2147"/>
      <c r="C80" s="2299" t="s">
        <v>1457</v>
      </c>
      <c r="D80" s="1642">
        <v>265</v>
      </c>
      <c r="F80" s="1643"/>
      <c r="G80" s="1643"/>
    </row>
    <row r="81" spans="2:7" ht="33.75" customHeight="1" x14ac:dyDescent="0.35">
      <c r="B81" s="2147"/>
      <c r="C81" s="2299" t="s">
        <v>1458</v>
      </c>
      <c r="D81" s="1642">
        <v>755.65</v>
      </c>
      <c r="G81" s="1629"/>
    </row>
    <row r="82" spans="2:7" ht="33.75" customHeight="1" x14ac:dyDescent="0.35">
      <c r="B82" s="2147"/>
      <c r="C82" s="2299" t="s">
        <v>1459</v>
      </c>
      <c r="D82" s="1642">
        <v>284.54000000000002</v>
      </c>
      <c r="F82" s="1643"/>
      <c r="G82" s="1643"/>
    </row>
    <row r="83" spans="2:7" ht="33.75" customHeight="1" x14ac:dyDescent="0.35">
      <c r="B83" s="2147"/>
      <c r="C83" s="1671" t="s">
        <v>1460</v>
      </c>
      <c r="D83" s="1642">
        <v>2948.94</v>
      </c>
      <c r="F83" s="1643"/>
      <c r="G83" s="1643"/>
    </row>
    <row r="84" spans="2:7" ht="33.75" customHeight="1" x14ac:dyDescent="0.35">
      <c r="B84" s="2147"/>
      <c r="C84" s="1671" t="s">
        <v>1461</v>
      </c>
      <c r="D84" s="1642">
        <v>238.76</v>
      </c>
      <c r="F84" s="1643"/>
      <c r="G84" s="1643"/>
    </row>
    <row r="85" spans="2:7" ht="47.25" customHeight="1" x14ac:dyDescent="0.35">
      <c r="B85" s="2147"/>
      <c r="C85" s="2301" t="s">
        <v>1462</v>
      </c>
      <c r="D85" s="1642">
        <v>742.95</v>
      </c>
      <c r="F85" s="1643"/>
      <c r="G85" s="1643"/>
    </row>
    <row r="86" spans="2:7" ht="33.75" customHeight="1" x14ac:dyDescent="0.35">
      <c r="B86" s="2147"/>
      <c r="C86" s="1671" t="s">
        <v>1463</v>
      </c>
      <c r="D86" s="1642">
        <v>367.03</v>
      </c>
      <c r="F86" s="1643"/>
      <c r="G86" s="1643"/>
    </row>
    <row r="87" spans="2:7" ht="33.75" customHeight="1" x14ac:dyDescent="0.35">
      <c r="B87" s="2147"/>
      <c r="C87" s="1671" t="s">
        <v>1464</v>
      </c>
      <c r="D87" s="1642">
        <v>318.846</v>
      </c>
      <c r="F87" s="1643"/>
      <c r="G87" s="1643"/>
    </row>
    <row r="88" spans="2:7" ht="33.75" customHeight="1" x14ac:dyDescent="0.35">
      <c r="B88" s="2147"/>
      <c r="C88" s="1671" t="s">
        <v>1465</v>
      </c>
      <c r="D88" s="1642">
        <v>2356.58</v>
      </c>
      <c r="F88" s="1643"/>
      <c r="G88" s="1643"/>
    </row>
    <row r="89" spans="2:7" s="1660" customFormat="1" ht="53.25" customHeight="1" x14ac:dyDescent="0.4">
      <c r="B89" s="2147"/>
      <c r="C89" s="2301" t="s">
        <v>1466</v>
      </c>
      <c r="D89" s="1642">
        <v>2682.6689999999999</v>
      </c>
      <c r="E89" s="1660" t="s">
        <v>97</v>
      </c>
      <c r="F89" s="1661"/>
      <c r="G89" s="1661"/>
    </row>
    <row r="90" spans="2:7" ht="53.25" customHeight="1" x14ac:dyDescent="0.35">
      <c r="B90" s="2147"/>
      <c r="C90" s="2301" t="s">
        <v>1467</v>
      </c>
      <c r="D90" s="1642">
        <v>4318.6310000000003</v>
      </c>
      <c r="F90" s="1643"/>
      <c r="G90" s="1643"/>
    </row>
    <row r="91" spans="2:7" ht="33.75" customHeight="1" x14ac:dyDescent="0.35">
      <c r="B91" s="2147"/>
      <c r="C91" s="2302" t="s">
        <v>1468</v>
      </c>
      <c r="D91" s="1642">
        <v>2548.89</v>
      </c>
      <c r="F91" s="1643"/>
      <c r="G91" s="1643"/>
    </row>
    <row r="92" spans="2:7" ht="33.75" customHeight="1" x14ac:dyDescent="0.35">
      <c r="B92" s="2147"/>
      <c r="C92" s="1671" t="s">
        <v>1469</v>
      </c>
      <c r="D92" s="1642">
        <v>1892.3</v>
      </c>
      <c r="F92" s="1643"/>
      <c r="G92" s="1643"/>
    </row>
    <row r="93" spans="2:7" ht="33.75" customHeight="1" thickBot="1" x14ac:dyDescent="0.4">
      <c r="B93" s="2147"/>
      <c r="C93" s="1672" t="s">
        <v>1470</v>
      </c>
      <c r="D93" s="1658">
        <v>522.61500000000001</v>
      </c>
      <c r="F93" s="1643"/>
      <c r="G93" s="1643"/>
    </row>
    <row r="94" spans="2:7" s="2314" customFormat="1" ht="33.75" customHeight="1" thickBot="1" x14ac:dyDescent="0.45">
      <c r="B94" s="2271" t="s">
        <v>1159</v>
      </c>
      <c r="C94" s="2259"/>
      <c r="D94" s="1676">
        <f>SUM(D45:D93)</f>
        <v>60365.028999999995</v>
      </c>
      <c r="F94" s="2315"/>
      <c r="G94" s="2315"/>
    </row>
    <row r="95" spans="2:7" s="2314" customFormat="1" ht="33.75" customHeight="1" thickBot="1" x14ac:dyDescent="0.45">
      <c r="B95" s="1663" t="s">
        <v>4</v>
      </c>
      <c r="C95" s="2259"/>
      <c r="D95" s="1664">
        <f>D44+D94</f>
        <v>92178.561000000002</v>
      </c>
      <c r="F95" s="2315"/>
      <c r="G95" s="2315"/>
    </row>
    <row r="96" spans="2:7" s="2314" customFormat="1" ht="33.75" customHeight="1" x14ac:dyDescent="0.4">
      <c r="B96" s="1665" t="s">
        <v>1367</v>
      </c>
      <c r="C96" s="2260"/>
      <c r="D96" s="2316"/>
      <c r="F96" s="2315"/>
      <c r="G96" s="2315"/>
    </row>
    <row r="97" spans="2:7" s="2314" customFormat="1" ht="33.75" customHeight="1" thickBot="1" x14ac:dyDescent="0.45">
      <c r="B97" s="1666" t="s">
        <v>1160</v>
      </c>
      <c r="C97" s="2261"/>
      <c r="D97" s="2317"/>
      <c r="F97" s="2315"/>
      <c r="G97" s="2315"/>
    </row>
    <row r="98" spans="2:7" ht="33.75" customHeight="1" x14ac:dyDescent="0.35">
      <c r="B98" s="2272" t="s">
        <v>1206</v>
      </c>
      <c r="C98" s="2302" t="s">
        <v>1471</v>
      </c>
      <c r="D98" s="1642">
        <v>673</v>
      </c>
      <c r="F98" s="1643"/>
      <c r="G98" s="1643"/>
    </row>
    <row r="99" spans="2:7" ht="33.75" customHeight="1" x14ac:dyDescent="0.35">
      <c r="B99" s="1667"/>
      <c r="C99" s="1671" t="s">
        <v>1472</v>
      </c>
      <c r="D99" s="1642">
        <v>226</v>
      </c>
      <c r="F99" s="1643"/>
      <c r="G99" s="1643"/>
    </row>
    <row r="100" spans="2:7" ht="33.75" customHeight="1" x14ac:dyDescent="0.35">
      <c r="B100" s="1667"/>
      <c r="C100" s="1671" t="s">
        <v>1473</v>
      </c>
      <c r="D100" s="1642">
        <v>998</v>
      </c>
      <c r="F100" s="1643"/>
      <c r="G100" s="1643"/>
    </row>
    <row r="101" spans="2:7" ht="33.75" customHeight="1" x14ac:dyDescent="0.35">
      <c r="B101" s="1667"/>
      <c r="C101" s="1672" t="s">
        <v>1474</v>
      </c>
      <c r="D101" s="1642">
        <v>3115</v>
      </c>
      <c r="F101" s="1643"/>
      <c r="G101" s="1643"/>
    </row>
    <row r="102" spans="2:7" ht="33.75" customHeight="1" x14ac:dyDescent="0.35">
      <c r="B102" s="1667"/>
      <c r="C102" s="1672" t="s">
        <v>1475</v>
      </c>
      <c r="D102" s="1642">
        <v>1144</v>
      </c>
      <c r="F102" s="1643"/>
      <c r="G102" s="1643"/>
    </row>
    <row r="103" spans="2:7" ht="33.75" customHeight="1" x14ac:dyDescent="0.35">
      <c r="B103" s="1667"/>
      <c r="C103" s="1672" t="s">
        <v>1476</v>
      </c>
      <c r="D103" s="1642">
        <v>154</v>
      </c>
      <c r="F103" s="1643"/>
      <c r="G103" s="1643"/>
    </row>
    <row r="104" spans="2:7" ht="33.75" customHeight="1" x14ac:dyDescent="0.35">
      <c r="B104" s="1667"/>
      <c r="C104" s="1672" t="s">
        <v>1161</v>
      </c>
      <c r="D104" s="1642">
        <v>1306</v>
      </c>
      <c r="F104" s="1643"/>
      <c r="G104" s="1643"/>
    </row>
    <row r="105" spans="2:7" ht="33.75" customHeight="1" x14ac:dyDescent="0.35">
      <c r="B105" s="1667"/>
      <c r="C105" s="1672" t="s">
        <v>1162</v>
      </c>
      <c r="D105" s="1642">
        <v>946</v>
      </c>
      <c r="F105" s="1643"/>
      <c r="G105" s="1643"/>
    </row>
    <row r="106" spans="2:7" ht="33.75" customHeight="1" thickBot="1" x14ac:dyDescent="0.4">
      <c r="B106" s="1667"/>
      <c r="C106" s="1672" t="s">
        <v>1477</v>
      </c>
      <c r="D106" s="1648">
        <v>5990</v>
      </c>
      <c r="F106" s="1643"/>
      <c r="G106" s="1643"/>
    </row>
    <row r="107" spans="2:7" ht="33.75" customHeight="1" thickBot="1" x14ac:dyDescent="0.45">
      <c r="B107" s="2273" t="s">
        <v>1163</v>
      </c>
      <c r="C107" s="1668"/>
      <c r="D107" s="1664">
        <f>SUM(D98:D106)</f>
        <v>14552</v>
      </c>
      <c r="F107" s="1643"/>
      <c r="G107" s="1643"/>
    </row>
    <row r="108" spans="2:7" ht="33.75" customHeight="1" x14ac:dyDescent="0.35">
      <c r="B108" s="2274" t="s">
        <v>386</v>
      </c>
      <c r="C108" s="1671" t="s">
        <v>1472</v>
      </c>
      <c r="D108" s="1650">
        <v>360</v>
      </c>
      <c r="F108" s="1643"/>
      <c r="G108" s="1643"/>
    </row>
    <row r="109" spans="2:7" ht="33.75" customHeight="1" x14ac:dyDescent="0.35">
      <c r="B109" s="2150"/>
      <c r="C109" s="1672" t="s">
        <v>1478</v>
      </c>
      <c r="D109" s="1642">
        <v>36</v>
      </c>
      <c r="F109" s="1643"/>
      <c r="G109" s="1643"/>
    </row>
    <row r="110" spans="2:7" ht="33.75" customHeight="1" x14ac:dyDescent="0.35">
      <c r="B110" s="2150"/>
      <c r="C110" s="1672" t="s">
        <v>1479</v>
      </c>
      <c r="D110" s="1642">
        <v>97.978999999999999</v>
      </c>
      <c r="F110" s="1643"/>
      <c r="G110" s="1643"/>
    </row>
    <row r="111" spans="2:7" ht="33.75" customHeight="1" x14ac:dyDescent="0.35">
      <c r="B111" s="2150"/>
      <c r="C111" s="1672" t="s">
        <v>1480</v>
      </c>
      <c r="D111" s="1642">
        <v>17.846</v>
      </c>
      <c r="F111" s="1643"/>
      <c r="G111" s="1643"/>
    </row>
    <row r="112" spans="2:7" ht="33.75" customHeight="1" x14ac:dyDescent="0.35">
      <c r="B112" s="2150"/>
      <c r="C112" s="1672" t="s">
        <v>1481</v>
      </c>
      <c r="D112" s="1642">
        <v>12.268000000000001</v>
      </c>
      <c r="F112" s="1643"/>
      <c r="G112" s="1643"/>
    </row>
    <row r="113" spans="2:7" ht="33.75" customHeight="1" x14ac:dyDescent="0.35">
      <c r="B113" s="2150"/>
      <c r="C113" s="1672" t="s">
        <v>1482</v>
      </c>
      <c r="D113" s="1642">
        <v>20.7</v>
      </c>
      <c r="F113" s="1643"/>
      <c r="G113" s="1643"/>
    </row>
    <row r="114" spans="2:7" ht="33.75" customHeight="1" x14ac:dyDescent="0.35">
      <c r="B114" s="2150"/>
      <c r="C114" s="1672" t="s">
        <v>1483</v>
      </c>
      <c r="D114" s="1642">
        <v>369.06200000000001</v>
      </c>
      <c r="F114" s="1643"/>
      <c r="G114" s="1643"/>
    </row>
    <row r="115" spans="2:7" ht="33.75" customHeight="1" x14ac:dyDescent="0.35">
      <c r="B115" s="2150"/>
      <c r="C115" s="1672" t="s">
        <v>1484</v>
      </c>
      <c r="D115" s="1642">
        <v>39</v>
      </c>
      <c r="F115" s="1643"/>
      <c r="G115" s="1643"/>
    </row>
    <row r="116" spans="2:7" ht="33.75" customHeight="1" x14ac:dyDescent="0.35">
      <c r="B116" s="2150"/>
      <c r="C116" s="1672" t="s">
        <v>1485</v>
      </c>
      <c r="D116" s="1642">
        <v>19</v>
      </c>
      <c r="F116" s="1643"/>
      <c r="G116" s="1643"/>
    </row>
    <row r="117" spans="2:7" ht="33.75" customHeight="1" x14ac:dyDescent="0.35">
      <c r="B117" s="2150"/>
      <c r="C117" s="1672" t="s">
        <v>1486</v>
      </c>
      <c r="D117" s="1642">
        <v>125.349</v>
      </c>
      <c r="F117" s="1643"/>
      <c r="G117" s="1643"/>
    </row>
    <row r="118" spans="2:7" ht="33.75" customHeight="1" x14ac:dyDescent="0.35">
      <c r="B118" s="2150"/>
      <c r="C118" s="1672" t="s">
        <v>1487</v>
      </c>
      <c r="D118" s="1642">
        <v>117.9</v>
      </c>
      <c r="F118" s="1643"/>
      <c r="G118" s="1643"/>
    </row>
    <row r="119" spans="2:7" ht="33.75" customHeight="1" x14ac:dyDescent="0.35">
      <c r="B119" s="2150"/>
      <c r="C119" s="1672" t="s">
        <v>1488</v>
      </c>
      <c r="D119" s="1642">
        <v>19.98</v>
      </c>
      <c r="F119" s="1643"/>
      <c r="G119" s="1643"/>
    </row>
    <row r="120" spans="2:7" ht="33.75" customHeight="1" x14ac:dyDescent="0.35">
      <c r="B120" s="2150"/>
      <c r="C120" s="1672" t="s">
        <v>1489</v>
      </c>
      <c r="D120" s="1642">
        <v>20</v>
      </c>
      <c r="F120" s="1643"/>
      <c r="G120" s="1643"/>
    </row>
    <row r="121" spans="2:7" ht="33.75" customHeight="1" thickBot="1" x14ac:dyDescent="0.4">
      <c r="B121" s="2275"/>
      <c r="C121" s="2297" t="s">
        <v>1490</v>
      </c>
      <c r="D121" s="1642">
        <v>10.997999999999999</v>
      </c>
      <c r="F121" s="1643"/>
      <c r="G121" s="1643"/>
    </row>
    <row r="122" spans="2:7" ht="33.75" customHeight="1" thickBot="1" x14ac:dyDescent="0.45">
      <c r="B122" s="2276" t="s">
        <v>1163</v>
      </c>
      <c r="C122" s="2305"/>
      <c r="D122" s="1664">
        <f>SUM(D108:D121)</f>
        <v>1266.0820000000001</v>
      </c>
      <c r="F122" s="1643"/>
      <c r="G122" s="1643"/>
    </row>
    <row r="123" spans="2:7" ht="33.75" customHeight="1" x14ac:dyDescent="0.35">
      <c r="B123" s="2274" t="s">
        <v>1164</v>
      </c>
      <c r="C123" s="1672" t="s">
        <v>1491</v>
      </c>
      <c r="D123" s="1642">
        <v>1205</v>
      </c>
      <c r="F123" s="1643"/>
      <c r="G123" s="1643"/>
    </row>
    <row r="124" spans="2:7" ht="33.75" customHeight="1" x14ac:dyDescent="0.35">
      <c r="B124" s="2150"/>
      <c r="C124" s="1672" t="s">
        <v>1492</v>
      </c>
      <c r="D124" s="1642">
        <v>89.991</v>
      </c>
      <c r="F124" s="1643"/>
      <c r="G124" s="1643"/>
    </row>
    <row r="125" spans="2:7" ht="33.75" customHeight="1" x14ac:dyDescent="0.35">
      <c r="B125" s="2150"/>
      <c r="C125" s="1672" t="s">
        <v>1493</v>
      </c>
      <c r="D125" s="1642">
        <v>480</v>
      </c>
      <c r="F125" s="1643"/>
      <c r="G125" s="1643"/>
    </row>
    <row r="126" spans="2:7" ht="33.75" customHeight="1" x14ac:dyDescent="0.35">
      <c r="B126" s="2150"/>
      <c r="C126" s="1672" t="s">
        <v>1494</v>
      </c>
      <c r="D126" s="1642">
        <v>20</v>
      </c>
      <c r="F126" s="1643"/>
      <c r="G126" s="1643"/>
    </row>
    <row r="127" spans="2:7" ht="33.75" customHeight="1" x14ac:dyDescent="0.35">
      <c r="B127" s="2150"/>
      <c r="C127" s="1672" t="s">
        <v>1495</v>
      </c>
      <c r="D127" s="1642">
        <v>574.04</v>
      </c>
      <c r="F127" s="1643"/>
      <c r="G127" s="1643"/>
    </row>
    <row r="128" spans="2:7" ht="33.75" customHeight="1" x14ac:dyDescent="0.35">
      <c r="B128" s="2150"/>
      <c r="C128" s="1672" t="s">
        <v>1496</v>
      </c>
      <c r="D128" s="1642">
        <v>1249.95</v>
      </c>
      <c r="F128" s="1643"/>
      <c r="G128" s="1643"/>
    </row>
    <row r="129" spans="2:7" ht="33.75" customHeight="1" x14ac:dyDescent="0.35">
      <c r="B129" s="2150"/>
      <c r="C129" s="1672" t="s">
        <v>1497</v>
      </c>
      <c r="D129" s="1642">
        <v>1258.43</v>
      </c>
      <c r="F129" s="1643"/>
      <c r="G129" s="1643"/>
    </row>
    <row r="130" spans="2:7" ht="33.75" customHeight="1" x14ac:dyDescent="0.35">
      <c r="B130" s="2150"/>
      <c r="C130" s="1672" t="s">
        <v>1498</v>
      </c>
      <c r="D130" s="1642">
        <v>3987</v>
      </c>
      <c r="F130" s="1643"/>
      <c r="G130" s="1643"/>
    </row>
    <row r="131" spans="2:7" ht="33.75" customHeight="1" x14ac:dyDescent="0.35">
      <c r="B131" s="2150"/>
      <c r="C131" s="1672" t="s">
        <v>1499</v>
      </c>
      <c r="D131" s="1642">
        <v>4036</v>
      </c>
      <c r="F131" s="1643"/>
      <c r="G131" s="1643"/>
    </row>
    <row r="132" spans="2:7" ht="33.75" customHeight="1" x14ac:dyDescent="0.35">
      <c r="B132" s="2150"/>
      <c r="C132" s="1671" t="s">
        <v>1500</v>
      </c>
      <c r="D132" s="1645">
        <v>379</v>
      </c>
      <c r="F132" s="1643"/>
      <c r="G132" s="1643"/>
    </row>
    <row r="133" spans="2:7" ht="33.75" customHeight="1" x14ac:dyDescent="0.35">
      <c r="B133" s="2150"/>
      <c r="C133" s="1672" t="s">
        <v>1501</v>
      </c>
      <c r="D133" s="1645">
        <v>8678</v>
      </c>
      <c r="F133" s="1643"/>
      <c r="G133" s="1643"/>
    </row>
    <row r="134" spans="2:7" ht="33.75" customHeight="1" x14ac:dyDescent="0.35">
      <c r="B134" s="2150"/>
      <c r="C134" s="1672" t="s">
        <v>1502</v>
      </c>
      <c r="D134" s="1642">
        <v>2489.8719999999998</v>
      </c>
      <c r="F134" s="1643"/>
      <c r="G134" s="1643"/>
    </row>
    <row r="135" spans="2:7" ht="33.75" customHeight="1" x14ac:dyDescent="0.35">
      <c r="B135" s="2150"/>
      <c r="C135" s="1672" t="s">
        <v>1503</v>
      </c>
      <c r="D135" s="1642">
        <v>450</v>
      </c>
      <c r="F135" s="1643"/>
      <c r="G135" s="1643"/>
    </row>
    <row r="136" spans="2:7" ht="33.75" customHeight="1" thickBot="1" x14ac:dyDescent="0.4">
      <c r="B136" s="2150"/>
      <c r="C136" s="1672" t="s">
        <v>1504</v>
      </c>
      <c r="D136" s="1642">
        <v>1109.472</v>
      </c>
      <c r="F136" s="1643"/>
      <c r="G136" s="1643"/>
    </row>
    <row r="137" spans="2:7" ht="33.75" customHeight="1" thickBot="1" x14ac:dyDescent="0.45">
      <c r="B137" s="2276" t="s">
        <v>1163</v>
      </c>
      <c r="C137" s="2306"/>
      <c r="D137" s="1664">
        <f>SUM(D123:D136)</f>
        <v>26006.755000000001</v>
      </c>
      <c r="F137" s="1643"/>
      <c r="G137" s="1643"/>
    </row>
    <row r="138" spans="2:7" ht="33.75" customHeight="1" x14ac:dyDescent="0.35">
      <c r="B138" s="2277" t="s">
        <v>1165</v>
      </c>
      <c r="C138" s="2302" t="s">
        <v>1472</v>
      </c>
      <c r="D138" s="1642">
        <v>276</v>
      </c>
      <c r="F138" s="1643"/>
      <c r="G138" s="1643"/>
    </row>
    <row r="139" spans="2:7" ht="33.75" customHeight="1" x14ac:dyDescent="0.35">
      <c r="B139" s="2277"/>
      <c r="C139" s="1672" t="s">
        <v>1505</v>
      </c>
      <c r="D139" s="1642">
        <v>6128.5119999999997</v>
      </c>
      <c r="F139" s="1643"/>
      <c r="G139" s="1643"/>
    </row>
    <row r="140" spans="2:7" ht="33.75" customHeight="1" x14ac:dyDescent="0.35">
      <c r="B140" s="2277"/>
      <c r="C140" s="1672" t="s">
        <v>1506</v>
      </c>
      <c r="D140" s="1642">
        <v>117.5</v>
      </c>
      <c r="F140" s="1643"/>
      <c r="G140" s="1643"/>
    </row>
    <row r="141" spans="2:7" ht="33.75" customHeight="1" x14ac:dyDescent="0.35">
      <c r="B141" s="2277"/>
      <c r="C141" s="1672" t="s">
        <v>1507</v>
      </c>
      <c r="D141" s="1642">
        <v>163.298</v>
      </c>
      <c r="F141" s="1643"/>
      <c r="G141" s="1643"/>
    </row>
    <row r="142" spans="2:7" ht="33.75" customHeight="1" x14ac:dyDescent="0.35">
      <c r="B142" s="2277"/>
      <c r="C142" s="1672" t="s">
        <v>1508</v>
      </c>
      <c r="D142" s="1642">
        <v>355</v>
      </c>
      <c r="F142" s="1643"/>
      <c r="G142" s="1643"/>
    </row>
    <row r="143" spans="2:7" ht="33.75" customHeight="1" x14ac:dyDescent="0.35">
      <c r="B143" s="2277"/>
      <c r="C143" s="1672" t="s">
        <v>1509</v>
      </c>
      <c r="D143" s="1642">
        <v>12.999000000000001</v>
      </c>
      <c r="F143" s="1643"/>
      <c r="G143" s="1643"/>
    </row>
    <row r="144" spans="2:7" ht="33.75" customHeight="1" x14ac:dyDescent="0.35">
      <c r="B144" s="2277"/>
      <c r="C144" s="1672" t="s">
        <v>1510</v>
      </c>
      <c r="D144" s="1642">
        <v>15</v>
      </c>
      <c r="F144" s="1643"/>
      <c r="G144" s="1643"/>
    </row>
    <row r="145" spans="2:7" ht="33.75" customHeight="1" x14ac:dyDescent="0.35">
      <c r="B145" s="2277"/>
      <c r="C145" s="1672" t="s">
        <v>1511</v>
      </c>
      <c r="D145" s="1642">
        <v>35.979999999999997</v>
      </c>
      <c r="F145" s="1643"/>
      <c r="G145" s="1643"/>
    </row>
    <row r="146" spans="2:7" ht="33.75" customHeight="1" x14ac:dyDescent="0.35">
      <c r="B146" s="2277"/>
      <c r="C146" s="1672" t="s">
        <v>1512</v>
      </c>
      <c r="D146" s="1642">
        <v>19.05</v>
      </c>
      <c r="F146" s="1643"/>
      <c r="G146" s="1643"/>
    </row>
    <row r="147" spans="2:7" ht="33.75" customHeight="1" x14ac:dyDescent="0.35">
      <c r="B147" s="2277"/>
      <c r="C147" s="1672" t="s">
        <v>1168</v>
      </c>
      <c r="D147" s="1642">
        <v>11.8</v>
      </c>
      <c r="F147" s="1643"/>
      <c r="G147" s="1643"/>
    </row>
    <row r="148" spans="2:7" ht="33.75" customHeight="1" x14ac:dyDescent="0.35">
      <c r="B148" s="2277"/>
      <c r="C148" s="1672" t="s">
        <v>1513</v>
      </c>
      <c r="D148" s="1642">
        <v>9.9990000000000006</v>
      </c>
      <c r="F148" s="1643"/>
      <c r="G148" s="1643"/>
    </row>
    <row r="149" spans="2:7" ht="33.75" customHeight="1" x14ac:dyDescent="0.35">
      <c r="B149" s="2277"/>
      <c r="C149" s="1672" t="s">
        <v>1514</v>
      </c>
      <c r="D149" s="1642">
        <v>9.9990000000000006</v>
      </c>
      <c r="F149" s="1643"/>
      <c r="G149" s="1643"/>
    </row>
    <row r="150" spans="2:7" ht="33.75" customHeight="1" x14ac:dyDescent="0.35">
      <c r="B150" s="2277"/>
      <c r="C150" s="1672" t="s">
        <v>1515</v>
      </c>
      <c r="D150" s="1642">
        <v>477.90100000000001</v>
      </c>
      <c r="F150" s="1643"/>
      <c r="G150" s="1643"/>
    </row>
    <row r="151" spans="2:7" ht="33.75" customHeight="1" x14ac:dyDescent="0.35">
      <c r="B151" s="2277"/>
      <c r="C151" s="1672" t="s">
        <v>1516</v>
      </c>
      <c r="D151" s="1642">
        <v>66.293999999999997</v>
      </c>
      <c r="F151" s="1643"/>
      <c r="G151" s="1643"/>
    </row>
    <row r="152" spans="2:7" ht="33.75" customHeight="1" x14ac:dyDescent="0.35">
      <c r="B152" s="2277"/>
      <c r="C152" s="1672" t="s">
        <v>1517</v>
      </c>
      <c r="D152" s="1642">
        <v>25.998999999999999</v>
      </c>
      <c r="F152" s="1643"/>
      <c r="G152" s="1643"/>
    </row>
    <row r="153" spans="2:7" ht="33.75" customHeight="1" x14ac:dyDescent="0.35">
      <c r="B153" s="2277"/>
      <c r="C153" s="1672" t="s">
        <v>1518</v>
      </c>
      <c r="D153" s="1642">
        <v>30</v>
      </c>
      <c r="F153" s="1643"/>
      <c r="G153" s="1643"/>
    </row>
    <row r="154" spans="2:7" ht="33.75" customHeight="1" x14ac:dyDescent="0.35">
      <c r="B154" s="2277"/>
      <c r="C154" s="1672" t="s">
        <v>1519</v>
      </c>
      <c r="D154" s="1642">
        <v>35.798000000000002</v>
      </c>
      <c r="F154" s="1643"/>
      <c r="G154" s="1643"/>
    </row>
    <row r="155" spans="2:7" ht="33.75" customHeight="1" x14ac:dyDescent="0.35">
      <c r="B155" s="2277"/>
      <c r="C155" s="1672" t="s">
        <v>1520</v>
      </c>
      <c r="D155" s="1642">
        <v>1408.4960000000001</v>
      </c>
      <c r="F155" s="1643"/>
      <c r="G155" s="1643"/>
    </row>
    <row r="156" spans="2:7" ht="33.75" customHeight="1" x14ac:dyDescent="0.35">
      <c r="B156" s="2277"/>
      <c r="C156" s="1672" t="s">
        <v>1521</v>
      </c>
      <c r="D156" s="1642">
        <v>584.20000000000005</v>
      </c>
      <c r="F156" s="1643"/>
      <c r="G156" s="1643"/>
    </row>
    <row r="157" spans="2:7" ht="33.75" customHeight="1" thickBot="1" x14ac:dyDescent="0.4">
      <c r="B157" s="2278"/>
      <c r="C157" s="1672" t="s">
        <v>1522</v>
      </c>
      <c r="D157" s="1642">
        <v>534.66999999999996</v>
      </c>
      <c r="F157" s="1643"/>
      <c r="G157" s="1643"/>
    </row>
    <row r="158" spans="2:7" ht="33.75" customHeight="1" thickBot="1" x14ac:dyDescent="0.45">
      <c r="B158" s="2279" t="s">
        <v>1163</v>
      </c>
      <c r="C158" s="2307"/>
      <c r="D158" s="1664">
        <f>SUM(D138:D157)</f>
        <v>10318.494999999999</v>
      </c>
      <c r="F158" s="1643"/>
      <c r="G158" s="1643"/>
    </row>
    <row r="159" spans="2:7" ht="33.75" customHeight="1" x14ac:dyDescent="0.35">
      <c r="B159" s="2277" t="s">
        <v>1166</v>
      </c>
      <c r="C159" s="2302" t="s">
        <v>1472</v>
      </c>
      <c r="D159" s="1642">
        <v>2929</v>
      </c>
      <c r="F159" s="1643"/>
      <c r="G159" s="1643"/>
    </row>
    <row r="160" spans="2:7" ht="33.75" customHeight="1" x14ac:dyDescent="0.35">
      <c r="B160" s="2150"/>
      <c r="C160" s="1672" t="s">
        <v>1523</v>
      </c>
      <c r="D160" s="1642">
        <v>42.091999999999999</v>
      </c>
      <c r="F160" s="1643"/>
      <c r="G160" s="1643"/>
    </row>
    <row r="161" spans="2:7" ht="33.75" customHeight="1" x14ac:dyDescent="0.35">
      <c r="B161" s="2150"/>
      <c r="C161" s="1672" t="s">
        <v>1524</v>
      </c>
      <c r="D161" s="1642">
        <v>482.74200000000002</v>
      </c>
      <c r="F161" s="1643"/>
      <c r="G161" s="1643"/>
    </row>
    <row r="162" spans="2:7" ht="33.75" customHeight="1" x14ac:dyDescent="0.35">
      <c r="B162" s="2150"/>
      <c r="C162" s="1672" t="s">
        <v>1525</v>
      </c>
      <c r="D162" s="1642">
        <v>15.146000000000001</v>
      </c>
      <c r="F162" s="1643"/>
      <c r="G162" s="1643"/>
    </row>
    <row r="163" spans="2:7" ht="33.75" customHeight="1" x14ac:dyDescent="0.35">
      <c r="B163" s="2150"/>
      <c r="C163" s="1672" t="s">
        <v>1526</v>
      </c>
      <c r="D163" s="1642">
        <v>132.15</v>
      </c>
      <c r="F163" s="1643"/>
      <c r="G163" s="1643"/>
    </row>
    <row r="164" spans="2:7" ht="33.75" customHeight="1" x14ac:dyDescent="0.35">
      <c r="B164" s="2150"/>
      <c r="C164" s="1672" t="s">
        <v>1527</v>
      </c>
      <c r="D164" s="1642">
        <v>54.999000000000002</v>
      </c>
      <c r="F164" s="1643"/>
      <c r="G164" s="1643"/>
    </row>
    <row r="165" spans="2:7" ht="33.75" customHeight="1" x14ac:dyDescent="0.35">
      <c r="B165" s="2150"/>
      <c r="C165" s="1672" t="s">
        <v>1528</v>
      </c>
      <c r="D165" s="1642">
        <v>16.989999999999998</v>
      </c>
      <c r="F165" s="1643"/>
      <c r="G165" s="1643"/>
    </row>
    <row r="166" spans="2:7" ht="33.75" customHeight="1" x14ac:dyDescent="0.35">
      <c r="B166" s="2150"/>
      <c r="C166" s="1672" t="s">
        <v>1529</v>
      </c>
      <c r="D166" s="1642">
        <v>56.4</v>
      </c>
      <c r="F166" s="1643"/>
      <c r="G166" s="1643"/>
    </row>
    <row r="167" spans="2:7" ht="33.75" customHeight="1" x14ac:dyDescent="0.35">
      <c r="B167" s="2150"/>
      <c r="C167" s="1672" t="s">
        <v>1530</v>
      </c>
      <c r="D167" s="1642">
        <v>14.675000000000001</v>
      </c>
      <c r="F167" s="1643"/>
      <c r="G167" s="1643"/>
    </row>
    <row r="168" spans="2:7" ht="33.75" customHeight="1" x14ac:dyDescent="0.35">
      <c r="B168" s="2150"/>
      <c r="C168" s="1672" t="s">
        <v>1531</v>
      </c>
      <c r="D168" s="1642">
        <v>121.7</v>
      </c>
      <c r="F168" s="1643"/>
      <c r="G168" s="1643"/>
    </row>
    <row r="169" spans="2:7" ht="33.75" customHeight="1" x14ac:dyDescent="0.35">
      <c r="B169" s="2150"/>
      <c r="C169" s="1672" t="s">
        <v>1532</v>
      </c>
      <c r="D169" s="1642">
        <v>24.79</v>
      </c>
      <c r="F169" s="1643"/>
      <c r="G169" s="1643"/>
    </row>
    <row r="170" spans="2:7" ht="33.75" customHeight="1" x14ac:dyDescent="0.35">
      <c r="B170" s="2150"/>
      <c r="C170" s="1672" t="s">
        <v>1533</v>
      </c>
      <c r="D170" s="1642">
        <v>218.48</v>
      </c>
      <c r="F170" s="1643"/>
      <c r="G170" s="1643"/>
    </row>
    <row r="171" spans="2:7" ht="33.75" customHeight="1" x14ac:dyDescent="0.35">
      <c r="B171" s="2150"/>
      <c r="C171" s="1672" t="s">
        <v>1534</v>
      </c>
      <c r="D171" s="1642">
        <v>24.9</v>
      </c>
      <c r="F171" s="1643"/>
      <c r="G171" s="1643"/>
    </row>
    <row r="172" spans="2:7" ht="33.75" customHeight="1" x14ac:dyDescent="0.35">
      <c r="B172" s="2150"/>
      <c r="C172" s="1672" t="s">
        <v>1535</v>
      </c>
      <c r="D172" s="1642">
        <v>88.41</v>
      </c>
      <c r="F172" s="1643"/>
      <c r="G172" s="1643"/>
    </row>
    <row r="173" spans="2:7" ht="33.75" customHeight="1" x14ac:dyDescent="0.35">
      <c r="B173" s="2150"/>
      <c r="C173" s="1672" t="s">
        <v>1536</v>
      </c>
      <c r="D173" s="1642">
        <v>429</v>
      </c>
      <c r="F173" s="1643"/>
      <c r="G173" s="1643"/>
    </row>
    <row r="174" spans="2:7" ht="33.75" customHeight="1" x14ac:dyDescent="0.35">
      <c r="B174" s="2150"/>
      <c r="C174" s="1672" t="s">
        <v>1537</v>
      </c>
      <c r="D174" s="1642">
        <v>93.99</v>
      </c>
      <c r="F174" s="1643"/>
      <c r="G174" s="1643"/>
    </row>
    <row r="175" spans="2:7" ht="33.75" customHeight="1" x14ac:dyDescent="0.35">
      <c r="B175" s="2150"/>
      <c r="C175" s="1672" t="s">
        <v>1538</v>
      </c>
      <c r="D175" s="1642">
        <v>51.029000000000003</v>
      </c>
      <c r="F175" s="1643"/>
      <c r="G175" s="1643"/>
    </row>
    <row r="176" spans="2:7" ht="56.25" customHeight="1" x14ac:dyDescent="0.35">
      <c r="B176" s="2150"/>
      <c r="C176" s="1672" t="s">
        <v>1539</v>
      </c>
      <c r="D176" s="1642">
        <v>1800</v>
      </c>
      <c r="F176" s="1643"/>
      <c r="G176" s="1643"/>
    </row>
    <row r="177" spans="2:7" ht="33.75" customHeight="1" x14ac:dyDescent="0.35">
      <c r="B177" s="1673"/>
      <c r="C177" s="1672" t="s">
        <v>1540</v>
      </c>
      <c r="D177" s="1642">
        <v>1600</v>
      </c>
      <c r="F177" s="1643"/>
      <c r="G177" s="1643"/>
    </row>
    <row r="178" spans="2:7" ht="33.75" customHeight="1" x14ac:dyDescent="0.35">
      <c r="B178" s="2150"/>
      <c r="C178" s="1672" t="s">
        <v>1541</v>
      </c>
      <c r="D178" s="1642">
        <v>2000</v>
      </c>
      <c r="F178" s="1643"/>
      <c r="G178" s="1643"/>
    </row>
    <row r="179" spans="2:7" ht="33.75" customHeight="1" x14ac:dyDescent="0.35">
      <c r="B179" s="2150"/>
      <c r="C179" s="1672" t="s">
        <v>1542</v>
      </c>
      <c r="D179" s="1642">
        <v>177.25</v>
      </c>
      <c r="F179" s="1643"/>
      <c r="G179" s="1643"/>
    </row>
    <row r="180" spans="2:7" ht="33.75" customHeight="1" x14ac:dyDescent="0.35">
      <c r="B180" s="2150"/>
      <c r="C180" s="1672" t="s">
        <v>1543</v>
      </c>
      <c r="D180" s="1642">
        <v>566.84</v>
      </c>
      <c r="F180" s="1643"/>
      <c r="G180" s="1643"/>
    </row>
    <row r="181" spans="2:7" ht="33.75" customHeight="1" x14ac:dyDescent="0.35">
      <c r="B181" s="2150"/>
      <c r="C181" s="1672" t="s">
        <v>1544</v>
      </c>
      <c r="D181" s="1642">
        <v>320.39999999999998</v>
      </c>
      <c r="F181" s="1643"/>
      <c r="G181" s="1643"/>
    </row>
    <row r="182" spans="2:7" ht="33.75" customHeight="1" x14ac:dyDescent="0.35">
      <c r="B182" s="2150"/>
      <c r="C182" s="1672" t="s">
        <v>1545</v>
      </c>
      <c r="D182" s="1642">
        <v>486.92099999999999</v>
      </c>
      <c r="F182" s="1643"/>
      <c r="G182" s="1643"/>
    </row>
    <row r="183" spans="2:7" ht="33.75" customHeight="1" x14ac:dyDescent="0.35">
      <c r="B183" s="2150"/>
      <c r="C183" s="1672" t="s">
        <v>1546</v>
      </c>
      <c r="D183" s="1642">
        <v>332.613</v>
      </c>
      <c r="F183" s="1643"/>
      <c r="G183" s="1643"/>
    </row>
    <row r="184" spans="2:7" ht="33.75" customHeight="1" x14ac:dyDescent="0.35">
      <c r="B184" s="2150"/>
      <c r="C184" s="1672" t="s">
        <v>1547</v>
      </c>
      <c r="D184" s="1642">
        <v>20.67</v>
      </c>
      <c r="F184" s="1643"/>
      <c r="G184" s="1643"/>
    </row>
    <row r="185" spans="2:7" ht="33.75" customHeight="1" x14ac:dyDescent="0.35">
      <c r="B185" s="2150"/>
      <c r="C185" s="1672" t="s">
        <v>1548</v>
      </c>
      <c r="D185" s="1642">
        <v>128</v>
      </c>
      <c r="F185" s="1643"/>
      <c r="G185" s="1643"/>
    </row>
    <row r="186" spans="2:7" ht="33.75" customHeight="1" x14ac:dyDescent="0.35">
      <c r="B186" s="2150"/>
      <c r="C186" s="1672" t="s">
        <v>1549</v>
      </c>
      <c r="D186" s="1642">
        <v>87.43</v>
      </c>
      <c r="F186" s="1643"/>
      <c r="G186" s="1643"/>
    </row>
    <row r="187" spans="2:7" ht="33.75" customHeight="1" x14ac:dyDescent="0.35">
      <c r="B187" s="2150"/>
      <c r="C187" s="1672" t="s">
        <v>1550</v>
      </c>
      <c r="D187" s="1642">
        <v>54.244999999999997</v>
      </c>
      <c r="F187" s="1643"/>
      <c r="G187" s="1643"/>
    </row>
    <row r="188" spans="2:7" ht="33.75" customHeight="1" x14ac:dyDescent="0.35">
      <c r="B188" s="2150"/>
      <c r="C188" s="1672" t="s">
        <v>1551</v>
      </c>
      <c r="D188" s="1642">
        <v>28.99</v>
      </c>
      <c r="F188" s="1643"/>
      <c r="G188" s="1643"/>
    </row>
    <row r="189" spans="2:7" ht="33.75" customHeight="1" x14ac:dyDescent="0.35">
      <c r="B189" s="2150"/>
      <c r="C189" s="1672" t="s">
        <v>1552</v>
      </c>
      <c r="D189" s="1642">
        <v>17.989999999999998</v>
      </c>
      <c r="F189" s="1643"/>
      <c r="G189" s="1643"/>
    </row>
    <row r="190" spans="2:7" ht="33.75" customHeight="1" x14ac:dyDescent="0.35">
      <c r="B190" s="2150"/>
      <c r="C190" s="1672" t="s">
        <v>1553</v>
      </c>
      <c r="D190" s="1642">
        <v>24.673999999999999</v>
      </c>
      <c r="F190" s="1643"/>
      <c r="G190" s="1643"/>
    </row>
    <row r="191" spans="2:7" ht="33.75" customHeight="1" x14ac:dyDescent="0.35">
      <c r="B191" s="2150"/>
      <c r="C191" s="1672" t="s">
        <v>1554</v>
      </c>
      <c r="D191" s="1642">
        <v>240</v>
      </c>
      <c r="F191" s="1643"/>
      <c r="G191" s="1643"/>
    </row>
    <row r="192" spans="2:7" ht="33.75" customHeight="1" thickBot="1" x14ac:dyDescent="0.4">
      <c r="B192" s="2280"/>
      <c r="C192" s="1672" t="s">
        <v>1555</v>
      </c>
      <c r="D192" s="1642">
        <v>18.989999999999998</v>
      </c>
      <c r="F192" s="1643"/>
      <c r="G192" s="1643"/>
    </row>
    <row r="193" spans="2:7" s="1660" customFormat="1" ht="33.75" customHeight="1" thickBot="1" x14ac:dyDescent="0.45">
      <c r="B193" s="1675" t="s">
        <v>1163</v>
      </c>
      <c r="C193" s="2308"/>
      <c r="D193" s="1664">
        <f>SUM(D159:D192)</f>
        <v>12701.505999999999</v>
      </c>
      <c r="F193" s="1662"/>
      <c r="G193" s="1662"/>
    </row>
    <row r="194" spans="2:7" s="1660" customFormat="1" ht="33.75" customHeight="1" thickBot="1" x14ac:dyDescent="0.45">
      <c r="B194" s="1675" t="s">
        <v>1169</v>
      </c>
      <c r="C194" s="2303"/>
      <c r="D194" s="1664">
        <f>D107+D122+D137+D158+D193</f>
        <v>64844.837999999996</v>
      </c>
      <c r="F194" s="1662"/>
      <c r="G194" s="1662"/>
    </row>
    <row r="195" spans="2:7" ht="33.75" customHeight="1" x14ac:dyDescent="0.4">
      <c r="B195" s="1677" t="s">
        <v>1170</v>
      </c>
      <c r="C195" s="2304"/>
      <c r="D195" s="1653"/>
    </row>
    <row r="196" spans="2:7" ht="33.75" customHeight="1" thickBot="1" x14ac:dyDescent="0.4">
      <c r="B196" s="1667" t="s">
        <v>1171</v>
      </c>
      <c r="C196" s="2302" t="s">
        <v>1556</v>
      </c>
      <c r="D196" s="1642">
        <v>30</v>
      </c>
    </row>
    <row r="197" spans="2:7" ht="33.75" customHeight="1" thickBot="1" x14ac:dyDescent="0.45">
      <c r="B197" s="1675" t="s">
        <v>1163</v>
      </c>
      <c r="C197" s="2303"/>
      <c r="D197" s="1664">
        <f>SUM(D196)</f>
        <v>30</v>
      </c>
    </row>
    <row r="198" spans="2:7" ht="33.75" customHeight="1" x14ac:dyDescent="0.4">
      <c r="B198" s="1677" t="s">
        <v>1172</v>
      </c>
      <c r="C198" s="2304"/>
      <c r="D198" s="1650"/>
    </row>
    <row r="199" spans="2:7" ht="33.75" customHeight="1" x14ac:dyDescent="0.35">
      <c r="B199" s="1667" t="s">
        <v>1173</v>
      </c>
      <c r="C199" s="1671" t="s">
        <v>1472</v>
      </c>
      <c r="D199" s="1642">
        <v>1168</v>
      </c>
    </row>
    <row r="200" spans="2:7" ht="33.75" customHeight="1" x14ac:dyDescent="0.35">
      <c r="B200" s="1667" t="s">
        <v>1174</v>
      </c>
      <c r="C200" s="1671" t="s">
        <v>1557</v>
      </c>
      <c r="D200" s="1642">
        <v>965</v>
      </c>
    </row>
    <row r="201" spans="2:7" ht="33.75" customHeight="1" x14ac:dyDescent="0.35">
      <c r="B201" s="1667"/>
      <c r="C201" s="1671" t="s">
        <v>1175</v>
      </c>
      <c r="D201" s="1642">
        <v>1371</v>
      </c>
    </row>
    <row r="202" spans="2:7" ht="33.75" customHeight="1" x14ac:dyDescent="0.35">
      <c r="B202" s="1667"/>
      <c r="C202" s="1671" t="s">
        <v>1558</v>
      </c>
      <c r="D202" s="1642">
        <v>2667</v>
      </c>
    </row>
    <row r="203" spans="2:7" ht="33.75" customHeight="1" x14ac:dyDescent="0.35">
      <c r="B203" s="1667"/>
      <c r="C203" s="1671" t="s">
        <v>1559</v>
      </c>
      <c r="D203" s="1642">
        <v>749</v>
      </c>
    </row>
    <row r="204" spans="2:7" ht="33.75" customHeight="1" x14ac:dyDescent="0.35">
      <c r="B204" s="1667"/>
      <c r="C204" s="1671" t="s">
        <v>1176</v>
      </c>
      <c r="D204" s="1642">
        <v>471</v>
      </c>
    </row>
    <row r="205" spans="2:7" ht="33.75" customHeight="1" thickBot="1" x14ac:dyDescent="0.4">
      <c r="B205" s="1667"/>
      <c r="C205" s="1671" t="s">
        <v>1177</v>
      </c>
      <c r="D205" s="1648">
        <v>616</v>
      </c>
    </row>
    <row r="206" spans="2:7" ht="33.75" customHeight="1" thickBot="1" x14ac:dyDescent="0.45">
      <c r="B206" s="1675" t="s">
        <v>1163</v>
      </c>
      <c r="C206" s="2303"/>
      <c r="D206" s="1664">
        <f>SUM(D199:D205)</f>
        <v>8007</v>
      </c>
      <c r="F206" s="1643"/>
      <c r="G206" s="1643"/>
    </row>
    <row r="207" spans="2:7" ht="33.75" customHeight="1" x14ac:dyDescent="0.4">
      <c r="B207" s="1679" t="s">
        <v>1178</v>
      </c>
      <c r="C207" s="2304"/>
      <c r="D207" s="1653"/>
      <c r="F207" s="1643"/>
      <c r="G207" s="1643"/>
    </row>
    <row r="208" spans="2:7" ht="33.75" customHeight="1" x14ac:dyDescent="0.35">
      <c r="B208" s="2281" t="s">
        <v>1560</v>
      </c>
      <c r="C208" s="2309"/>
      <c r="D208" s="1656"/>
      <c r="F208" s="1643"/>
      <c r="G208" s="1643"/>
    </row>
    <row r="209" spans="2:7" ht="33.75" customHeight="1" x14ac:dyDescent="0.35">
      <c r="B209" s="1681" t="s">
        <v>1180</v>
      </c>
      <c r="C209" s="2302" t="s">
        <v>1561</v>
      </c>
      <c r="D209" s="1642">
        <v>766</v>
      </c>
      <c r="F209" s="1643"/>
      <c r="G209" s="1643"/>
    </row>
    <row r="210" spans="2:7" ht="33.75" customHeight="1" x14ac:dyDescent="0.35">
      <c r="B210" s="1680"/>
      <c r="C210" s="1671" t="s">
        <v>1562</v>
      </c>
      <c r="D210" s="1642">
        <v>530</v>
      </c>
      <c r="F210" s="1643"/>
      <c r="G210" s="1643"/>
    </row>
    <row r="211" spans="2:7" ht="33.75" customHeight="1" x14ac:dyDescent="0.35">
      <c r="B211" s="1680"/>
      <c r="C211" s="1671" t="s">
        <v>1183</v>
      </c>
      <c r="D211" s="1642">
        <v>165</v>
      </c>
      <c r="F211" s="1643"/>
      <c r="G211" s="1643"/>
    </row>
    <row r="212" spans="2:7" ht="33.75" customHeight="1" thickBot="1" x14ac:dyDescent="0.4">
      <c r="B212" s="1680"/>
      <c r="C212" s="2297" t="s">
        <v>1563</v>
      </c>
      <c r="D212" s="1648">
        <v>109</v>
      </c>
      <c r="F212" s="1643"/>
      <c r="G212" s="1643"/>
    </row>
    <row r="213" spans="2:7" ht="33.75" customHeight="1" x14ac:dyDescent="0.35">
      <c r="B213" s="1681" t="s">
        <v>1564</v>
      </c>
      <c r="C213" s="1652" t="s">
        <v>1565</v>
      </c>
      <c r="D213" s="1642">
        <v>673</v>
      </c>
      <c r="F213" s="1643"/>
      <c r="G213" s="1643"/>
    </row>
    <row r="214" spans="2:7" ht="33.75" customHeight="1" thickBot="1" x14ac:dyDescent="0.4">
      <c r="B214" s="1680"/>
      <c r="C214" s="1655" t="s">
        <v>1566</v>
      </c>
      <c r="D214" s="1656">
        <v>272</v>
      </c>
      <c r="F214" s="1643"/>
      <c r="G214" s="1643"/>
    </row>
    <row r="215" spans="2:7" ht="33.75" customHeight="1" thickBot="1" x14ac:dyDescent="0.4">
      <c r="B215" s="1681" t="s">
        <v>1191</v>
      </c>
      <c r="C215" s="1641" t="s">
        <v>1567</v>
      </c>
      <c r="D215" s="2295">
        <v>122</v>
      </c>
      <c r="F215" s="1643"/>
      <c r="G215" s="1643"/>
    </row>
    <row r="216" spans="2:7" ht="33.75" customHeight="1" x14ac:dyDescent="0.35">
      <c r="B216" s="1681" t="s">
        <v>1182</v>
      </c>
      <c r="C216" s="1652" t="s">
        <v>1568</v>
      </c>
      <c r="D216" s="1650">
        <v>1749</v>
      </c>
      <c r="F216" s="1643"/>
      <c r="G216" s="1643"/>
    </row>
    <row r="217" spans="2:7" ht="33.75" customHeight="1" x14ac:dyDescent="0.35">
      <c r="B217" s="1680"/>
      <c r="C217" s="1644" t="s">
        <v>1569</v>
      </c>
      <c r="D217" s="1642">
        <v>342</v>
      </c>
      <c r="F217" s="1643"/>
      <c r="G217" s="1643"/>
    </row>
    <row r="218" spans="2:7" ht="33.75" customHeight="1" x14ac:dyDescent="0.35">
      <c r="B218" s="1680"/>
      <c r="C218" s="1644" t="s">
        <v>1570</v>
      </c>
      <c r="D218" s="1642">
        <v>225</v>
      </c>
      <c r="F218" s="1643"/>
      <c r="G218" s="1643"/>
    </row>
    <row r="219" spans="2:7" ht="33.75" customHeight="1" thickBot="1" x14ac:dyDescent="0.4">
      <c r="B219" s="1681"/>
      <c r="C219" s="1641" t="s">
        <v>1571</v>
      </c>
      <c r="D219" s="1648">
        <v>798</v>
      </c>
      <c r="F219" s="1643"/>
      <c r="G219" s="1643"/>
    </row>
    <row r="220" spans="2:7" ht="33.75" customHeight="1" x14ac:dyDescent="0.35">
      <c r="B220" s="1681" t="s">
        <v>1184</v>
      </c>
      <c r="C220" s="1652" t="s">
        <v>1572</v>
      </c>
      <c r="D220" s="1650">
        <v>301</v>
      </c>
      <c r="F220" s="1643"/>
      <c r="G220" s="1643"/>
    </row>
    <row r="221" spans="2:7" ht="33.75" customHeight="1" x14ac:dyDescent="0.35">
      <c r="B221" s="1680"/>
      <c r="C221" s="1644" t="s">
        <v>1573</v>
      </c>
      <c r="D221" s="1642">
        <v>158</v>
      </c>
      <c r="F221" s="1643"/>
      <c r="G221" s="1643"/>
    </row>
    <row r="222" spans="2:7" ht="33.75" customHeight="1" thickBot="1" x14ac:dyDescent="0.4">
      <c r="B222" s="1680"/>
      <c r="C222" s="1641" t="s">
        <v>1574</v>
      </c>
      <c r="D222" s="1648">
        <v>109</v>
      </c>
      <c r="F222" s="1643"/>
      <c r="G222" s="1643"/>
    </row>
    <row r="223" spans="2:7" ht="33.75" customHeight="1" x14ac:dyDescent="0.35">
      <c r="B223" s="1681" t="s">
        <v>1185</v>
      </c>
      <c r="C223" s="1652" t="s">
        <v>1572</v>
      </c>
      <c r="D223" s="1642">
        <v>301</v>
      </c>
      <c r="F223" s="1643"/>
      <c r="G223" s="1643"/>
    </row>
    <row r="224" spans="2:7" ht="33.75" customHeight="1" x14ac:dyDescent="0.35">
      <c r="B224" s="1681"/>
      <c r="C224" s="1641" t="s">
        <v>1575</v>
      </c>
      <c r="D224" s="1642">
        <v>81</v>
      </c>
      <c r="F224" s="1643"/>
      <c r="G224" s="1643"/>
    </row>
    <row r="225" spans="2:7" ht="33.75" customHeight="1" thickBot="1" x14ac:dyDescent="0.4">
      <c r="B225" s="1680"/>
      <c r="C225" s="1641" t="s">
        <v>1576</v>
      </c>
      <c r="D225" s="1656">
        <v>150</v>
      </c>
      <c r="F225" s="1643"/>
      <c r="G225" s="1643"/>
    </row>
    <row r="226" spans="2:7" ht="33.75" customHeight="1" x14ac:dyDescent="0.35">
      <c r="B226" s="1681" t="s">
        <v>1187</v>
      </c>
      <c r="C226" s="1652" t="s">
        <v>1577</v>
      </c>
      <c r="D226" s="1650">
        <v>722</v>
      </c>
    </row>
    <row r="227" spans="2:7" ht="33.75" customHeight="1" x14ac:dyDescent="0.35">
      <c r="B227" s="1680"/>
      <c r="C227" s="1641" t="s">
        <v>1578</v>
      </c>
      <c r="D227" s="1642">
        <v>43</v>
      </c>
      <c r="F227" s="1643"/>
      <c r="G227" s="1643"/>
    </row>
    <row r="228" spans="2:7" ht="33.75" customHeight="1" x14ac:dyDescent="0.35">
      <c r="B228" s="1680"/>
      <c r="C228" s="1641" t="s">
        <v>1579</v>
      </c>
      <c r="D228" s="1642">
        <v>192</v>
      </c>
      <c r="F228" s="1643"/>
      <c r="G228" s="1643"/>
    </row>
    <row r="229" spans="2:7" ht="33.75" customHeight="1" thickBot="1" x14ac:dyDescent="0.4">
      <c r="B229" s="1680"/>
      <c r="C229" s="1644" t="s">
        <v>1580</v>
      </c>
      <c r="D229" s="1648">
        <v>350</v>
      </c>
      <c r="F229" s="1643"/>
      <c r="G229" s="1643"/>
    </row>
    <row r="230" spans="2:7" ht="33.75" customHeight="1" x14ac:dyDescent="0.35">
      <c r="B230" s="1681" t="s">
        <v>1188</v>
      </c>
      <c r="C230" s="1652" t="s">
        <v>1581</v>
      </c>
      <c r="D230" s="1650">
        <v>339</v>
      </c>
      <c r="F230" s="1643"/>
      <c r="G230" s="1643"/>
    </row>
    <row r="231" spans="2:7" ht="33.75" customHeight="1" thickBot="1" x14ac:dyDescent="0.4">
      <c r="B231" s="1681"/>
      <c r="C231" s="1655" t="s">
        <v>1573</v>
      </c>
      <c r="D231" s="1648">
        <v>104</v>
      </c>
      <c r="F231" s="1643"/>
      <c r="G231" s="1643"/>
    </row>
    <row r="232" spans="2:7" ht="33.75" customHeight="1" x14ac:dyDescent="0.35">
      <c r="B232" s="1681" t="s">
        <v>1189</v>
      </c>
      <c r="C232" s="1652" t="s">
        <v>1581</v>
      </c>
      <c r="D232" s="1650">
        <v>296</v>
      </c>
      <c r="F232" s="1643"/>
      <c r="G232" s="1643"/>
    </row>
    <row r="233" spans="2:7" ht="33.75" customHeight="1" x14ac:dyDescent="0.35">
      <c r="B233" s="1681"/>
      <c r="C233" s="1641" t="s">
        <v>1582</v>
      </c>
      <c r="D233" s="1642">
        <v>115</v>
      </c>
      <c r="F233" s="1643"/>
      <c r="G233" s="1643"/>
    </row>
    <row r="234" spans="2:7" ht="33.75" customHeight="1" x14ac:dyDescent="0.35">
      <c r="B234" s="1681"/>
      <c r="C234" s="1641" t="s">
        <v>1583</v>
      </c>
      <c r="D234" s="1642">
        <v>99</v>
      </c>
      <c r="F234" s="1643"/>
      <c r="G234" s="1643"/>
    </row>
    <row r="235" spans="2:7" ht="33.75" customHeight="1" thickBot="1" x14ac:dyDescent="0.4">
      <c r="B235" s="1681"/>
      <c r="C235" s="1641" t="s">
        <v>1584</v>
      </c>
      <c r="D235" s="1648">
        <v>45</v>
      </c>
      <c r="F235" s="1643"/>
      <c r="G235" s="1643"/>
    </row>
    <row r="236" spans="2:7" ht="33.75" customHeight="1" x14ac:dyDescent="0.35">
      <c r="B236" s="1681" t="s">
        <v>1190</v>
      </c>
      <c r="C236" s="1652" t="s">
        <v>1585</v>
      </c>
      <c r="D236" s="1642">
        <v>555</v>
      </c>
      <c r="F236" s="1643"/>
      <c r="G236" s="1643"/>
    </row>
    <row r="237" spans="2:7" ht="33.75" customHeight="1" x14ac:dyDescent="0.35">
      <c r="B237" s="1680"/>
      <c r="C237" s="1641" t="s">
        <v>1186</v>
      </c>
      <c r="D237" s="1642">
        <v>71</v>
      </c>
      <c r="F237" s="1643"/>
      <c r="G237" s="1643"/>
    </row>
    <row r="238" spans="2:7" ht="33.75" customHeight="1" thickBot="1" x14ac:dyDescent="0.4">
      <c r="B238" s="1680"/>
      <c r="C238" s="1641" t="s">
        <v>1584</v>
      </c>
      <c r="D238" s="1642">
        <v>143</v>
      </c>
      <c r="F238" s="1643"/>
      <c r="G238" s="1643"/>
    </row>
    <row r="239" spans="2:7" ht="33.75" customHeight="1" thickBot="1" x14ac:dyDescent="0.45">
      <c r="B239" s="1675" t="s">
        <v>1163</v>
      </c>
      <c r="C239" s="1668"/>
      <c r="D239" s="1664">
        <f>SUM(D209:D238)</f>
        <v>9925</v>
      </c>
      <c r="F239" s="1643"/>
      <c r="G239" s="1643"/>
    </row>
    <row r="240" spans="2:7" ht="33.75" customHeight="1" x14ac:dyDescent="0.35">
      <c r="B240" s="2790" t="s">
        <v>1376</v>
      </c>
      <c r="C240" s="2309" t="s">
        <v>1586</v>
      </c>
      <c r="D240" s="1642">
        <v>484.63200000000001</v>
      </c>
      <c r="F240" s="1643"/>
      <c r="G240" s="1643"/>
    </row>
    <row r="241" spans="2:7" ht="33.75" customHeight="1" x14ac:dyDescent="0.35">
      <c r="B241" s="2791"/>
      <c r="C241" s="1671" t="s">
        <v>1472</v>
      </c>
      <c r="D241" s="1642">
        <v>1247</v>
      </c>
      <c r="F241" s="1643"/>
      <c r="G241" s="1643"/>
    </row>
    <row r="242" spans="2:7" ht="33.75" customHeight="1" x14ac:dyDescent="0.35">
      <c r="B242" s="2791"/>
      <c r="C242" s="1671" t="s">
        <v>1587</v>
      </c>
      <c r="D242" s="1642">
        <v>62.548000000000002</v>
      </c>
      <c r="F242" s="1643"/>
      <c r="G242" s="1643"/>
    </row>
    <row r="243" spans="2:7" ht="33.75" customHeight="1" x14ac:dyDescent="0.35">
      <c r="B243" s="2791"/>
      <c r="C243" s="1671" t="s">
        <v>1588</v>
      </c>
      <c r="D243" s="1642">
        <v>3282.4389999999999</v>
      </c>
      <c r="F243" s="1643"/>
      <c r="G243" s="1643"/>
    </row>
    <row r="244" spans="2:7" ht="33.75" customHeight="1" x14ac:dyDescent="0.35">
      <c r="B244" s="1682"/>
      <c r="C244" s="1671" t="s">
        <v>1589</v>
      </c>
      <c r="D244" s="1642">
        <v>79.031999999999996</v>
      </c>
      <c r="F244" s="1643"/>
      <c r="G244" s="1643"/>
    </row>
    <row r="245" spans="2:7" ht="33.75" customHeight="1" x14ac:dyDescent="0.35">
      <c r="B245" s="1683"/>
      <c r="C245" s="2302" t="s">
        <v>1590</v>
      </c>
      <c r="D245" s="1642">
        <v>1506</v>
      </c>
      <c r="F245" s="1643"/>
      <c r="G245" s="1643"/>
    </row>
    <row r="246" spans="2:7" ht="33.75" customHeight="1" x14ac:dyDescent="0.35">
      <c r="B246" s="1683"/>
      <c r="C246" s="1671" t="s">
        <v>1591</v>
      </c>
      <c r="D246" s="1642">
        <v>29.998999999999999</v>
      </c>
      <c r="F246" s="1643"/>
      <c r="G246" s="1643"/>
    </row>
    <row r="247" spans="2:7" ht="33.75" customHeight="1" x14ac:dyDescent="0.35">
      <c r="B247" s="1683"/>
      <c r="C247" s="1671" t="s">
        <v>1592</v>
      </c>
      <c r="D247" s="1642">
        <v>29.591000000000001</v>
      </c>
      <c r="F247" s="1643"/>
      <c r="G247" s="1643"/>
    </row>
    <row r="248" spans="2:7" ht="33.75" customHeight="1" x14ac:dyDescent="0.35">
      <c r="B248" s="1683"/>
      <c r="C248" s="1671" t="s">
        <v>1593</v>
      </c>
      <c r="D248" s="1642">
        <v>94.992999999999995</v>
      </c>
      <c r="F248" s="1643"/>
      <c r="G248" s="1643"/>
    </row>
    <row r="249" spans="2:7" ht="33.75" customHeight="1" x14ac:dyDescent="0.35">
      <c r="B249" s="1683"/>
      <c r="C249" s="1671" t="s">
        <v>1594</v>
      </c>
      <c r="D249" s="1642">
        <v>355.8</v>
      </c>
      <c r="F249" s="1643"/>
      <c r="G249" s="1643"/>
    </row>
    <row r="250" spans="2:7" ht="33.75" customHeight="1" x14ac:dyDescent="0.35">
      <c r="B250" s="1683"/>
      <c r="C250" s="1671" t="s">
        <v>1595</v>
      </c>
      <c r="D250" s="1642">
        <v>197.434</v>
      </c>
      <c r="F250" s="1643"/>
      <c r="G250" s="1643"/>
    </row>
    <row r="251" spans="2:7" ht="33.75" customHeight="1" x14ac:dyDescent="0.35">
      <c r="B251" s="1683"/>
      <c r="C251" s="1671" t="s">
        <v>1181</v>
      </c>
      <c r="D251" s="1642">
        <v>104.173</v>
      </c>
      <c r="F251" s="1643"/>
      <c r="G251" s="1643"/>
    </row>
    <row r="252" spans="2:7" ht="33.75" customHeight="1" x14ac:dyDescent="0.35">
      <c r="B252" s="1683"/>
      <c r="C252" s="1671" t="s">
        <v>1596</v>
      </c>
      <c r="D252" s="1642">
        <v>889.49</v>
      </c>
      <c r="F252" s="1643"/>
      <c r="G252" s="1643"/>
    </row>
    <row r="253" spans="2:7" ht="33.75" customHeight="1" x14ac:dyDescent="0.35">
      <c r="B253" s="1683"/>
      <c r="C253" s="1671" t="s">
        <v>1597</v>
      </c>
      <c r="D253" s="1642">
        <v>245.06800000000001</v>
      </c>
      <c r="F253" s="1643"/>
      <c r="G253" s="1643"/>
    </row>
    <row r="254" spans="2:7" ht="33.75" customHeight="1" x14ac:dyDescent="0.35">
      <c r="B254" s="1683"/>
      <c r="C254" s="1671" t="s">
        <v>1598</v>
      </c>
      <c r="D254" s="1642">
        <v>2885.9</v>
      </c>
      <c r="F254" s="1643"/>
      <c r="G254" s="1643"/>
    </row>
    <row r="255" spans="2:7" ht="33.75" customHeight="1" x14ac:dyDescent="0.35">
      <c r="B255" s="1683"/>
      <c r="C255" s="1671" t="s">
        <v>1599</v>
      </c>
      <c r="D255" s="1642">
        <v>167.726</v>
      </c>
      <c r="F255" s="1643"/>
      <c r="G255" s="1643"/>
    </row>
    <row r="256" spans="2:7" ht="33.75" customHeight="1" x14ac:dyDescent="0.35">
      <c r="B256" s="1683"/>
      <c r="C256" s="1671" t="s">
        <v>1600</v>
      </c>
      <c r="D256" s="1642">
        <v>329.137</v>
      </c>
      <c r="F256" s="1643"/>
      <c r="G256" s="1643"/>
    </row>
    <row r="257" spans="2:7" ht="33.75" customHeight="1" thickBot="1" x14ac:dyDescent="0.4">
      <c r="B257" s="1683"/>
      <c r="C257" s="1671" t="s">
        <v>1143</v>
      </c>
      <c r="D257" s="1656">
        <v>275.87799999999999</v>
      </c>
      <c r="F257" s="1643"/>
      <c r="G257" s="1643"/>
    </row>
    <row r="258" spans="2:7" ht="33.75" customHeight="1" thickBot="1" x14ac:dyDescent="0.45">
      <c r="B258" s="2282" t="s">
        <v>1163</v>
      </c>
      <c r="C258" s="2307"/>
      <c r="D258" s="1676">
        <f>SUM(D240:D257)</f>
        <v>12266.840000000002</v>
      </c>
      <c r="F258" s="1643"/>
      <c r="G258" s="1643"/>
    </row>
    <row r="259" spans="2:7" ht="33.75" customHeight="1" thickBot="1" x14ac:dyDescent="0.45">
      <c r="B259" s="1675" t="s">
        <v>1192</v>
      </c>
      <c r="C259" s="2303"/>
      <c r="D259" s="1664">
        <f>D194+D197+D206+D239+D258</f>
        <v>95073.677999999985</v>
      </c>
      <c r="F259" s="1643"/>
      <c r="G259" s="1643"/>
    </row>
    <row r="260" spans="2:7" ht="33.75" customHeight="1" thickBot="1" x14ac:dyDescent="0.45">
      <c r="B260" s="1675" t="s">
        <v>4</v>
      </c>
      <c r="C260" s="2303"/>
      <c r="D260" s="1664">
        <f>D95</f>
        <v>92178.561000000002</v>
      </c>
      <c r="F260" s="1643"/>
      <c r="G260" s="1643"/>
    </row>
    <row r="261" spans="2:7" ht="33.75" customHeight="1" thickBot="1" x14ac:dyDescent="0.45">
      <c r="B261" s="1684" t="s">
        <v>1193</v>
      </c>
      <c r="C261" s="2310"/>
      <c r="D261" s="1664">
        <f>SUM(D259:D260)+1</f>
        <v>187253.239</v>
      </c>
      <c r="F261" s="1643"/>
      <c r="G261" s="1643"/>
    </row>
    <row r="262" spans="2:7" ht="60.75" customHeight="1" x14ac:dyDescent="0.35">
      <c r="B262" s="2153" t="s">
        <v>1194</v>
      </c>
      <c r="C262" s="1671" t="s">
        <v>1195</v>
      </c>
      <c r="D262" s="1650">
        <v>7512</v>
      </c>
      <c r="F262" s="1643"/>
      <c r="G262" s="1643"/>
    </row>
    <row r="263" spans="2:7" ht="33.75" customHeight="1" x14ac:dyDescent="0.35">
      <c r="B263" s="2262"/>
      <c r="C263" s="1671" t="s">
        <v>1196</v>
      </c>
      <c r="D263" s="1642">
        <v>4915</v>
      </c>
      <c r="F263" s="1643"/>
      <c r="G263" s="1643"/>
    </row>
    <row r="264" spans="2:7" ht="33.75" customHeight="1" x14ac:dyDescent="0.35">
      <c r="B264" s="2262"/>
      <c r="C264" s="1671" t="s">
        <v>1601</v>
      </c>
      <c r="D264" s="1642">
        <v>305</v>
      </c>
      <c r="F264" s="1643"/>
      <c r="G264" s="1643"/>
    </row>
    <row r="265" spans="2:7" ht="33.75" customHeight="1" x14ac:dyDescent="0.35">
      <c r="B265" s="2262"/>
      <c r="C265" s="1671" t="s">
        <v>1197</v>
      </c>
      <c r="D265" s="1642">
        <v>1108</v>
      </c>
      <c r="F265" s="1643"/>
      <c r="G265" s="1643"/>
    </row>
    <row r="266" spans="2:7" ht="33.75" customHeight="1" x14ac:dyDescent="0.35">
      <c r="B266" s="2262"/>
      <c r="C266" s="1671" t="s">
        <v>1198</v>
      </c>
      <c r="D266" s="1642">
        <v>12718</v>
      </c>
      <c r="F266" s="1643"/>
      <c r="G266" s="1643"/>
    </row>
    <row r="267" spans="2:7" ht="33.75" customHeight="1" x14ac:dyDescent="0.35">
      <c r="B267" s="2262"/>
      <c r="C267" s="1671" t="s">
        <v>1602</v>
      </c>
      <c r="D267" s="1642">
        <v>30953</v>
      </c>
    </row>
    <row r="268" spans="2:7" ht="33.75" customHeight="1" x14ac:dyDescent="0.35">
      <c r="B268" s="2262"/>
      <c r="C268" s="1671" t="s">
        <v>1603</v>
      </c>
      <c r="D268" s="1642">
        <v>2946</v>
      </c>
      <c r="F268" s="1643"/>
      <c r="G268" s="1643"/>
    </row>
    <row r="269" spans="2:7" ht="33.75" customHeight="1" x14ac:dyDescent="0.35">
      <c r="B269" s="2262"/>
      <c r="C269" s="1671" t="s">
        <v>1604</v>
      </c>
      <c r="D269" s="1642">
        <v>2456</v>
      </c>
      <c r="F269" s="1643"/>
      <c r="G269" s="1643"/>
    </row>
    <row r="270" spans="2:7" ht="33.75" customHeight="1" thickBot="1" x14ac:dyDescent="0.4">
      <c r="B270" s="2262"/>
      <c r="C270" s="1671" t="s">
        <v>1605</v>
      </c>
      <c r="D270" s="1657">
        <v>1540</v>
      </c>
      <c r="F270" s="1643"/>
      <c r="G270" s="1643"/>
    </row>
    <row r="271" spans="2:7" ht="33.75" customHeight="1" thickBot="1" x14ac:dyDescent="0.45">
      <c r="B271" s="2273" t="s">
        <v>1199</v>
      </c>
      <c r="C271" s="2311"/>
      <c r="D271" s="1659">
        <f>SUM(D262:D270)</f>
        <v>64453</v>
      </c>
      <c r="F271" s="1643"/>
      <c r="G271" s="1643"/>
    </row>
    <row r="272" spans="2:7" ht="33.75" customHeight="1" x14ac:dyDescent="0.35">
      <c r="B272" s="2152" t="s">
        <v>1200</v>
      </c>
      <c r="C272" s="2312"/>
      <c r="D272" s="1653"/>
      <c r="F272" s="1643"/>
      <c r="G272" s="1643"/>
    </row>
    <row r="273" spans="2:7" ht="33.75" customHeight="1" x14ac:dyDescent="0.35">
      <c r="B273" s="2283" t="s">
        <v>1200</v>
      </c>
      <c r="C273" s="2302" t="s">
        <v>1606</v>
      </c>
      <c r="D273" s="1642">
        <v>990.16800000000001</v>
      </c>
      <c r="F273" s="1643"/>
      <c r="G273" s="1643"/>
    </row>
    <row r="274" spans="2:7" ht="33.75" customHeight="1" x14ac:dyDescent="0.35">
      <c r="B274" s="1674"/>
      <c r="C274" s="1671" t="s">
        <v>1183</v>
      </c>
      <c r="D274" s="1642">
        <v>1354.5</v>
      </c>
      <c r="F274" s="1643"/>
      <c r="G274" s="1643"/>
    </row>
    <row r="275" spans="2:7" ht="33.75" customHeight="1" x14ac:dyDescent="0.35">
      <c r="B275" s="1674"/>
      <c r="C275" s="1671" t="s">
        <v>1607</v>
      </c>
      <c r="D275" s="1642">
        <v>180</v>
      </c>
      <c r="F275" s="1643"/>
      <c r="G275" s="1643"/>
    </row>
    <row r="276" spans="2:7" ht="33.75" customHeight="1" x14ac:dyDescent="0.35">
      <c r="B276" s="1674"/>
      <c r="C276" s="1671" t="s">
        <v>1608</v>
      </c>
      <c r="D276" s="1642">
        <v>116.59099999999999</v>
      </c>
      <c r="F276" s="1643"/>
      <c r="G276" s="1643"/>
    </row>
    <row r="277" spans="2:7" ht="33.75" customHeight="1" x14ac:dyDescent="0.35">
      <c r="B277" s="1674"/>
      <c r="C277" s="1671" t="s">
        <v>1609</v>
      </c>
      <c r="D277" s="1642">
        <v>209.55</v>
      </c>
      <c r="F277" s="1643"/>
      <c r="G277" s="1643"/>
    </row>
    <row r="278" spans="2:7" ht="33.75" customHeight="1" x14ac:dyDescent="0.35">
      <c r="B278" s="1674"/>
      <c r="C278" s="1671" t="s">
        <v>1610</v>
      </c>
      <c r="D278" s="1642">
        <v>68.58</v>
      </c>
      <c r="F278" s="1643"/>
      <c r="G278" s="1643"/>
    </row>
    <row r="279" spans="2:7" ht="33.75" customHeight="1" x14ac:dyDescent="0.35">
      <c r="B279" s="1674"/>
      <c r="C279" s="1671" t="s">
        <v>1611</v>
      </c>
      <c r="D279" s="1642">
        <v>59.322000000000003</v>
      </c>
      <c r="F279" s="1643"/>
      <c r="G279" s="1643"/>
    </row>
    <row r="280" spans="2:7" ht="33.75" customHeight="1" x14ac:dyDescent="0.35">
      <c r="B280" s="1674"/>
      <c r="C280" s="1671" t="s">
        <v>1612</v>
      </c>
      <c r="D280" s="1642">
        <v>144.5</v>
      </c>
      <c r="F280" s="1643"/>
      <c r="G280" s="1643"/>
    </row>
    <row r="281" spans="2:7" ht="33.75" customHeight="1" x14ac:dyDescent="0.35">
      <c r="B281" s="1674"/>
      <c r="C281" s="1678" t="s">
        <v>1613</v>
      </c>
      <c r="D281" s="1642">
        <v>13.8</v>
      </c>
      <c r="F281" s="1643"/>
      <c r="G281" s="1643"/>
    </row>
    <row r="282" spans="2:7" ht="33.75" customHeight="1" x14ac:dyDescent="0.35">
      <c r="B282" s="2284" t="s">
        <v>1614</v>
      </c>
      <c r="C282" s="1678" t="s">
        <v>1615</v>
      </c>
      <c r="D282" s="1642">
        <v>97.995999999999995</v>
      </c>
      <c r="F282" s="1643"/>
      <c r="G282" s="1643"/>
    </row>
    <row r="283" spans="2:7" ht="33.75" customHeight="1" x14ac:dyDescent="0.35">
      <c r="B283" s="1674"/>
      <c r="C283" s="1678" t="s">
        <v>1616</v>
      </c>
      <c r="D283" s="1642">
        <v>243.9</v>
      </c>
      <c r="F283" s="1643"/>
      <c r="G283" s="1643"/>
    </row>
    <row r="284" spans="2:7" ht="33.75" customHeight="1" thickBot="1" x14ac:dyDescent="0.4">
      <c r="B284" s="1674"/>
      <c r="C284" s="1685" t="s">
        <v>1617</v>
      </c>
      <c r="D284" s="1648">
        <v>87</v>
      </c>
      <c r="F284" s="1643"/>
      <c r="G284" s="1643"/>
    </row>
    <row r="285" spans="2:7" ht="33.75" customHeight="1" thickBot="1" x14ac:dyDescent="0.45">
      <c r="B285" s="2273" t="s">
        <v>1199</v>
      </c>
      <c r="C285" s="2303"/>
      <c r="D285" s="1664">
        <v>3565.9070000000006</v>
      </c>
      <c r="F285" s="1643"/>
      <c r="G285" s="1643"/>
    </row>
    <row r="286" spans="2:7" ht="33.75" customHeight="1" thickBot="1" x14ac:dyDescent="0.45">
      <c r="B286" s="1675" t="s">
        <v>747</v>
      </c>
      <c r="C286" s="2263"/>
      <c r="D286" s="2264">
        <f>D261+D271+D285</f>
        <v>255272.14600000001</v>
      </c>
      <c r="F286" s="1643"/>
      <c r="G286" s="1643"/>
    </row>
    <row r="287" spans="2:7" ht="33.75" customHeight="1" x14ac:dyDescent="0.35">
      <c r="C287" s="1687"/>
      <c r="D287" s="1688"/>
      <c r="F287" s="1643"/>
      <c r="G287" s="1643"/>
    </row>
  </sheetData>
  <mergeCells count="3">
    <mergeCell ref="B4:D4"/>
    <mergeCell ref="B5:D5"/>
    <mergeCell ref="B240:B2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headerFooter>
    <oddHeader>&amp;R&amp;"Arial,Félkövér"&amp;26 29. melléklet a …../2018. (…….) önkormányzati rendelethez</oddHeader>
  </headerFooter>
  <rowBreaks count="4" manualBreakCount="4">
    <brk id="65" min="1" max="3" man="1"/>
    <brk id="132" min="1" max="3" man="1"/>
    <brk id="194" min="1" max="3" man="1"/>
    <brk id="261" min="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3"/>
  <sheetViews>
    <sheetView zoomScale="75" zoomScaleNormal="75" zoomScaleSheetLayoutView="75" workbookViewId="0">
      <selection activeCell="N23" sqref="N23"/>
    </sheetView>
  </sheetViews>
  <sheetFormatPr defaultColWidth="9.33203125" defaultRowHeight="21" customHeight="1" x14ac:dyDescent="0.3"/>
  <cols>
    <col min="1" max="1" width="19" style="239" customWidth="1"/>
    <col min="2" max="2" width="5" style="408" customWidth="1"/>
    <col min="3" max="3" width="5.6640625" style="408" customWidth="1"/>
    <col min="4" max="5" width="2.33203125" style="408" customWidth="1"/>
    <col min="6" max="6" width="164.6640625" style="408" customWidth="1"/>
    <col min="7" max="9" width="25.83203125" style="408" customWidth="1"/>
    <col min="10" max="10" width="31.1640625" style="408" customWidth="1"/>
    <col min="11" max="11" width="37.83203125" style="468" customWidth="1"/>
    <col min="12" max="12" width="24.1640625" style="468" customWidth="1"/>
    <col min="13" max="13" width="10.1640625" style="468" bestFit="1" customWidth="1"/>
    <col min="14" max="14" width="9.33203125" style="11"/>
    <col min="15" max="15" width="16.83203125" style="11" bestFit="1" customWidth="1"/>
    <col min="16" max="16384" width="9.33203125" style="11"/>
  </cols>
  <sheetData>
    <row r="1" spans="1:13" ht="21" customHeight="1" x14ac:dyDescent="0.3">
      <c r="B1" s="2545"/>
      <c r="C1" s="2545"/>
      <c r="D1" s="2545"/>
      <c r="E1" s="2545"/>
      <c r="F1" s="2545"/>
    </row>
    <row r="2" spans="1:13" ht="30.75" customHeight="1" x14ac:dyDescent="0.4">
      <c r="B2" s="2549" t="s">
        <v>405</v>
      </c>
      <c r="C2" s="2549"/>
      <c r="D2" s="2549"/>
      <c r="E2" s="2549"/>
      <c r="F2" s="2549"/>
      <c r="G2" s="2549"/>
      <c r="H2" s="2549"/>
      <c r="I2" s="2549"/>
      <c r="J2" s="2549"/>
    </row>
    <row r="3" spans="1:13" ht="24.75" customHeight="1" x14ac:dyDescent="0.3">
      <c r="B3" s="407"/>
      <c r="C3" s="407"/>
      <c r="D3" s="407"/>
      <c r="E3" s="407"/>
      <c r="F3" s="407"/>
    </row>
    <row r="4" spans="1:13" ht="24.75" customHeight="1" thickBot="1" x14ac:dyDescent="0.35">
      <c r="C4" s="409"/>
      <c r="D4" s="409"/>
      <c r="E4" s="409"/>
      <c r="F4" s="410"/>
      <c r="J4" s="127" t="s">
        <v>32</v>
      </c>
    </row>
    <row r="5" spans="1:13" ht="29.25" customHeight="1" x14ac:dyDescent="0.3">
      <c r="B5" s="502"/>
      <c r="C5" s="503"/>
      <c r="D5" s="503"/>
      <c r="E5" s="503"/>
      <c r="F5" s="504" t="s">
        <v>50</v>
      </c>
      <c r="G5" s="2550" t="s">
        <v>512</v>
      </c>
      <c r="H5" s="2551"/>
      <c r="I5" s="505" t="s">
        <v>662</v>
      </c>
      <c r="J5" s="506" t="s">
        <v>178</v>
      </c>
    </row>
    <row r="6" spans="1:13" ht="29.25" customHeight="1" thickBot="1" x14ac:dyDescent="0.35">
      <c r="B6" s="507"/>
      <c r="C6" s="508"/>
      <c r="D6" s="508"/>
      <c r="E6" s="508"/>
      <c r="F6" s="509"/>
      <c r="G6" s="510" t="s">
        <v>335</v>
      </c>
      <c r="H6" s="511" t="s">
        <v>176</v>
      </c>
      <c r="I6" s="512" t="s">
        <v>177</v>
      </c>
      <c r="J6" s="513" t="s">
        <v>179</v>
      </c>
    </row>
    <row r="7" spans="1:13" ht="29.25" customHeight="1" thickBot="1" x14ac:dyDescent="0.35">
      <c r="B7" s="514" t="s">
        <v>409</v>
      </c>
      <c r="C7" s="515"/>
      <c r="D7" s="516"/>
      <c r="E7" s="516"/>
      <c r="F7" s="517"/>
      <c r="G7" s="854"/>
      <c r="H7" s="518"/>
      <c r="I7" s="518"/>
      <c r="J7" s="652"/>
    </row>
    <row r="8" spans="1:13" s="165" customFormat="1" ht="29.25" customHeight="1" x14ac:dyDescent="0.3">
      <c r="A8" s="862"/>
      <c r="B8" s="519"/>
      <c r="C8" s="521" t="s">
        <v>1670</v>
      </c>
      <c r="D8" s="521"/>
      <c r="E8" s="521"/>
      <c r="F8" s="990"/>
      <c r="G8" s="528">
        <v>60</v>
      </c>
      <c r="H8" s="530">
        <v>5324</v>
      </c>
      <c r="I8" s="991">
        <v>5324</v>
      </c>
      <c r="J8" s="624">
        <f t="shared" ref="J8:J14" si="0">+I8/H8*100</f>
        <v>100</v>
      </c>
      <c r="K8" s="803"/>
      <c r="L8" s="802"/>
      <c r="M8" s="469"/>
    </row>
    <row r="9" spans="1:13" s="165" customFormat="1" ht="29.25" customHeight="1" x14ac:dyDescent="0.3">
      <c r="A9" s="244"/>
      <c r="B9" s="519"/>
      <c r="C9" s="523"/>
      <c r="D9" s="2371"/>
      <c r="E9" s="2371"/>
      <c r="F9" s="2381" t="s">
        <v>1671</v>
      </c>
      <c r="G9" s="2372"/>
      <c r="H9" s="2382">
        <v>5264</v>
      </c>
      <c r="I9" s="2373">
        <v>5264</v>
      </c>
      <c r="J9" s="2374">
        <f t="shared" si="0"/>
        <v>100</v>
      </c>
      <c r="K9" s="471"/>
      <c r="L9" s="470"/>
      <c r="M9" s="469"/>
    </row>
    <row r="10" spans="1:13" s="165" customFormat="1" ht="29.25" customHeight="1" x14ac:dyDescent="0.3">
      <c r="A10" s="862"/>
      <c r="B10" s="519"/>
      <c r="C10" s="2375" t="s">
        <v>1672</v>
      </c>
      <c r="D10" s="2375"/>
      <c r="E10" s="2375"/>
      <c r="F10" s="2383"/>
      <c r="G10" s="2379">
        <v>1492956</v>
      </c>
      <c r="H10" s="2384">
        <v>1567234</v>
      </c>
      <c r="I10" s="2385">
        <v>1571749</v>
      </c>
      <c r="J10" s="2386">
        <f t="shared" si="0"/>
        <v>100.28808716503089</v>
      </c>
      <c r="K10" s="803"/>
      <c r="L10" s="802"/>
      <c r="M10" s="469"/>
    </row>
    <row r="11" spans="1:13" s="165" customFormat="1" ht="51" customHeight="1" x14ac:dyDescent="0.3">
      <c r="A11" s="993"/>
      <c r="B11" s="519"/>
      <c r="C11" s="2546" t="s">
        <v>1673</v>
      </c>
      <c r="D11" s="2547"/>
      <c r="E11" s="2547"/>
      <c r="F11" s="2548"/>
      <c r="G11" s="528">
        <v>771293</v>
      </c>
      <c r="H11" s="530">
        <v>959817</v>
      </c>
      <c r="I11" s="992">
        <v>971991</v>
      </c>
      <c r="J11" s="624">
        <f t="shared" si="0"/>
        <v>101.2683667824179</v>
      </c>
      <c r="K11" s="803"/>
      <c r="L11" s="803"/>
      <c r="M11" s="469"/>
    </row>
    <row r="12" spans="1:13" s="165" customFormat="1" ht="29.25" customHeight="1" x14ac:dyDescent="0.3">
      <c r="A12" s="861"/>
      <c r="B12" s="519"/>
      <c r="C12" s="523"/>
      <c r="D12" s="527" t="s">
        <v>685</v>
      </c>
      <c r="E12" s="522"/>
      <c r="F12" s="527"/>
      <c r="G12" s="528"/>
      <c r="H12" s="525"/>
      <c r="I12" s="525"/>
      <c r="J12" s="526"/>
      <c r="K12" s="471"/>
      <c r="L12" s="471"/>
      <c r="M12" s="469"/>
    </row>
    <row r="13" spans="1:13" s="165" customFormat="1" ht="29.25" customHeight="1" x14ac:dyDescent="0.3">
      <c r="A13" s="861"/>
      <c r="B13" s="519"/>
      <c r="C13" s="523"/>
      <c r="D13" s="524" t="s">
        <v>1331</v>
      </c>
      <c r="E13" s="522"/>
      <c r="F13" s="524"/>
      <c r="G13" s="528"/>
      <c r="H13" s="525">
        <v>126515</v>
      </c>
      <c r="I13" s="525">
        <v>126515</v>
      </c>
      <c r="J13" s="526">
        <f t="shared" si="0"/>
        <v>100</v>
      </c>
      <c r="K13" s="471"/>
      <c r="L13" s="471"/>
      <c r="M13" s="469"/>
    </row>
    <row r="14" spans="1:13" s="165" customFormat="1" ht="51" customHeight="1" x14ac:dyDescent="0.3">
      <c r="A14" s="861"/>
      <c r="B14" s="519"/>
      <c r="C14" s="523"/>
      <c r="D14" s="2557" t="s">
        <v>1675</v>
      </c>
      <c r="E14" s="2557"/>
      <c r="F14" s="2558"/>
      <c r="G14" s="2372">
        <v>0</v>
      </c>
      <c r="H14" s="2373">
        <v>38813</v>
      </c>
      <c r="I14" s="2373">
        <v>38813</v>
      </c>
      <c r="J14" s="2374">
        <f t="shared" si="0"/>
        <v>100</v>
      </c>
      <c r="K14" s="471"/>
      <c r="L14" s="471"/>
      <c r="M14" s="469"/>
    </row>
    <row r="15" spans="1:13" s="165" customFormat="1" ht="21" customHeight="1" x14ac:dyDescent="0.3">
      <c r="A15" s="861"/>
      <c r="B15" s="519"/>
      <c r="C15" s="2375" t="s">
        <v>1674</v>
      </c>
      <c r="D15" s="2376"/>
      <c r="E15" s="2377"/>
      <c r="F15" s="2378"/>
      <c r="G15" s="2379">
        <f>+G8+G10+G11</f>
        <v>2264309</v>
      </c>
      <c r="H15" s="2379">
        <f t="shared" ref="H15:I15" si="1">+H8+H10+H11</f>
        <v>2532375</v>
      </c>
      <c r="I15" s="2379">
        <f t="shared" si="1"/>
        <v>2549064</v>
      </c>
      <c r="J15" s="2380">
        <f>+I15/H15*100</f>
        <v>100.65902561824373</v>
      </c>
      <c r="K15" s="471"/>
      <c r="L15" s="471"/>
      <c r="M15" s="469"/>
    </row>
    <row r="16" spans="1:13" s="165" customFormat="1" ht="29.25" customHeight="1" x14ac:dyDescent="0.3">
      <c r="A16" s="861"/>
      <c r="B16" s="519"/>
      <c r="C16" s="472" t="s">
        <v>192</v>
      </c>
      <c r="D16" s="2369"/>
      <c r="E16" s="2369"/>
      <c r="F16" s="2370"/>
      <c r="G16" s="528"/>
      <c r="H16" s="530"/>
      <c r="I16" s="530"/>
      <c r="J16" s="529"/>
      <c r="K16" s="471"/>
      <c r="L16" s="471"/>
      <c r="M16" s="469"/>
    </row>
    <row r="17" spans="1:13" ht="29.25" customHeight="1" x14ac:dyDescent="0.3">
      <c r="A17" s="244"/>
      <c r="B17" s="531"/>
      <c r="C17" s="474"/>
      <c r="D17" s="532" t="s">
        <v>410</v>
      </c>
      <c r="E17" s="533"/>
      <c r="F17" s="534"/>
      <c r="G17" s="535">
        <v>127300</v>
      </c>
      <c r="H17" s="536">
        <v>127300</v>
      </c>
      <c r="I17" s="536">
        <v>127300</v>
      </c>
      <c r="J17" s="526">
        <f t="shared" ref="J17:J21" si="2">+I17/H17*100</f>
        <v>100</v>
      </c>
      <c r="K17" s="471"/>
      <c r="L17" s="470"/>
    </row>
    <row r="18" spans="1:13" ht="29.25" customHeight="1" x14ac:dyDescent="0.3">
      <c r="A18" s="244"/>
      <c r="B18" s="531"/>
      <c r="C18" s="474"/>
      <c r="D18" s="532" t="s">
        <v>411</v>
      </c>
      <c r="E18" s="533"/>
      <c r="F18" s="534"/>
      <c r="G18" s="535">
        <v>84900</v>
      </c>
      <c r="H18" s="536">
        <v>84900</v>
      </c>
      <c r="I18" s="536">
        <v>84900</v>
      </c>
      <c r="J18" s="526">
        <f t="shared" si="2"/>
        <v>100</v>
      </c>
      <c r="K18" s="471"/>
      <c r="L18" s="470"/>
    </row>
    <row r="19" spans="1:13" ht="29.25" customHeight="1" x14ac:dyDescent="0.3">
      <c r="A19" s="244"/>
      <c r="B19" s="531"/>
      <c r="C19" s="474"/>
      <c r="D19" s="532" t="s">
        <v>412</v>
      </c>
      <c r="E19" s="533"/>
      <c r="F19" s="534"/>
      <c r="G19" s="535">
        <v>40200</v>
      </c>
      <c r="H19" s="536">
        <v>40200</v>
      </c>
      <c r="I19" s="536">
        <v>40200</v>
      </c>
      <c r="J19" s="526">
        <f t="shared" si="2"/>
        <v>100</v>
      </c>
      <c r="K19" s="471"/>
      <c r="L19" s="470"/>
    </row>
    <row r="20" spans="1:13" ht="29.25" customHeight="1" x14ac:dyDescent="0.3">
      <c r="A20" s="244"/>
      <c r="B20" s="531"/>
      <c r="C20" s="474"/>
      <c r="D20" s="532" t="s">
        <v>422</v>
      </c>
      <c r="E20" s="533"/>
      <c r="F20" s="534"/>
      <c r="G20" s="535">
        <v>26800</v>
      </c>
      <c r="H20" s="536">
        <v>26800</v>
      </c>
      <c r="I20" s="536">
        <v>26800</v>
      </c>
      <c r="J20" s="526">
        <f t="shared" si="2"/>
        <v>100</v>
      </c>
      <c r="K20" s="471"/>
      <c r="L20" s="470"/>
    </row>
    <row r="21" spans="1:13" ht="29.25" customHeight="1" x14ac:dyDescent="0.3">
      <c r="A21" s="244"/>
      <c r="B21" s="531"/>
      <c r="C21" s="474"/>
      <c r="D21" s="533" t="s">
        <v>423</v>
      </c>
      <c r="E21" s="533"/>
      <c r="F21" s="534"/>
      <c r="G21" s="538">
        <v>164400</v>
      </c>
      <c r="H21" s="539">
        <v>164400</v>
      </c>
      <c r="I21" s="539">
        <v>164400</v>
      </c>
      <c r="J21" s="526">
        <f t="shared" si="2"/>
        <v>100</v>
      </c>
      <c r="K21" s="471"/>
      <c r="L21" s="470"/>
    </row>
    <row r="22" spans="1:13" ht="51" customHeight="1" x14ac:dyDescent="0.3">
      <c r="A22" s="244"/>
      <c r="B22" s="531"/>
      <c r="C22" s="474"/>
      <c r="D22" s="2552" t="s">
        <v>367</v>
      </c>
      <c r="E22" s="2552"/>
      <c r="F22" s="2553"/>
      <c r="G22" s="535">
        <v>139800</v>
      </c>
      <c r="H22" s="536">
        <v>139800</v>
      </c>
      <c r="I22" s="536">
        <v>139800</v>
      </c>
      <c r="J22" s="526">
        <f t="shared" ref="J22:J28" si="3">+I22/H22*100</f>
        <v>100</v>
      </c>
      <c r="K22" s="471"/>
      <c r="L22" s="470"/>
    </row>
    <row r="23" spans="1:13" ht="51" customHeight="1" x14ac:dyDescent="0.3">
      <c r="A23" s="244"/>
      <c r="B23" s="531"/>
      <c r="C23" s="474"/>
      <c r="D23" s="2552" t="s">
        <v>368</v>
      </c>
      <c r="E23" s="2552"/>
      <c r="F23" s="2553"/>
      <c r="G23" s="537">
        <v>119400</v>
      </c>
      <c r="H23" s="536">
        <v>119400</v>
      </c>
      <c r="I23" s="536">
        <v>119400</v>
      </c>
      <c r="J23" s="526">
        <f t="shared" si="3"/>
        <v>100</v>
      </c>
      <c r="K23" s="471"/>
      <c r="L23" s="470"/>
    </row>
    <row r="24" spans="1:13" ht="29.25" customHeight="1" x14ac:dyDescent="0.3">
      <c r="A24" s="244"/>
      <c r="B24" s="531"/>
      <c r="C24" s="474"/>
      <c r="D24" s="533" t="s">
        <v>369</v>
      </c>
      <c r="E24" s="533"/>
      <c r="F24" s="534"/>
      <c r="G24" s="535">
        <v>140709</v>
      </c>
      <c r="H24" s="536">
        <v>140709</v>
      </c>
      <c r="I24" s="536">
        <v>140709</v>
      </c>
      <c r="J24" s="526">
        <f t="shared" si="3"/>
        <v>100</v>
      </c>
      <c r="K24" s="471"/>
      <c r="L24" s="470"/>
    </row>
    <row r="25" spans="1:13" ht="29.25" customHeight="1" x14ac:dyDescent="0.3">
      <c r="A25" s="244"/>
      <c r="B25" s="531"/>
      <c r="C25" s="474"/>
      <c r="D25" s="533" t="s">
        <v>370</v>
      </c>
      <c r="E25" s="533"/>
      <c r="F25" s="534"/>
      <c r="G25" s="535">
        <v>30938</v>
      </c>
      <c r="H25" s="536">
        <v>30938</v>
      </c>
      <c r="I25" s="536">
        <v>30938</v>
      </c>
      <c r="J25" s="526">
        <f t="shared" si="3"/>
        <v>100</v>
      </c>
      <c r="K25" s="471"/>
      <c r="L25" s="470"/>
    </row>
    <row r="26" spans="1:13" ht="29.25" customHeight="1" x14ac:dyDescent="0.3">
      <c r="A26" s="244"/>
      <c r="B26" s="531"/>
      <c r="C26" s="474"/>
      <c r="D26" s="537" t="s">
        <v>66</v>
      </c>
      <c r="E26" s="533"/>
      <c r="F26" s="534"/>
      <c r="G26" s="535"/>
      <c r="H26" s="536">
        <v>2654</v>
      </c>
      <c r="I26" s="536">
        <v>2654</v>
      </c>
      <c r="J26" s="526">
        <f t="shared" si="3"/>
        <v>100</v>
      </c>
      <c r="K26" s="471"/>
      <c r="L26" s="471"/>
    </row>
    <row r="27" spans="1:13" ht="29.25" customHeight="1" x14ac:dyDescent="0.3">
      <c r="A27" s="244"/>
      <c r="B27" s="531"/>
      <c r="C27" s="474"/>
      <c r="D27" s="537" t="s">
        <v>580</v>
      </c>
      <c r="E27" s="533"/>
      <c r="F27" s="534"/>
      <c r="G27" s="535"/>
      <c r="H27" s="536">
        <v>70434</v>
      </c>
      <c r="I27" s="535">
        <v>70434</v>
      </c>
      <c r="J27" s="526">
        <f t="shared" si="3"/>
        <v>100</v>
      </c>
      <c r="K27" s="471"/>
      <c r="L27" s="471"/>
    </row>
    <row r="28" spans="1:13" s="26" customFormat="1" ht="29.25" customHeight="1" x14ac:dyDescent="0.3">
      <c r="A28" s="862"/>
      <c r="B28" s="797"/>
      <c r="C28" s="472" t="s">
        <v>526</v>
      </c>
      <c r="D28" s="798"/>
      <c r="E28" s="799"/>
      <c r="F28" s="800"/>
      <c r="G28" s="801">
        <f>SUM(G17:G26)</f>
        <v>874447</v>
      </c>
      <c r="H28" s="858">
        <f>SUM(H17:H27)</f>
        <v>947535</v>
      </c>
      <c r="I28" s="801">
        <f>SUM(I17:I27)</f>
        <v>947535</v>
      </c>
      <c r="J28" s="544">
        <f t="shared" si="3"/>
        <v>100</v>
      </c>
      <c r="K28" s="803"/>
      <c r="L28" s="803"/>
      <c r="M28" s="475"/>
    </row>
    <row r="29" spans="1:13" s="162" customFormat="1" ht="29.25" customHeight="1" x14ac:dyDescent="0.3">
      <c r="A29" s="246"/>
      <c r="B29" s="519"/>
      <c r="C29" s="540" t="s">
        <v>227</v>
      </c>
      <c r="D29" s="540"/>
      <c r="E29" s="540"/>
      <c r="F29" s="541"/>
      <c r="G29" s="542"/>
      <c r="H29" s="543"/>
      <c r="I29" s="543"/>
      <c r="J29" s="544"/>
      <c r="K29" s="471"/>
      <c r="L29" s="471"/>
      <c r="M29" s="472"/>
    </row>
    <row r="30" spans="1:13" ht="29.25" customHeight="1" x14ac:dyDescent="0.3">
      <c r="A30" s="244"/>
      <c r="B30" s="531"/>
      <c r="C30" s="545"/>
      <c r="D30" s="546" t="s">
        <v>1676</v>
      </c>
      <c r="E30" s="546"/>
      <c r="F30" s="547"/>
      <c r="G30" s="538"/>
      <c r="H30" s="539">
        <v>126685</v>
      </c>
      <c r="I30" s="539">
        <v>126685</v>
      </c>
      <c r="J30" s="548">
        <f t="shared" ref="J30:J38" si="4">+I30/H30*100</f>
        <v>100</v>
      </c>
      <c r="K30" s="471"/>
      <c r="L30" s="471"/>
    </row>
    <row r="31" spans="1:13" ht="29.25" customHeight="1" x14ac:dyDescent="0.3">
      <c r="A31" s="244"/>
      <c r="B31" s="531"/>
      <c r="C31" s="545"/>
      <c r="D31" s="549" t="s">
        <v>214</v>
      </c>
      <c r="E31" s="549"/>
      <c r="F31" s="550"/>
      <c r="G31" s="535"/>
      <c r="H31" s="536">
        <v>5684</v>
      </c>
      <c r="I31" s="536">
        <v>5684</v>
      </c>
      <c r="J31" s="526">
        <f t="shared" si="4"/>
        <v>100</v>
      </c>
      <c r="K31" s="471"/>
      <c r="L31" s="471"/>
    </row>
    <row r="32" spans="1:13" ht="29.25" customHeight="1" x14ac:dyDescent="0.3">
      <c r="A32" s="244"/>
      <c r="B32" s="531"/>
      <c r="C32" s="545"/>
      <c r="D32" s="551" t="s">
        <v>229</v>
      </c>
      <c r="E32" s="552"/>
      <c r="F32" s="553"/>
      <c r="G32" s="554"/>
      <c r="H32" s="555">
        <v>27087</v>
      </c>
      <c r="I32" s="555">
        <v>27087</v>
      </c>
      <c r="J32" s="556">
        <f t="shared" si="4"/>
        <v>100</v>
      </c>
      <c r="K32" s="471"/>
      <c r="L32" s="471"/>
    </row>
    <row r="33" spans="1:13" ht="29.25" customHeight="1" x14ac:dyDescent="0.3">
      <c r="A33" s="244"/>
      <c r="B33" s="531"/>
      <c r="C33" s="532"/>
      <c r="D33" s="532" t="s">
        <v>585</v>
      </c>
      <c r="E33" s="532"/>
      <c r="F33" s="534"/>
      <c r="G33" s="538"/>
      <c r="H33" s="539">
        <v>35919</v>
      </c>
      <c r="I33" s="539">
        <v>35919</v>
      </c>
      <c r="J33" s="548">
        <f t="shared" si="4"/>
        <v>100</v>
      </c>
      <c r="K33" s="471"/>
      <c r="L33" s="471"/>
    </row>
    <row r="34" spans="1:13" s="162" customFormat="1" ht="29.25" customHeight="1" x14ac:dyDescent="0.3">
      <c r="A34" s="246"/>
      <c r="B34" s="519"/>
      <c r="C34" s="540" t="s">
        <v>527</v>
      </c>
      <c r="D34" s="540"/>
      <c r="E34" s="540"/>
      <c r="F34" s="541"/>
      <c r="G34" s="542">
        <f>SUM(G30:G33)</f>
        <v>0</v>
      </c>
      <c r="H34" s="543">
        <f>SUM(H30:H33)</f>
        <v>195375</v>
      </c>
      <c r="I34" s="542">
        <f>SUM(I30:I33)</f>
        <v>195375</v>
      </c>
      <c r="J34" s="544">
        <f t="shared" si="4"/>
        <v>100</v>
      </c>
      <c r="K34" s="471"/>
      <c r="L34" s="471"/>
      <c r="M34" s="472"/>
    </row>
    <row r="35" spans="1:13" s="94" customFormat="1" ht="29.25" customHeight="1" x14ac:dyDescent="0.3">
      <c r="A35" s="862"/>
      <c r="B35" s="557"/>
      <c r="C35" s="540" t="s">
        <v>228</v>
      </c>
      <c r="D35" s="558"/>
      <c r="E35" s="559"/>
      <c r="F35" s="560"/>
      <c r="G35" s="561"/>
      <c r="H35" s="562"/>
      <c r="I35" s="562"/>
      <c r="J35" s="544"/>
      <c r="K35" s="471"/>
      <c r="L35" s="471"/>
      <c r="M35" s="473"/>
    </row>
    <row r="36" spans="1:13" ht="29.25" customHeight="1" x14ac:dyDescent="0.3">
      <c r="B36" s="563"/>
      <c r="C36" s="788" t="s">
        <v>1677</v>
      </c>
      <c r="D36" s="643"/>
      <c r="E36" s="643"/>
      <c r="F36" s="808"/>
      <c r="G36" s="809"/>
      <c r="H36" s="576">
        <v>1144</v>
      </c>
      <c r="I36" s="576">
        <v>1144</v>
      </c>
      <c r="J36" s="627">
        <f t="shared" si="4"/>
        <v>100</v>
      </c>
      <c r="K36" s="471"/>
      <c r="L36" s="470"/>
    </row>
    <row r="37" spans="1:13" s="26" customFormat="1" ht="29.25" customHeight="1" thickBot="1" x14ac:dyDescent="0.35">
      <c r="A37" s="863"/>
      <c r="B37" s="565"/>
      <c r="C37" s="810" t="s">
        <v>528</v>
      </c>
      <c r="D37" s="508"/>
      <c r="E37" s="508"/>
      <c r="F37" s="566"/>
      <c r="G37" s="567">
        <f>SUM(G36)</f>
        <v>0</v>
      </c>
      <c r="H37" s="859">
        <f t="shared" ref="H37:I37" si="5">SUM(H36)</f>
        <v>1144</v>
      </c>
      <c r="I37" s="567">
        <f t="shared" si="5"/>
        <v>1144</v>
      </c>
      <c r="J37" s="811">
        <f t="shared" si="4"/>
        <v>100</v>
      </c>
      <c r="K37" s="803"/>
      <c r="L37" s="802"/>
      <c r="M37" s="475"/>
    </row>
    <row r="38" spans="1:13" s="26" customFormat="1" ht="29.25" customHeight="1" thickBot="1" x14ac:dyDescent="0.35">
      <c r="A38" s="863"/>
      <c r="B38" s="565" t="s">
        <v>529</v>
      </c>
      <c r="C38" s="812" t="s">
        <v>190</v>
      </c>
      <c r="D38" s="813"/>
      <c r="E38" s="813"/>
      <c r="F38" s="814"/>
      <c r="G38" s="815">
        <f>+G15+G28+G34+G37</f>
        <v>3138756</v>
      </c>
      <c r="H38" s="815">
        <f>+H15+H28+H34+H37</f>
        <v>3676429</v>
      </c>
      <c r="I38" s="815">
        <f>+I15+I28+I34+I37</f>
        <v>3693118</v>
      </c>
      <c r="J38" s="811">
        <f t="shared" si="4"/>
        <v>100.45394593503643</v>
      </c>
      <c r="K38" s="803"/>
      <c r="L38" s="802"/>
      <c r="M38" s="475"/>
    </row>
    <row r="39" spans="1:13" ht="29.25" customHeight="1" thickBot="1" x14ac:dyDescent="0.35">
      <c r="B39" s="563"/>
      <c r="C39" s="819" t="s">
        <v>531</v>
      </c>
      <c r="D39" s="804"/>
      <c r="E39" s="804"/>
      <c r="F39" s="805"/>
      <c r="G39" s="806">
        <v>0</v>
      </c>
      <c r="H39" s="795">
        <v>0</v>
      </c>
      <c r="I39" s="807">
        <v>0</v>
      </c>
      <c r="J39" s="564"/>
      <c r="K39" s="471"/>
      <c r="L39" s="470"/>
    </row>
    <row r="40" spans="1:13" s="26" customFormat="1" ht="29.25" customHeight="1" thickBot="1" x14ac:dyDescent="0.35">
      <c r="A40" s="863"/>
      <c r="B40" s="565" t="s">
        <v>530</v>
      </c>
      <c r="C40" s="520" t="s">
        <v>204</v>
      </c>
      <c r="D40" s="516"/>
      <c r="E40" s="516"/>
      <c r="F40" s="814"/>
      <c r="G40" s="817">
        <f>SUM(G39)</f>
        <v>0</v>
      </c>
      <c r="H40" s="816">
        <f t="shared" ref="H40:I40" si="6">SUM(H39)</f>
        <v>0</v>
      </c>
      <c r="I40" s="817">
        <f t="shared" si="6"/>
        <v>0</v>
      </c>
      <c r="J40" s="811"/>
      <c r="K40" s="803"/>
      <c r="L40" s="802"/>
      <c r="M40" s="475"/>
    </row>
    <row r="41" spans="1:13" ht="29.25" customHeight="1" x14ac:dyDescent="0.3">
      <c r="A41" s="244"/>
      <c r="B41" s="653"/>
      <c r="C41" s="654"/>
      <c r="D41" s="655" t="s">
        <v>69</v>
      </c>
      <c r="E41" s="655"/>
      <c r="F41" s="656"/>
      <c r="G41" s="855">
        <v>30383</v>
      </c>
      <c r="H41" s="657">
        <v>53528</v>
      </c>
      <c r="I41" s="657">
        <v>53528</v>
      </c>
      <c r="J41" s="658">
        <f>+I41/H41*100</f>
        <v>100</v>
      </c>
      <c r="K41" s="471"/>
      <c r="L41" s="471" t="s">
        <v>160</v>
      </c>
    </row>
    <row r="42" spans="1:13" ht="29.25" customHeight="1" x14ac:dyDescent="0.3">
      <c r="A42" s="244"/>
      <c r="B42" s="568"/>
      <c r="C42" s="569"/>
      <c r="D42" s="572" t="s">
        <v>77</v>
      </c>
      <c r="E42" s="572"/>
      <c r="F42" s="573"/>
      <c r="G42" s="856"/>
      <c r="H42" s="571">
        <v>5923</v>
      </c>
      <c r="I42" s="571">
        <v>5923</v>
      </c>
      <c r="J42" s="608">
        <f t="shared" ref="J42:J48" si="7">+I42/H42*100</f>
        <v>100</v>
      </c>
      <c r="K42" s="471"/>
      <c r="L42" s="471" t="s">
        <v>160</v>
      </c>
    </row>
    <row r="43" spans="1:13" ht="29.25" customHeight="1" x14ac:dyDescent="0.3">
      <c r="A43" s="244"/>
      <c r="B43" s="568"/>
      <c r="C43" s="569"/>
      <c r="D43" s="574" t="s">
        <v>1678</v>
      </c>
      <c r="E43" s="575"/>
      <c r="F43" s="573"/>
      <c r="G43" s="856">
        <v>4320</v>
      </c>
      <c r="H43" s="571">
        <v>4320</v>
      </c>
      <c r="I43" s="571">
        <v>4320</v>
      </c>
      <c r="J43" s="608">
        <f t="shared" si="7"/>
        <v>100</v>
      </c>
      <c r="K43" s="471"/>
      <c r="L43" s="471" t="s">
        <v>160</v>
      </c>
    </row>
    <row r="44" spans="1:13" ht="29.25" customHeight="1" x14ac:dyDescent="0.3">
      <c r="A44" s="244"/>
      <c r="B44" s="568"/>
      <c r="C44" s="569"/>
      <c r="D44" s="574" t="s">
        <v>123</v>
      </c>
      <c r="E44" s="575"/>
      <c r="F44" s="573"/>
      <c r="G44" s="856"/>
      <c r="H44" s="571">
        <v>663</v>
      </c>
      <c r="I44" s="571">
        <v>663</v>
      </c>
      <c r="J44" s="608">
        <f t="shared" si="7"/>
        <v>100</v>
      </c>
      <c r="K44" s="471"/>
      <c r="L44" s="471" t="s">
        <v>160</v>
      </c>
    </row>
    <row r="45" spans="1:13" ht="29.25" customHeight="1" x14ac:dyDescent="0.3">
      <c r="B45" s="568"/>
      <c r="C45" s="569"/>
      <c r="D45" s="570" t="s">
        <v>427</v>
      </c>
      <c r="E45" s="575"/>
      <c r="F45" s="573"/>
      <c r="G45" s="809"/>
      <c r="H45" s="576">
        <v>1000</v>
      </c>
      <c r="I45" s="576">
        <v>1000</v>
      </c>
      <c r="J45" s="608">
        <f t="shared" si="7"/>
        <v>100</v>
      </c>
      <c r="K45" s="471"/>
      <c r="L45" s="471" t="s">
        <v>160</v>
      </c>
    </row>
    <row r="46" spans="1:13" ht="29.25" customHeight="1" x14ac:dyDescent="0.3">
      <c r="B46" s="568"/>
      <c r="C46" s="569"/>
      <c r="D46" s="787" t="s">
        <v>1679</v>
      </c>
      <c r="E46" s="575"/>
      <c r="F46" s="573"/>
      <c r="G46" s="809">
        <v>1500</v>
      </c>
      <c r="H46" s="576">
        <v>2423</v>
      </c>
      <c r="I46" s="576">
        <v>1500</v>
      </c>
      <c r="J46" s="608">
        <f t="shared" si="7"/>
        <v>61.906727197688816</v>
      </c>
      <c r="K46" s="471"/>
      <c r="L46" s="471"/>
    </row>
    <row r="47" spans="1:13" ht="29.25" customHeight="1" x14ac:dyDescent="0.3">
      <c r="B47" s="531"/>
      <c r="C47" s="545"/>
      <c r="D47" s="533" t="s">
        <v>220</v>
      </c>
      <c r="E47" s="533"/>
      <c r="F47" s="534"/>
      <c r="G47" s="538"/>
      <c r="H47" s="539">
        <v>12253</v>
      </c>
      <c r="I47" s="539">
        <v>12253</v>
      </c>
      <c r="J47" s="608">
        <f t="shared" si="7"/>
        <v>100</v>
      </c>
      <c r="K47" s="471"/>
      <c r="L47" s="471" t="s">
        <v>160</v>
      </c>
    </row>
    <row r="48" spans="1:13" ht="29.25" customHeight="1" x14ac:dyDescent="0.3">
      <c r="B48" s="531"/>
      <c r="C48" s="545"/>
      <c r="D48" s="533" t="s">
        <v>1680</v>
      </c>
      <c r="E48" s="551"/>
      <c r="F48" s="578"/>
      <c r="G48" s="538"/>
      <c r="H48" s="539">
        <v>943</v>
      </c>
      <c r="I48" s="539">
        <v>943</v>
      </c>
      <c r="J48" s="608">
        <f t="shared" si="7"/>
        <v>100</v>
      </c>
      <c r="K48" s="471"/>
      <c r="L48" s="471"/>
    </row>
    <row r="49" spans="1:12" ht="29.25" customHeight="1" x14ac:dyDescent="0.3">
      <c r="B49" s="531"/>
      <c r="C49" s="545"/>
      <c r="D49" s="994" t="s">
        <v>267</v>
      </c>
      <c r="E49" s="551"/>
      <c r="F49" s="578"/>
      <c r="G49" s="538"/>
      <c r="H49" s="539">
        <v>2926</v>
      </c>
      <c r="I49" s="539">
        <v>2926</v>
      </c>
      <c r="J49" s="608">
        <f t="shared" ref="J49:J55" si="8">+I49/H49*100</f>
        <v>100</v>
      </c>
      <c r="K49" s="995"/>
      <c r="L49" s="876"/>
    </row>
    <row r="50" spans="1:12" ht="29.25" customHeight="1" x14ac:dyDescent="0.3">
      <c r="B50" s="531"/>
      <c r="C50" s="545"/>
      <c r="D50" s="2542" t="s">
        <v>268</v>
      </c>
      <c r="E50" s="2543"/>
      <c r="F50" s="2544"/>
      <c r="G50" s="538"/>
      <c r="H50" s="539">
        <v>15493</v>
      </c>
      <c r="I50" s="539">
        <v>1746</v>
      </c>
      <c r="J50" s="608">
        <f t="shared" si="8"/>
        <v>11.269605628348286</v>
      </c>
      <c r="K50" s="471"/>
      <c r="L50" s="471"/>
    </row>
    <row r="51" spans="1:12" ht="29.25" customHeight="1" x14ac:dyDescent="0.3">
      <c r="B51" s="531"/>
      <c r="C51" s="545"/>
      <c r="D51" s="2554" t="s">
        <v>586</v>
      </c>
      <c r="E51" s="2555"/>
      <c r="F51" s="2556"/>
      <c r="G51" s="538"/>
      <c r="H51" s="539">
        <v>500</v>
      </c>
      <c r="I51" s="539">
        <v>500</v>
      </c>
      <c r="J51" s="608">
        <f t="shared" si="8"/>
        <v>100</v>
      </c>
      <c r="K51" s="471"/>
      <c r="L51" s="471"/>
    </row>
    <row r="52" spans="1:12" ht="43.5" customHeight="1" x14ac:dyDescent="0.3">
      <c r="B52" s="531"/>
      <c r="C52" s="545"/>
      <c r="D52" s="2542" t="s">
        <v>683</v>
      </c>
      <c r="E52" s="2543"/>
      <c r="F52" s="2544"/>
      <c r="G52" s="538"/>
      <c r="H52" s="539">
        <v>110824</v>
      </c>
      <c r="I52" s="539">
        <v>3995</v>
      </c>
      <c r="J52" s="608">
        <f t="shared" si="8"/>
        <v>3.6048148415505668</v>
      </c>
      <c r="K52" s="471"/>
      <c r="L52" s="471"/>
    </row>
    <row r="53" spans="1:12" ht="29.25" customHeight="1" thickBot="1" x14ac:dyDescent="0.35">
      <c r="B53" s="1001"/>
      <c r="C53" s="820"/>
      <c r="D53" s="1002" t="s">
        <v>684</v>
      </c>
      <c r="E53" s="1012"/>
      <c r="F53" s="1013"/>
      <c r="G53" s="857"/>
      <c r="H53" s="821">
        <v>18262</v>
      </c>
      <c r="I53" s="821"/>
      <c r="J53" s="822">
        <f t="shared" si="8"/>
        <v>0</v>
      </c>
      <c r="K53" s="471"/>
      <c r="L53" s="471"/>
    </row>
    <row r="54" spans="1:12" ht="51" customHeight="1" thickBot="1" x14ac:dyDescent="0.35">
      <c r="B54" s="565" t="s">
        <v>532</v>
      </c>
      <c r="C54" s="2540" t="s">
        <v>203</v>
      </c>
      <c r="D54" s="2540"/>
      <c r="E54" s="2540"/>
      <c r="F54" s="2541"/>
      <c r="G54" s="641">
        <f>SUM(G41:G53)</f>
        <v>36203</v>
      </c>
      <c r="H54" s="621">
        <f>SUM(H41:H53)</f>
        <v>229058</v>
      </c>
      <c r="I54" s="641">
        <f>SUM(I41:I53)</f>
        <v>89297</v>
      </c>
      <c r="J54" s="818">
        <f t="shared" si="8"/>
        <v>38.984449353438869</v>
      </c>
      <c r="K54" s="471"/>
      <c r="L54" s="471" t="s">
        <v>160</v>
      </c>
    </row>
    <row r="55" spans="1:12" ht="29.25" customHeight="1" thickBot="1" x14ac:dyDescent="0.35">
      <c r="B55" s="823" t="s">
        <v>1681</v>
      </c>
      <c r="C55" s="824"/>
      <c r="D55" s="813"/>
      <c r="E55" s="813"/>
      <c r="F55" s="814"/>
      <c r="G55" s="825">
        <f>+G38+G40+G54</f>
        <v>3174959</v>
      </c>
      <c r="H55" s="825">
        <f>+H38+H40+H54</f>
        <v>3905487</v>
      </c>
      <c r="I55" s="825">
        <f>+I38+I40+I54</f>
        <v>3782415</v>
      </c>
      <c r="J55" s="826">
        <f t="shared" si="8"/>
        <v>96.848741270934966</v>
      </c>
      <c r="K55" s="471"/>
      <c r="L55" s="470"/>
    </row>
    <row r="56" spans="1:12" ht="29.25" customHeight="1" x14ac:dyDescent="0.3">
      <c r="B56" s="514" t="s">
        <v>444</v>
      </c>
      <c r="C56" s="515"/>
      <c r="D56" s="581"/>
      <c r="E56" s="581"/>
      <c r="F56" s="517"/>
      <c r="G56" s="582"/>
      <c r="H56" s="583"/>
      <c r="I56" s="582"/>
      <c r="J56" s="584"/>
      <c r="K56" s="471"/>
      <c r="L56" s="470"/>
    </row>
    <row r="57" spans="1:12" ht="29.25" customHeight="1" x14ac:dyDescent="0.3">
      <c r="B57" s="585"/>
      <c r="C57" s="569" t="s">
        <v>193</v>
      </c>
      <c r="D57" s="586"/>
      <c r="E57" s="586"/>
      <c r="F57" s="587"/>
      <c r="G57" s="588"/>
      <c r="H57" s="589"/>
      <c r="I57" s="588"/>
      <c r="J57" s="590"/>
      <c r="K57" s="471"/>
      <c r="L57" s="470"/>
    </row>
    <row r="58" spans="1:12" ht="29.25" customHeight="1" x14ac:dyDescent="0.3">
      <c r="A58" s="244"/>
      <c r="B58" s="531"/>
      <c r="C58" s="474"/>
      <c r="D58" s="533" t="s">
        <v>27</v>
      </c>
      <c r="E58" s="533"/>
      <c r="F58" s="534"/>
      <c r="G58" s="591">
        <v>700</v>
      </c>
      <c r="H58" s="591">
        <v>732</v>
      </c>
      <c r="I58" s="591">
        <v>732</v>
      </c>
      <c r="J58" s="592">
        <f>+I58/H58*100</f>
        <v>100</v>
      </c>
      <c r="K58" s="471"/>
      <c r="L58" s="471"/>
    </row>
    <row r="59" spans="1:12" ht="29.25" customHeight="1" x14ac:dyDescent="0.3">
      <c r="B59" s="585"/>
      <c r="C59" s="569" t="s">
        <v>194</v>
      </c>
      <c r="D59" s="586"/>
      <c r="E59" s="586"/>
      <c r="F59" s="587"/>
      <c r="G59" s="588"/>
      <c r="H59" s="588"/>
      <c r="I59" s="588"/>
      <c r="J59" s="590"/>
      <c r="K59" s="471"/>
      <c r="L59" s="471"/>
    </row>
    <row r="60" spans="1:12" ht="29.25" customHeight="1" x14ac:dyDescent="0.3">
      <c r="A60" s="244"/>
      <c r="B60" s="531"/>
      <c r="C60" s="474"/>
      <c r="D60" s="533" t="s">
        <v>51</v>
      </c>
      <c r="E60" s="533"/>
      <c r="F60" s="534"/>
      <c r="G60" s="591">
        <v>1272000</v>
      </c>
      <c r="H60" s="591">
        <v>1219226</v>
      </c>
      <c r="I60" s="591">
        <v>1219226</v>
      </c>
      <c r="J60" s="592">
        <f>+I60/H60*100</f>
        <v>100</v>
      </c>
      <c r="K60" s="471"/>
      <c r="L60" s="470"/>
    </row>
    <row r="61" spans="1:12" ht="29.25" customHeight="1" x14ac:dyDescent="0.3">
      <c r="B61" s="585"/>
      <c r="C61" s="569" t="s">
        <v>195</v>
      </c>
      <c r="D61" s="586"/>
      <c r="E61" s="586"/>
      <c r="F61" s="587"/>
      <c r="G61" s="588"/>
      <c r="H61" s="588"/>
      <c r="I61" s="588"/>
      <c r="J61" s="593"/>
      <c r="K61" s="471"/>
      <c r="L61" s="470"/>
    </row>
    <row r="62" spans="1:12" ht="29.25" customHeight="1" x14ac:dyDescent="0.3">
      <c r="B62" s="568"/>
      <c r="C62" s="569"/>
      <c r="D62" s="574" t="s">
        <v>28</v>
      </c>
      <c r="E62" s="575"/>
      <c r="F62" s="573"/>
      <c r="G62" s="576">
        <v>8150000</v>
      </c>
      <c r="H62" s="576">
        <v>8231656</v>
      </c>
      <c r="I62" s="576">
        <v>8231656</v>
      </c>
      <c r="J62" s="526">
        <f>+I62/H62*100</f>
        <v>100</v>
      </c>
      <c r="K62" s="471"/>
      <c r="L62" s="470"/>
    </row>
    <row r="63" spans="1:12" ht="29.25" customHeight="1" x14ac:dyDescent="0.3">
      <c r="A63" s="244"/>
      <c r="B63" s="568"/>
      <c r="C63" s="569"/>
      <c r="D63" s="594" t="s">
        <v>76</v>
      </c>
      <c r="E63" s="595"/>
      <c r="F63" s="596"/>
      <c r="G63" s="597">
        <v>250000</v>
      </c>
      <c r="H63" s="597">
        <v>268581</v>
      </c>
      <c r="I63" s="576">
        <v>268581</v>
      </c>
      <c r="J63" s="526">
        <f>+I63/H63*100</f>
        <v>100</v>
      </c>
      <c r="K63" s="471"/>
      <c r="L63" s="471"/>
    </row>
    <row r="64" spans="1:12" ht="29.25" customHeight="1" x14ac:dyDescent="0.3">
      <c r="B64" s="568"/>
      <c r="C64" s="569"/>
      <c r="D64" s="574" t="s">
        <v>74</v>
      </c>
      <c r="E64" s="574"/>
      <c r="F64" s="573"/>
      <c r="G64" s="576">
        <v>17000</v>
      </c>
      <c r="H64" s="576">
        <v>21667</v>
      </c>
      <c r="I64" s="576">
        <v>21667</v>
      </c>
      <c r="J64" s="526">
        <f>+I64/H64*100</f>
        <v>100</v>
      </c>
      <c r="K64" s="471"/>
      <c r="L64" s="471"/>
    </row>
    <row r="65" spans="1:12" ht="29.25" customHeight="1" x14ac:dyDescent="0.3">
      <c r="B65" s="585"/>
      <c r="C65" s="569" t="s">
        <v>196</v>
      </c>
      <c r="D65" s="586"/>
      <c r="E65" s="586"/>
      <c r="F65" s="587"/>
      <c r="G65" s="588"/>
      <c r="H65" s="588"/>
      <c r="I65" s="588"/>
      <c r="J65" s="593"/>
      <c r="K65" s="471"/>
      <c r="L65" s="471"/>
    </row>
    <row r="66" spans="1:12" ht="29.25" customHeight="1" x14ac:dyDescent="0.3">
      <c r="B66" s="568"/>
      <c r="C66" s="569"/>
      <c r="D66" s="574" t="s">
        <v>48</v>
      </c>
      <c r="E66" s="575"/>
      <c r="F66" s="573"/>
      <c r="G66" s="576">
        <v>2500</v>
      </c>
      <c r="H66" s="576">
        <v>840</v>
      </c>
      <c r="I66" s="576">
        <v>840</v>
      </c>
      <c r="J66" s="526">
        <f t="shared" ref="J66:J72" si="9">+I66/H66*100</f>
        <v>100</v>
      </c>
      <c r="K66" s="471"/>
      <c r="L66" s="471"/>
    </row>
    <row r="67" spans="1:12" ht="29.25" customHeight="1" x14ac:dyDescent="0.3">
      <c r="B67" s="568"/>
      <c r="C67" s="569"/>
      <c r="D67" s="881" t="s">
        <v>612</v>
      </c>
      <c r="E67" s="575"/>
      <c r="F67" s="573"/>
      <c r="G67" s="576"/>
      <c r="H67" s="576">
        <v>4</v>
      </c>
      <c r="I67" s="576">
        <v>4</v>
      </c>
      <c r="J67" s="526">
        <f t="shared" si="9"/>
        <v>100</v>
      </c>
      <c r="K67" s="471"/>
      <c r="L67" s="471"/>
    </row>
    <row r="68" spans="1:12" ht="29.25" customHeight="1" x14ac:dyDescent="0.3">
      <c r="B68" s="568"/>
      <c r="C68" s="569"/>
      <c r="D68" s="574" t="s">
        <v>353</v>
      </c>
      <c r="E68" s="574"/>
      <c r="F68" s="573"/>
      <c r="G68" s="576">
        <v>30000</v>
      </c>
      <c r="H68" s="576">
        <v>11107</v>
      </c>
      <c r="I68" s="576">
        <v>11107</v>
      </c>
      <c r="J68" s="526">
        <f t="shared" si="9"/>
        <v>100</v>
      </c>
      <c r="K68" s="471"/>
      <c r="L68" s="471"/>
    </row>
    <row r="69" spans="1:12" ht="29.25" customHeight="1" x14ac:dyDescent="0.3">
      <c r="A69" s="244"/>
      <c r="B69" s="568"/>
      <c r="C69" s="569"/>
      <c r="D69" s="574" t="s">
        <v>95</v>
      </c>
      <c r="E69" s="575"/>
      <c r="F69" s="573"/>
      <c r="G69" s="576">
        <v>1000</v>
      </c>
      <c r="H69" s="576">
        <v>82</v>
      </c>
      <c r="I69" s="576">
        <v>82</v>
      </c>
      <c r="J69" s="526">
        <f t="shared" si="9"/>
        <v>100</v>
      </c>
      <c r="K69" s="471"/>
      <c r="L69" s="471"/>
    </row>
    <row r="70" spans="1:12" ht="29.25" customHeight="1" x14ac:dyDescent="0.3">
      <c r="B70" s="568"/>
      <c r="C70" s="545"/>
      <c r="D70" s="533" t="s">
        <v>40</v>
      </c>
      <c r="E70" s="533"/>
      <c r="F70" s="573"/>
      <c r="G70" s="576"/>
      <c r="H70" s="576">
        <v>3747</v>
      </c>
      <c r="I70" s="576">
        <v>3747</v>
      </c>
      <c r="J70" s="526">
        <f t="shared" si="9"/>
        <v>100</v>
      </c>
      <c r="K70" s="471"/>
      <c r="L70" s="471"/>
    </row>
    <row r="71" spans="1:12" ht="29.25" customHeight="1" x14ac:dyDescent="0.3">
      <c r="A71" s="244"/>
      <c r="B71" s="598"/>
      <c r="C71" s="599"/>
      <c r="D71" s="1906" t="s">
        <v>62</v>
      </c>
      <c r="E71" s="1907"/>
      <c r="F71" s="1908"/>
      <c r="G71" s="796"/>
      <c r="H71" s="796">
        <v>73</v>
      </c>
      <c r="I71" s="796">
        <v>73</v>
      </c>
      <c r="J71" s="600">
        <f t="shared" si="9"/>
        <v>100</v>
      </c>
      <c r="K71" s="471"/>
      <c r="L71" s="471"/>
    </row>
    <row r="72" spans="1:12" ht="29.25" customHeight="1" thickBot="1" x14ac:dyDescent="0.35">
      <c r="B72" s="579" t="s">
        <v>445</v>
      </c>
      <c r="C72" s="520"/>
      <c r="D72" s="508"/>
      <c r="E72" s="508"/>
      <c r="F72" s="566"/>
      <c r="G72" s="580">
        <f>SUM(G58:G71)</f>
        <v>9723200</v>
      </c>
      <c r="H72" s="580">
        <f>SUM(H58:H71)</f>
        <v>9757715</v>
      </c>
      <c r="I72" s="580">
        <f>SUM(I58:I71)</f>
        <v>9757715</v>
      </c>
      <c r="J72" s="601">
        <f t="shared" si="9"/>
        <v>100</v>
      </c>
      <c r="K72" s="471"/>
      <c r="L72" s="471"/>
    </row>
    <row r="73" spans="1:12" ht="29.25" customHeight="1" x14ac:dyDescent="0.3">
      <c r="B73" s="565" t="s">
        <v>459</v>
      </c>
      <c r="C73" s="602"/>
      <c r="D73" s="602"/>
      <c r="E73" s="602"/>
      <c r="F73" s="602"/>
      <c r="G73" s="505"/>
      <c r="H73" s="506"/>
      <c r="I73" s="581"/>
      <c r="J73" s="603"/>
      <c r="K73" s="471"/>
      <c r="L73" s="471"/>
    </row>
    <row r="74" spans="1:12" ht="29.25" customHeight="1" x14ac:dyDescent="0.3">
      <c r="A74" s="244"/>
      <c r="B74" s="568"/>
      <c r="C74" s="569"/>
      <c r="D74" s="574" t="s">
        <v>389</v>
      </c>
      <c r="E74" s="574"/>
      <c r="F74" s="573"/>
      <c r="G74" s="576"/>
      <c r="H74" s="576">
        <v>906</v>
      </c>
      <c r="I74" s="576">
        <v>906</v>
      </c>
      <c r="J74" s="548">
        <f>+I74/H74*100</f>
        <v>100</v>
      </c>
      <c r="K74" s="471"/>
      <c r="L74" s="470"/>
    </row>
    <row r="75" spans="1:12" ht="29.25" customHeight="1" x14ac:dyDescent="0.3">
      <c r="B75" s="568"/>
      <c r="C75" s="569"/>
      <c r="D75" s="594" t="s">
        <v>104</v>
      </c>
      <c r="E75" s="595"/>
      <c r="F75" s="596"/>
      <c r="G75" s="597">
        <v>5000</v>
      </c>
      <c r="H75" s="597">
        <v>10839</v>
      </c>
      <c r="I75" s="597">
        <v>10839</v>
      </c>
      <c r="J75" s="526">
        <f t="shared" ref="J75:J88" si="10">+I75/H75*100</f>
        <v>100</v>
      </c>
      <c r="K75" s="471"/>
      <c r="L75" s="470"/>
    </row>
    <row r="76" spans="1:12" ht="29.25" customHeight="1" x14ac:dyDescent="0.3">
      <c r="B76" s="568"/>
      <c r="C76" s="569"/>
      <c r="D76" s="574" t="s">
        <v>406</v>
      </c>
      <c r="E76" s="574"/>
      <c r="F76" s="573"/>
      <c r="G76" s="576">
        <v>5000</v>
      </c>
      <c r="H76" s="576">
        <v>8071</v>
      </c>
      <c r="I76" s="576">
        <v>8071</v>
      </c>
      <c r="J76" s="526">
        <f t="shared" si="10"/>
        <v>100</v>
      </c>
      <c r="K76" s="471"/>
      <c r="L76" s="470"/>
    </row>
    <row r="77" spans="1:12" ht="29.25" customHeight="1" x14ac:dyDescent="0.3">
      <c r="A77" s="244"/>
      <c r="B77" s="568"/>
      <c r="C77" s="569"/>
      <c r="D77" s="574" t="s">
        <v>53</v>
      </c>
      <c r="E77" s="574"/>
      <c r="F77" s="573"/>
      <c r="G77" s="576">
        <v>19000</v>
      </c>
      <c r="H77" s="576">
        <v>19771</v>
      </c>
      <c r="I77" s="576">
        <v>19771</v>
      </c>
      <c r="J77" s="526">
        <f t="shared" si="10"/>
        <v>100</v>
      </c>
      <c r="K77" s="471"/>
      <c r="L77" s="470"/>
    </row>
    <row r="78" spans="1:12" ht="29.25" customHeight="1" x14ac:dyDescent="0.3">
      <c r="B78" s="568"/>
      <c r="C78" s="569"/>
      <c r="D78" s="574" t="s">
        <v>407</v>
      </c>
      <c r="E78" s="574"/>
      <c r="F78" s="573"/>
      <c r="G78" s="576">
        <v>37000</v>
      </c>
      <c r="H78" s="576">
        <v>37404</v>
      </c>
      <c r="I78" s="576">
        <v>37404</v>
      </c>
      <c r="J78" s="526">
        <f t="shared" si="10"/>
        <v>100</v>
      </c>
      <c r="K78" s="471"/>
      <c r="L78" s="470"/>
    </row>
    <row r="79" spans="1:12" ht="29.25" customHeight="1" x14ac:dyDescent="0.3">
      <c r="A79" s="244"/>
      <c r="B79" s="568"/>
      <c r="C79" s="569"/>
      <c r="D79" s="574" t="s">
        <v>1682</v>
      </c>
      <c r="E79" s="574"/>
      <c r="F79" s="573"/>
      <c r="G79" s="576"/>
      <c r="H79" s="576">
        <v>2000</v>
      </c>
      <c r="I79" s="576">
        <v>2000</v>
      </c>
      <c r="J79" s="526">
        <f t="shared" si="10"/>
        <v>100</v>
      </c>
      <c r="K79" s="471"/>
      <c r="L79" s="471"/>
    </row>
    <row r="80" spans="1:12" ht="29.25" customHeight="1" x14ac:dyDescent="0.3">
      <c r="B80" s="568"/>
      <c r="C80" s="569"/>
      <c r="D80" s="594" t="s">
        <v>1683</v>
      </c>
      <c r="E80" s="595"/>
      <c r="F80" s="596"/>
      <c r="G80" s="597"/>
      <c r="H80" s="597">
        <v>191</v>
      </c>
      <c r="I80" s="597">
        <v>191</v>
      </c>
      <c r="J80" s="526">
        <f t="shared" si="10"/>
        <v>100</v>
      </c>
      <c r="K80" s="471"/>
      <c r="L80" s="471"/>
    </row>
    <row r="81" spans="1:12" ht="29.25" customHeight="1" x14ac:dyDescent="0.3">
      <c r="B81" s="568"/>
      <c r="C81" s="569"/>
      <c r="D81" s="574" t="s">
        <v>402</v>
      </c>
      <c r="E81" s="574"/>
      <c r="F81" s="573"/>
      <c r="G81" s="576"/>
      <c r="H81" s="576">
        <v>4255</v>
      </c>
      <c r="I81" s="576">
        <v>4255</v>
      </c>
      <c r="J81" s="526">
        <f t="shared" si="10"/>
        <v>100</v>
      </c>
      <c r="K81" s="471"/>
      <c r="L81" s="471"/>
    </row>
    <row r="82" spans="1:12" ht="29.25" customHeight="1" x14ac:dyDescent="0.3">
      <c r="B82" s="568"/>
      <c r="C82" s="569"/>
      <c r="D82" s="574" t="s">
        <v>358</v>
      </c>
      <c r="E82" s="574"/>
      <c r="F82" s="573"/>
      <c r="G82" s="576"/>
      <c r="H82" s="576">
        <v>101</v>
      </c>
      <c r="I82" s="576">
        <v>101</v>
      </c>
      <c r="J82" s="526">
        <f t="shared" si="10"/>
        <v>100</v>
      </c>
      <c r="K82" s="471"/>
      <c r="L82" s="471"/>
    </row>
    <row r="83" spans="1:12" ht="29.25" customHeight="1" x14ac:dyDescent="0.3">
      <c r="B83" s="568"/>
      <c r="C83" s="569"/>
      <c r="D83" s="875" t="s">
        <v>584</v>
      </c>
      <c r="E83" s="875"/>
      <c r="F83" s="573"/>
      <c r="G83" s="576"/>
      <c r="H83" s="576">
        <v>48825</v>
      </c>
      <c r="I83" s="576">
        <v>48825</v>
      </c>
      <c r="J83" s="526">
        <f t="shared" si="10"/>
        <v>100</v>
      </c>
      <c r="K83" s="876"/>
      <c r="L83" s="876"/>
    </row>
    <row r="84" spans="1:12" ht="29.25" customHeight="1" x14ac:dyDescent="0.3">
      <c r="B84" s="568"/>
      <c r="C84" s="569"/>
      <c r="D84" s="574" t="s">
        <v>390</v>
      </c>
      <c r="E84" s="574"/>
      <c r="F84" s="573"/>
      <c r="G84" s="576">
        <v>422000</v>
      </c>
      <c r="H84" s="576">
        <v>463892</v>
      </c>
      <c r="I84" s="576">
        <v>463892</v>
      </c>
      <c r="J84" s="526">
        <f t="shared" si="10"/>
        <v>100</v>
      </c>
      <c r="K84" s="471"/>
      <c r="L84" s="470"/>
    </row>
    <row r="85" spans="1:12" ht="29.25" customHeight="1" x14ac:dyDescent="0.3">
      <c r="A85" s="244"/>
      <c r="B85" s="568"/>
      <c r="C85" s="569"/>
      <c r="D85" s="574" t="s">
        <v>513</v>
      </c>
      <c r="E85" s="574"/>
      <c r="F85" s="573"/>
      <c r="G85" s="576">
        <v>13000</v>
      </c>
      <c r="H85" s="576">
        <v>12413</v>
      </c>
      <c r="I85" s="576">
        <v>12413</v>
      </c>
      <c r="J85" s="526">
        <f t="shared" si="10"/>
        <v>100</v>
      </c>
      <c r="K85" s="471"/>
      <c r="L85" s="470"/>
    </row>
    <row r="86" spans="1:12" ht="29.25" customHeight="1" x14ac:dyDescent="0.3">
      <c r="A86" s="244"/>
      <c r="B86" s="568"/>
      <c r="C86" s="569"/>
      <c r="D86" s="594" t="s">
        <v>119</v>
      </c>
      <c r="E86" s="595"/>
      <c r="F86" s="596"/>
      <c r="G86" s="597">
        <v>3600</v>
      </c>
      <c r="H86" s="597">
        <v>3549</v>
      </c>
      <c r="I86" s="597">
        <v>3549</v>
      </c>
      <c r="J86" s="526">
        <f t="shared" si="10"/>
        <v>100</v>
      </c>
      <c r="K86" s="471"/>
      <c r="L86" s="470"/>
    </row>
    <row r="87" spans="1:12" ht="29.25" customHeight="1" x14ac:dyDescent="0.3">
      <c r="B87" s="568"/>
      <c r="C87" s="569"/>
      <c r="D87" s="574" t="s">
        <v>118</v>
      </c>
      <c r="E87" s="574"/>
      <c r="F87" s="573"/>
      <c r="G87" s="576">
        <v>600000</v>
      </c>
      <c r="H87" s="576">
        <v>600000</v>
      </c>
      <c r="I87" s="576">
        <v>665469</v>
      </c>
      <c r="J87" s="526">
        <f t="shared" si="10"/>
        <v>110.9115</v>
      </c>
      <c r="K87" s="471"/>
      <c r="L87" s="470"/>
    </row>
    <row r="88" spans="1:12" ht="29.25" customHeight="1" x14ac:dyDescent="0.3">
      <c r="B88" s="568"/>
      <c r="C88" s="569"/>
      <c r="D88" s="574" t="s">
        <v>63</v>
      </c>
      <c r="E88" s="574"/>
      <c r="F88" s="573"/>
      <c r="G88" s="576">
        <v>48000</v>
      </c>
      <c r="H88" s="576">
        <v>16405</v>
      </c>
      <c r="I88" s="576">
        <v>16405</v>
      </c>
      <c r="J88" s="526">
        <f t="shared" si="10"/>
        <v>100</v>
      </c>
      <c r="K88" s="471"/>
      <c r="L88" s="470"/>
    </row>
    <row r="89" spans="1:12" ht="29.25" customHeight="1" x14ac:dyDescent="0.3">
      <c r="B89" s="568"/>
      <c r="C89" s="569"/>
      <c r="D89" s="574" t="s">
        <v>105</v>
      </c>
      <c r="E89" s="574"/>
      <c r="F89" s="573"/>
      <c r="G89" s="576">
        <v>35000</v>
      </c>
      <c r="H89" s="576">
        <v>27876</v>
      </c>
      <c r="I89" s="576">
        <v>27876</v>
      </c>
      <c r="J89" s="526">
        <f>+I89/H89*100</f>
        <v>100</v>
      </c>
      <c r="K89" s="471"/>
      <c r="L89" s="470"/>
    </row>
    <row r="90" spans="1:12" ht="29.25" customHeight="1" x14ac:dyDescent="0.3">
      <c r="B90" s="568"/>
      <c r="C90" s="569"/>
      <c r="D90" s="594" t="s">
        <v>362</v>
      </c>
      <c r="E90" s="594"/>
      <c r="F90" s="596"/>
      <c r="G90" s="597"/>
      <c r="H90" s="597">
        <v>431131</v>
      </c>
      <c r="I90" s="597">
        <v>431131</v>
      </c>
      <c r="J90" s="556">
        <f>+I90/H90*100</f>
        <v>100</v>
      </c>
      <c r="K90" s="471"/>
      <c r="L90" s="471"/>
    </row>
    <row r="91" spans="1:12" ht="29.25" customHeight="1" x14ac:dyDescent="0.3">
      <c r="B91" s="568"/>
      <c r="C91" s="569"/>
      <c r="D91" s="574" t="s">
        <v>223</v>
      </c>
      <c r="E91" s="574"/>
      <c r="F91" s="573"/>
      <c r="G91" s="576"/>
      <c r="H91" s="576">
        <v>294</v>
      </c>
      <c r="I91" s="576">
        <v>294</v>
      </c>
      <c r="J91" s="548">
        <f>+I91/H91*100</f>
        <v>100</v>
      </c>
      <c r="K91" s="471"/>
      <c r="L91" s="471"/>
    </row>
    <row r="92" spans="1:12" ht="29.25" customHeight="1" x14ac:dyDescent="0.3">
      <c r="B92" s="568"/>
      <c r="C92" s="569"/>
      <c r="D92" s="604" t="s">
        <v>269</v>
      </c>
      <c r="E92" s="604"/>
      <c r="F92" s="605"/>
      <c r="G92" s="606"/>
      <c r="H92" s="606">
        <v>75</v>
      </c>
      <c r="I92" s="606">
        <v>75</v>
      </c>
      <c r="J92" s="526">
        <f>+I92/H92*100</f>
        <v>100</v>
      </c>
      <c r="K92" s="471"/>
      <c r="L92" s="471"/>
    </row>
    <row r="93" spans="1:12" ht="29.25" customHeight="1" x14ac:dyDescent="0.3">
      <c r="B93" s="568"/>
      <c r="C93" s="569"/>
      <c r="D93" s="604" t="s">
        <v>384</v>
      </c>
      <c r="E93" s="594"/>
      <c r="F93" s="596"/>
      <c r="G93" s="597">
        <v>2700</v>
      </c>
      <c r="H93" s="597">
        <v>3114</v>
      </c>
      <c r="I93" s="597">
        <v>3114</v>
      </c>
      <c r="J93" s="526">
        <f>+I93/H93*100</f>
        <v>100</v>
      </c>
      <c r="K93" s="471"/>
      <c r="L93" s="470"/>
    </row>
    <row r="94" spans="1:12" ht="29.25" customHeight="1" x14ac:dyDescent="0.3">
      <c r="B94" s="568"/>
      <c r="C94" s="569"/>
      <c r="D94" s="604" t="s">
        <v>686</v>
      </c>
      <c r="E94" s="604"/>
      <c r="F94" s="596"/>
      <c r="G94" s="597"/>
      <c r="H94" s="597">
        <v>32660</v>
      </c>
      <c r="I94" s="597"/>
      <c r="J94" s="526">
        <f t="shared" ref="J94:J95" si="11">+I94/H94*100</f>
        <v>0</v>
      </c>
      <c r="K94" s="471"/>
      <c r="L94" s="470"/>
    </row>
    <row r="95" spans="1:12" ht="29.25" customHeight="1" x14ac:dyDescent="0.3">
      <c r="B95" s="568"/>
      <c r="C95" s="569"/>
      <c r="D95" s="604" t="s">
        <v>687</v>
      </c>
      <c r="E95" s="604"/>
      <c r="F95" s="596"/>
      <c r="G95" s="597"/>
      <c r="H95" s="597">
        <v>29119</v>
      </c>
      <c r="I95" s="597"/>
      <c r="J95" s="526">
        <f t="shared" si="11"/>
        <v>0</v>
      </c>
      <c r="K95" s="471"/>
      <c r="L95" s="470"/>
    </row>
    <row r="96" spans="1:12" ht="29.25" customHeight="1" x14ac:dyDescent="0.3">
      <c r="B96" s="585"/>
      <c r="C96" s="569" t="s">
        <v>205</v>
      </c>
      <c r="D96" s="586"/>
      <c r="E96" s="586"/>
      <c r="F96" s="573"/>
      <c r="G96" s="576"/>
      <c r="H96" s="576"/>
      <c r="I96" s="576"/>
      <c r="J96" s="548"/>
      <c r="K96" s="471"/>
      <c r="L96" s="470"/>
    </row>
    <row r="97" spans="2:12" ht="29.25" customHeight="1" x14ac:dyDescent="0.3">
      <c r="B97" s="568"/>
      <c r="C97" s="569"/>
      <c r="D97" s="573" t="s">
        <v>391</v>
      </c>
      <c r="E97" s="574"/>
      <c r="F97" s="573"/>
      <c r="G97" s="576">
        <v>77890</v>
      </c>
      <c r="H97" s="576">
        <v>81940</v>
      </c>
      <c r="I97" s="606"/>
      <c r="J97" s="548">
        <f t="shared" ref="J97:J105" si="12">+I97/H97*100</f>
        <v>0</v>
      </c>
      <c r="K97" s="471"/>
      <c r="L97" s="470"/>
    </row>
    <row r="98" spans="2:12" ht="29.25" customHeight="1" x14ac:dyDescent="0.3">
      <c r="B98" s="568"/>
      <c r="C98" s="569"/>
      <c r="D98" s="573" t="s">
        <v>42</v>
      </c>
      <c r="E98" s="574"/>
      <c r="F98" s="573"/>
      <c r="G98" s="576">
        <v>250000</v>
      </c>
      <c r="H98" s="576">
        <v>250000</v>
      </c>
      <c r="I98" s="576">
        <f>285732-1</f>
        <v>285731</v>
      </c>
      <c r="J98" s="526">
        <f t="shared" si="12"/>
        <v>114.2924</v>
      </c>
      <c r="K98" s="471"/>
      <c r="L98" s="471"/>
    </row>
    <row r="99" spans="2:12" ht="29.25" customHeight="1" x14ac:dyDescent="0.3">
      <c r="B99" s="568"/>
      <c r="C99" s="569"/>
      <c r="D99" s="574" t="s">
        <v>254</v>
      </c>
      <c r="E99" s="574"/>
      <c r="F99" s="573"/>
      <c r="G99" s="576">
        <v>20000</v>
      </c>
      <c r="H99" s="576">
        <v>20000</v>
      </c>
      <c r="I99" s="576"/>
      <c r="J99" s="526">
        <f t="shared" si="12"/>
        <v>0</v>
      </c>
      <c r="K99" s="471"/>
      <c r="L99" s="470"/>
    </row>
    <row r="100" spans="2:12" ht="29.25" customHeight="1" x14ac:dyDescent="0.3">
      <c r="B100" s="568"/>
      <c r="C100" s="569"/>
      <c r="D100" s="533" t="s">
        <v>85</v>
      </c>
      <c r="E100" s="574"/>
      <c r="F100" s="573"/>
      <c r="G100" s="576"/>
      <c r="H100" s="576">
        <v>72618</v>
      </c>
      <c r="I100" s="576"/>
      <c r="J100" s="526">
        <f t="shared" si="12"/>
        <v>0</v>
      </c>
      <c r="K100" s="471"/>
      <c r="L100" s="471"/>
    </row>
    <row r="101" spans="2:12" ht="29.25" customHeight="1" x14ac:dyDescent="0.3">
      <c r="B101" s="568"/>
      <c r="C101" s="569"/>
      <c r="D101" s="533" t="s">
        <v>270</v>
      </c>
      <c r="E101" s="574"/>
      <c r="F101" s="573"/>
      <c r="G101" s="576"/>
      <c r="H101" s="576">
        <v>66694</v>
      </c>
      <c r="I101" s="576"/>
      <c r="J101" s="526">
        <f t="shared" si="12"/>
        <v>0</v>
      </c>
      <c r="K101" s="471"/>
      <c r="L101" s="471"/>
    </row>
    <row r="102" spans="2:12" ht="29.25" customHeight="1" x14ac:dyDescent="0.3">
      <c r="B102" s="568"/>
      <c r="C102" s="569"/>
      <c r="D102" s="607" t="s">
        <v>504</v>
      </c>
      <c r="E102" s="574"/>
      <c r="F102" s="573"/>
      <c r="G102" s="576"/>
      <c r="H102" s="576">
        <v>197033</v>
      </c>
      <c r="I102" s="576"/>
      <c r="J102" s="608">
        <f t="shared" si="12"/>
        <v>0</v>
      </c>
      <c r="K102" s="471"/>
      <c r="L102" s="471"/>
    </row>
    <row r="103" spans="2:12" ht="29.25" customHeight="1" x14ac:dyDescent="0.3">
      <c r="B103" s="568"/>
      <c r="C103" s="569"/>
      <c r="D103" s="607" t="s">
        <v>1684</v>
      </c>
      <c r="E103" s="860"/>
      <c r="F103" s="573"/>
      <c r="G103" s="576"/>
      <c r="H103" s="576">
        <v>48432</v>
      </c>
      <c r="I103" s="576"/>
      <c r="J103" s="608">
        <f t="shared" si="12"/>
        <v>0</v>
      </c>
      <c r="K103" s="471"/>
      <c r="L103" s="471"/>
    </row>
    <row r="104" spans="2:12" ht="29.25" customHeight="1" x14ac:dyDescent="0.3">
      <c r="B104" s="568"/>
      <c r="C104" s="569"/>
      <c r="D104" s="607" t="s">
        <v>688</v>
      </c>
      <c r="E104" s="1000"/>
      <c r="F104" s="573"/>
      <c r="G104" s="576"/>
      <c r="H104" s="576">
        <v>65772</v>
      </c>
      <c r="I104" s="576"/>
      <c r="J104" s="608">
        <f t="shared" si="12"/>
        <v>0</v>
      </c>
      <c r="K104" s="471"/>
      <c r="L104" s="471"/>
    </row>
    <row r="105" spans="2:12" ht="29.25" customHeight="1" x14ac:dyDescent="0.3">
      <c r="B105" s="568"/>
      <c r="C105" s="569"/>
      <c r="D105" s="607" t="s">
        <v>1685</v>
      </c>
      <c r="E105" s="1000"/>
      <c r="F105" s="573"/>
      <c r="G105" s="576"/>
      <c r="H105" s="576">
        <v>48728</v>
      </c>
      <c r="I105" s="576"/>
      <c r="J105" s="608">
        <f t="shared" si="12"/>
        <v>0</v>
      </c>
      <c r="K105" s="471"/>
      <c r="L105" s="471"/>
    </row>
    <row r="106" spans="2:12" ht="29.25" customHeight="1" x14ac:dyDescent="0.3">
      <c r="B106" s="585"/>
      <c r="C106" s="569" t="s">
        <v>206</v>
      </c>
      <c r="D106" s="609"/>
      <c r="E106" s="609"/>
      <c r="F106" s="610"/>
      <c r="G106" s="611"/>
      <c r="H106" s="611"/>
      <c r="I106" s="611"/>
      <c r="J106" s="613"/>
      <c r="K106" s="471"/>
      <c r="L106" s="471"/>
    </row>
    <row r="107" spans="2:12" ht="29.25" customHeight="1" x14ac:dyDescent="0.3">
      <c r="B107" s="568"/>
      <c r="C107" s="545"/>
      <c r="D107" s="2559" t="s">
        <v>408</v>
      </c>
      <c r="E107" s="2555"/>
      <c r="F107" s="2556"/>
      <c r="G107" s="571">
        <v>50000</v>
      </c>
      <c r="H107" s="571">
        <v>30044</v>
      </c>
      <c r="I107" s="571">
        <v>30044</v>
      </c>
      <c r="J107" s="526">
        <f>+I107/H107*100</f>
        <v>100</v>
      </c>
      <c r="K107" s="471"/>
      <c r="L107" s="470"/>
    </row>
    <row r="108" spans="2:12" ht="29.25" customHeight="1" x14ac:dyDescent="0.3">
      <c r="B108" s="568"/>
      <c r="C108" s="545"/>
      <c r="D108" s="2560" t="s">
        <v>271</v>
      </c>
      <c r="E108" s="2561"/>
      <c r="F108" s="2562"/>
      <c r="G108" s="576"/>
      <c r="H108" s="577">
        <v>2</v>
      </c>
      <c r="I108" s="576">
        <v>2</v>
      </c>
      <c r="J108" s="526">
        <f>+I108/H108*100</f>
        <v>100</v>
      </c>
    </row>
    <row r="109" spans="2:12" ht="29.25" customHeight="1" x14ac:dyDescent="0.3">
      <c r="B109" s="568"/>
      <c r="C109" s="545"/>
      <c r="D109" s="997" t="s">
        <v>689</v>
      </c>
      <c r="E109" s="998"/>
      <c r="F109" s="999"/>
      <c r="G109" s="576"/>
      <c r="H109" s="577">
        <v>771</v>
      </c>
      <c r="I109" s="576">
        <v>771</v>
      </c>
      <c r="J109" s="526">
        <f>+I109/H109*100</f>
        <v>100</v>
      </c>
    </row>
    <row r="110" spans="2:12" ht="29.25" customHeight="1" x14ac:dyDescent="0.3">
      <c r="B110" s="585"/>
      <c r="C110" s="569" t="s">
        <v>264</v>
      </c>
      <c r="D110" s="609"/>
      <c r="E110" s="609"/>
      <c r="F110" s="610"/>
      <c r="G110" s="611"/>
      <c r="H110" s="612"/>
      <c r="I110" s="611"/>
      <c r="J110" s="526"/>
    </row>
    <row r="111" spans="2:12" ht="29.25" customHeight="1" thickBot="1" x14ac:dyDescent="0.35">
      <c r="B111" s="614" t="s">
        <v>454</v>
      </c>
      <c r="C111" s="615"/>
      <c r="D111" s="616"/>
      <c r="E111" s="616"/>
      <c r="F111" s="616"/>
      <c r="G111" s="617">
        <f>SUM(G74:G110)</f>
        <v>1588190</v>
      </c>
      <c r="H111" s="617">
        <f>SUM(H74:H110)</f>
        <v>2634925</v>
      </c>
      <c r="I111" s="617">
        <f>SUM(I74:I110)</f>
        <v>2073129</v>
      </c>
      <c r="J111" s="618">
        <f>+I111/H111*100</f>
        <v>78.678861827186736</v>
      </c>
    </row>
    <row r="112" spans="2:12" ht="29.25" customHeight="1" x14ac:dyDescent="0.3">
      <c r="B112" s="565" t="s">
        <v>442</v>
      </c>
      <c r="C112" s="619"/>
      <c r="D112" s="620"/>
      <c r="E112" s="620"/>
      <c r="F112" s="620"/>
      <c r="G112" s="621"/>
      <c r="H112" s="606"/>
      <c r="I112" s="621"/>
      <c r="J112" s="622"/>
    </row>
    <row r="113" spans="1:13" s="27" customFormat="1" ht="51" customHeight="1" x14ac:dyDescent="0.3">
      <c r="A113" s="244"/>
      <c r="B113" s="565"/>
      <c r="C113" s="2565" t="s">
        <v>201</v>
      </c>
      <c r="D113" s="2565"/>
      <c r="E113" s="2565"/>
      <c r="F113" s="2566"/>
      <c r="G113" s="623"/>
      <c r="H113" s="623"/>
      <c r="I113" s="623"/>
      <c r="J113" s="624"/>
      <c r="K113" s="468"/>
      <c r="L113" s="468"/>
      <c r="M113" s="474"/>
    </row>
    <row r="114" spans="1:13" ht="33" customHeight="1" x14ac:dyDescent="0.3">
      <c r="B114" s="585"/>
      <c r="C114" s="625"/>
      <c r="D114" s="2564" t="s">
        <v>613</v>
      </c>
      <c r="E114" s="2543"/>
      <c r="F114" s="2544"/>
      <c r="G114" s="626"/>
      <c r="H114" s="626">
        <v>165868</v>
      </c>
      <c r="I114" s="626">
        <v>165868</v>
      </c>
      <c r="J114" s="627">
        <f>+I114/H114*100</f>
        <v>100</v>
      </c>
    </row>
    <row r="115" spans="1:13" ht="29.25" customHeight="1" x14ac:dyDescent="0.3">
      <c r="B115" s="585"/>
      <c r="C115" s="549"/>
      <c r="D115" s="2563" t="s">
        <v>443</v>
      </c>
      <c r="E115" s="2555"/>
      <c r="F115" s="2556"/>
      <c r="G115" s="626"/>
      <c r="H115" s="626">
        <v>7</v>
      </c>
      <c r="I115" s="626">
        <v>7</v>
      </c>
      <c r="J115" s="627">
        <f>+I115/H115*100</f>
        <v>100</v>
      </c>
    </row>
    <row r="116" spans="1:13" ht="29.25" customHeight="1" x14ac:dyDescent="0.3">
      <c r="B116" s="585"/>
      <c r="C116" s="625"/>
      <c r="D116" s="2554" t="s">
        <v>428</v>
      </c>
      <c r="E116" s="2555"/>
      <c r="F116" s="2556"/>
      <c r="G116" s="626"/>
      <c r="H116" s="626">
        <v>20000</v>
      </c>
      <c r="I116" s="626"/>
      <c r="J116" s="627">
        <f>+I116/H116*100</f>
        <v>0</v>
      </c>
    </row>
    <row r="117" spans="1:13" ht="51" customHeight="1" x14ac:dyDescent="0.3">
      <c r="B117" s="585"/>
      <c r="C117" s="549"/>
      <c r="D117" s="2564" t="s">
        <v>514</v>
      </c>
      <c r="E117" s="2555"/>
      <c r="F117" s="2556"/>
      <c r="G117" s="626">
        <v>120000</v>
      </c>
      <c r="H117" s="626">
        <v>120000</v>
      </c>
      <c r="I117" s="626">
        <v>120000</v>
      </c>
      <c r="J117" s="627">
        <f>+I117/H117*100</f>
        <v>100</v>
      </c>
    </row>
    <row r="118" spans="1:13" ht="29.25" customHeight="1" x14ac:dyDescent="0.3">
      <c r="A118" s="244"/>
      <c r="B118" s="565"/>
      <c r="C118" s="619" t="s">
        <v>202</v>
      </c>
      <c r="D118" s="620"/>
      <c r="E118" s="620"/>
      <c r="F118" s="620"/>
      <c r="G118" s="621"/>
      <c r="H118" s="621"/>
      <c r="I118" s="621"/>
      <c r="J118" s="629"/>
    </row>
    <row r="119" spans="1:13" ht="29.25" customHeight="1" x14ac:dyDescent="0.3">
      <c r="B119" s="585"/>
      <c r="C119" s="625"/>
      <c r="D119" s="630" t="s">
        <v>251</v>
      </c>
      <c r="E119" s="546"/>
      <c r="F119" s="631"/>
      <c r="G119" s="878"/>
      <c r="H119" s="628">
        <v>422</v>
      </c>
      <c r="I119" s="628">
        <v>422</v>
      </c>
      <c r="J119" s="627">
        <f>+I119/H119*100</f>
        <v>100</v>
      </c>
    </row>
    <row r="120" spans="1:13" ht="29.25" customHeight="1" x14ac:dyDescent="0.3">
      <c r="B120" s="585"/>
      <c r="C120" s="625"/>
      <c r="D120" s="604" t="s">
        <v>1686</v>
      </c>
      <c r="E120" s="625"/>
      <c r="F120" s="474"/>
      <c r="G120" s="632"/>
      <c r="H120" s="877">
        <v>500</v>
      </c>
      <c r="I120" s="877">
        <v>500</v>
      </c>
      <c r="J120" s="627">
        <f>+I120/H120*100</f>
        <v>100</v>
      </c>
    </row>
    <row r="121" spans="1:13" ht="29.25" customHeight="1" thickBot="1" x14ac:dyDescent="0.35">
      <c r="B121" s="565" t="s">
        <v>533</v>
      </c>
      <c r="C121" s="615"/>
      <c r="D121" s="633"/>
      <c r="E121" s="633"/>
      <c r="F121" s="616"/>
      <c r="G121" s="634">
        <f>SUM(G114:G120)</f>
        <v>120000</v>
      </c>
      <c r="H121" s="634">
        <f>SUM(H114:H120)</f>
        <v>306797</v>
      </c>
      <c r="I121" s="634">
        <f>SUM(I114:I120)</f>
        <v>286797</v>
      </c>
      <c r="J121" s="635">
        <f>+I121/H121*100</f>
        <v>93.481031431206958</v>
      </c>
    </row>
    <row r="122" spans="1:13" ht="29.25" customHeight="1" x14ac:dyDescent="0.3">
      <c r="B122" s="514" t="s">
        <v>197</v>
      </c>
      <c r="C122" s="503"/>
      <c r="D122" s="503"/>
      <c r="E122" s="503"/>
      <c r="F122" s="636"/>
      <c r="G122" s="637"/>
      <c r="H122" s="637"/>
      <c r="I122" s="637"/>
      <c r="J122" s="638"/>
    </row>
    <row r="123" spans="1:13" s="26" customFormat="1" ht="29.25" customHeight="1" x14ac:dyDescent="0.3">
      <c r="A123" s="863"/>
      <c r="B123" s="639"/>
      <c r="C123" s="640" t="s">
        <v>138</v>
      </c>
      <c r="D123" s="602"/>
      <c r="E123" s="602"/>
      <c r="F123" s="641"/>
      <c r="G123" s="642">
        <v>16884</v>
      </c>
      <c r="H123" s="642">
        <v>36649</v>
      </c>
      <c r="I123" s="642">
        <v>36617</v>
      </c>
      <c r="J123" s="526">
        <f>+I123/H123*100</f>
        <v>99.912685202870477</v>
      </c>
      <c r="K123" s="468"/>
      <c r="L123" s="468"/>
      <c r="M123" s="475"/>
    </row>
    <row r="124" spans="1:13" s="26" customFormat="1" ht="29.25" customHeight="1" x14ac:dyDescent="0.3">
      <c r="A124" s="863"/>
      <c r="B124" s="639"/>
      <c r="C124" s="643" t="s">
        <v>515</v>
      </c>
      <c r="D124" s="644"/>
      <c r="E124" s="645"/>
      <c r="F124" s="646"/>
      <c r="G124" s="642">
        <v>396215</v>
      </c>
      <c r="H124" s="642">
        <v>368556</v>
      </c>
      <c r="I124" s="642">
        <v>369207</v>
      </c>
      <c r="J124" s="526">
        <f t="shared" ref="J124:J134" si="13">+I124/H124*100</f>
        <v>100.1766353010126</v>
      </c>
      <c r="K124" s="468"/>
      <c r="L124" s="468"/>
      <c r="M124" s="475"/>
    </row>
    <row r="125" spans="1:13" s="26" customFormat="1" ht="29.25" customHeight="1" x14ac:dyDescent="0.3">
      <c r="A125" s="863"/>
      <c r="B125" s="639"/>
      <c r="C125" s="644" t="s">
        <v>447</v>
      </c>
      <c r="D125" s="647"/>
      <c r="E125" s="645"/>
      <c r="F125" s="646"/>
      <c r="G125" s="642">
        <v>247454</v>
      </c>
      <c r="H125" s="642">
        <v>319776</v>
      </c>
      <c r="I125" s="642">
        <v>319776</v>
      </c>
      <c r="J125" s="526">
        <f t="shared" si="13"/>
        <v>100</v>
      </c>
      <c r="K125" s="468"/>
      <c r="L125" s="468"/>
      <c r="M125" s="475"/>
    </row>
    <row r="126" spans="1:13" s="26" customFormat="1" ht="29.25" customHeight="1" x14ac:dyDescent="0.3">
      <c r="A126" s="863"/>
      <c r="B126" s="639"/>
      <c r="C126" s="644" t="s">
        <v>386</v>
      </c>
      <c r="D126" s="647"/>
      <c r="E126" s="645"/>
      <c r="F126" s="646"/>
      <c r="G126" s="642">
        <v>33030</v>
      </c>
      <c r="H126" s="642">
        <v>52556</v>
      </c>
      <c r="I126" s="642">
        <v>52557</v>
      </c>
      <c r="J126" s="526">
        <f t="shared" si="13"/>
        <v>100.00190273232361</v>
      </c>
      <c r="K126" s="468"/>
      <c r="L126" s="468"/>
      <c r="M126" s="475"/>
    </row>
    <row r="127" spans="1:13" s="26" customFormat="1" ht="29.25" customHeight="1" x14ac:dyDescent="0.3">
      <c r="A127" s="863"/>
      <c r="B127" s="639"/>
      <c r="C127" s="644" t="s">
        <v>387</v>
      </c>
      <c r="D127" s="647"/>
      <c r="E127" s="645"/>
      <c r="F127" s="646"/>
      <c r="G127" s="642">
        <v>111000</v>
      </c>
      <c r="H127" s="642">
        <v>194189</v>
      </c>
      <c r="I127" s="642">
        <v>194189</v>
      </c>
      <c r="J127" s="526">
        <f t="shared" si="13"/>
        <v>100</v>
      </c>
      <c r="K127" s="468"/>
      <c r="L127" s="468"/>
      <c r="M127" s="475"/>
    </row>
    <row r="128" spans="1:13" s="26" customFormat="1" ht="29.25" customHeight="1" x14ac:dyDescent="0.3">
      <c r="A128" s="863"/>
      <c r="B128" s="639"/>
      <c r="C128" s="644" t="s">
        <v>449</v>
      </c>
      <c r="D128" s="647"/>
      <c r="E128" s="645"/>
      <c r="F128" s="646"/>
      <c r="G128" s="642">
        <v>24000</v>
      </c>
      <c r="H128" s="642">
        <v>53081</v>
      </c>
      <c r="I128" s="642">
        <v>53082</v>
      </c>
      <c r="J128" s="526">
        <f t="shared" ref="J128" si="14">+I128/H128*100</f>
        <v>100.00188391326463</v>
      </c>
      <c r="K128" s="468"/>
      <c r="L128" s="468"/>
      <c r="M128" s="475"/>
    </row>
    <row r="129" spans="1:13" s="26" customFormat="1" ht="29.25" customHeight="1" x14ac:dyDescent="0.3">
      <c r="A129" s="863"/>
      <c r="B129" s="639"/>
      <c r="C129" s="644" t="s">
        <v>448</v>
      </c>
      <c r="D129" s="647"/>
      <c r="E129" s="645"/>
      <c r="F129" s="646"/>
      <c r="G129" s="642">
        <v>93050</v>
      </c>
      <c r="H129" s="642">
        <v>198844</v>
      </c>
      <c r="I129" s="642">
        <v>198843</v>
      </c>
      <c r="J129" s="526">
        <f t="shared" si="13"/>
        <v>99.999497093198684</v>
      </c>
      <c r="K129" s="468"/>
      <c r="L129" s="468"/>
      <c r="M129" s="475"/>
    </row>
    <row r="130" spans="1:13" s="26" customFormat="1" ht="29.25" customHeight="1" x14ac:dyDescent="0.3">
      <c r="A130" s="863"/>
      <c r="B130" s="639"/>
      <c r="C130" s="2552" t="s">
        <v>78</v>
      </c>
      <c r="D130" s="2543"/>
      <c r="E130" s="2543"/>
      <c r="F130" s="2544"/>
      <c r="G130" s="642">
        <v>90149</v>
      </c>
      <c r="H130" s="642">
        <v>152035</v>
      </c>
      <c r="I130" s="642">
        <v>152035</v>
      </c>
      <c r="J130" s="526">
        <f t="shared" si="13"/>
        <v>100</v>
      </c>
      <c r="K130" s="468"/>
      <c r="L130" s="468"/>
      <c r="M130" s="475"/>
    </row>
    <row r="131" spans="1:13" s="26" customFormat="1" ht="29.25" customHeight="1" x14ac:dyDescent="0.3">
      <c r="A131" s="863"/>
      <c r="B131" s="639"/>
      <c r="C131" s="643" t="s">
        <v>516</v>
      </c>
      <c r="D131" s="645"/>
      <c r="E131" s="645"/>
      <c r="F131" s="646"/>
      <c r="G131" s="642">
        <v>252838</v>
      </c>
      <c r="H131" s="642">
        <v>262949</v>
      </c>
      <c r="I131" s="642">
        <v>262948</v>
      </c>
      <c r="J131" s="526">
        <f t="shared" si="13"/>
        <v>99.999619698116362</v>
      </c>
      <c r="K131" s="468"/>
      <c r="L131" s="468"/>
      <c r="M131" s="475"/>
    </row>
    <row r="132" spans="1:13" s="26" customFormat="1" ht="29.25" customHeight="1" x14ac:dyDescent="0.3">
      <c r="A132" s="863"/>
      <c r="B132" s="639"/>
      <c r="C132" s="643" t="s">
        <v>115</v>
      </c>
      <c r="D132" s="645"/>
      <c r="E132" s="645"/>
      <c r="F132" s="646"/>
      <c r="G132" s="642">
        <v>37961</v>
      </c>
      <c r="H132" s="642">
        <v>42848</v>
      </c>
      <c r="I132" s="642">
        <v>41988</v>
      </c>
      <c r="J132" s="526">
        <f t="shared" si="13"/>
        <v>97.992905153099329</v>
      </c>
      <c r="K132" s="468"/>
      <c r="L132" s="468"/>
      <c r="M132" s="475"/>
    </row>
    <row r="133" spans="1:13" s="26" customFormat="1" ht="29.25" customHeight="1" x14ac:dyDescent="0.3">
      <c r="A133" s="863"/>
      <c r="B133" s="639"/>
      <c r="C133" s="643" t="s">
        <v>116</v>
      </c>
      <c r="D133" s="645"/>
      <c r="E133" s="645"/>
      <c r="F133" s="646"/>
      <c r="G133" s="642">
        <v>142000</v>
      </c>
      <c r="H133" s="642">
        <v>147829</v>
      </c>
      <c r="I133" s="642">
        <v>147829</v>
      </c>
      <c r="J133" s="526">
        <f t="shared" si="13"/>
        <v>100</v>
      </c>
      <c r="K133" s="468"/>
      <c r="L133" s="468"/>
      <c r="M133" s="475"/>
    </row>
    <row r="134" spans="1:13" s="26" customFormat="1" ht="29.25" customHeight="1" x14ac:dyDescent="0.3">
      <c r="A134" s="863"/>
      <c r="B134" s="639"/>
      <c r="C134" s="640" t="s">
        <v>75</v>
      </c>
      <c r="D134" s="602"/>
      <c r="E134" s="602"/>
      <c r="F134" s="641"/>
      <c r="G134" s="649">
        <v>16790</v>
      </c>
      <c r="H134" s="649">
        <v>20787</v>
      </c>
      <c r="I134" s="649">
        <v>17058</v>
      </c>
      <c r="J134" s="648">
        <f t="shared" si="13"/>
        <v>82.06090344927118</v>
      </c>
      <c r="K134" s="475"/>
      <c r="L134" s="475"/>
      <c r="M134" s="475"/>
    </row>
    <row r="135" spans="1:13" s="26" customFormat="1" ht="29.25" customHeight="1" x14ac:dyDescent="0.3">
      <c r="A135" s="863"/>
      <c r="B135" s="639"/>
      <c r="C135" s="643" t="s">
        <v>103</v>
      </c>
      <c r="D135" s="645"/>
      <c r="E135" s="645"/>
      <c r="F135" s="646"/>
      <c r="G135" s="591"/>
      <c r="H135" s="591"/>
      <c r="I135" s="591">
        <v>689</v>
      </c>
      <c r="J135" s="648"/>
      <c r="K135" s="475"/>
      <c r="L135" s="475"/>
      <c r="M135" s="475"/>
    </row>
    <row r="136" spans="1:13" ht="29.25" customHeight="1" thickBot="1" x14ac:dyDescent="0.35">
      <c r="B136" s="614" t="s">
        <v>534</v>
      </c>
      <c r="C136" s="650"/>
      <c r="D136" s="616"/>
      <c r="E136" s="616"/>
      <c r="F136" s="616"/>
      <c r="G136" s="634">
        <f t="shared" ref="G136:I136" si="15">SUM(G123:G135)</f>
        <v>1461371</v>
      </c>
      <c r="H136" s="634">
        <f t="shared" si="15"/>
        <v>1850099</v>
      </c>
      <c r="I136" s="634">
        <f t="shared" si="15"/>
        <v>1846818</v>
      </c>
      <c r="J136" s="618">
        <f>+I136/H136*100</f>
        <v>99.822658138834726</v>
      </c>
      <c r="K136" s="475"/>
      <c r="L136" s="475"/>
    </row>
    <row r="137" spans="1:13" ht="29.25" customHeight="1" thickBot="1" x14ac:dyDescent="0.35">
      <c r="B137" s="614" t="s">
        <v>454</v>
      </c>
      <c r="C137" s="650"/>
      <c r="D137" s="615"/>
      <c r="E137" s="615"/>
      <c r="F137" s="615"/>
      <c r="G137" s="651">
        <f>+G55+G121+G111+G72+G136</f>
        <v>16067720</v>
      </c>
      <c r="H137" s="651">
        <f>+H55+H121+H111+H72+H136</f>
        <v>18455023</v>
      </c>
      <c r="I137" s="651">
        <f>+I55+I121+I111+I72+I136</f>
        <v>17746874</v>
      </c>
      <c r="J137" s="618">
        <f>+I137/H137*100</f>
        <v>96.162838702503919</v>
      </c>
      <c r="K137" s="475"/>
      <c r="L137" s="475"/>
    </row>
    <row r="138" spans="1:13" ht="21" customHeight="1" x14ac:dyDescent="0.3">
      <c r="K138" s="475"/>
      <c r="L138" s="475"/>
    </row>
    <row r="139" spans="1:13" ht="21" customHeight="1" x14ac:dyDescent="0.3">
      <c r="I139" s="239"/>
      <c r="K139" s="475"/>
      <c r="L139" s="475"/>
    </row>
    <row r="140" spans="1:13" ht="21" customHeight="1" x14ac:dyDescent="0.3">
      <c r="I140" s="239"/>
      <c r="K140" s="475"/>
      <c r="L140" s="475"/>
    </row>
    <row r="141" spans="1:13" ht="21" customHeight="1" x14ac:dyDescent="0.3">
      <c r="I141" s="239"/>
      <c r="K141" s="475"/>
      <c r="L141" s="475"/>
    </row>
    <row r="142" spans="1:13" ht="21" customHeight="1" x14ac:dyDescent="0.3">
      <c r="I142" s="239"/>
      <c r="K142" s="475"/>
      <c r="L142" s="475"/>
    </row>
    <row r="143" spans="1:13" ht="21" customHeight="1" x14ac:dyDescent="0.3">
      <c r="I143" s="239"/>
      <c r="K143" s="475"/>
      <c r="L143" s="475"/>
    </row>
    <row r="144" spans="1:13" ht="21" customHeight="1" x14ac:dyDescent="0.3">
      <c r="I144" s="239"/>
      <c r="K144" s="473"/>
      <c r="L144" s="473"/>
    </row>
    <row r="145" spans="9:12" ht="21" customHeight="1" x14ac:dyDescent="0.3">
      <c r="I145" s="239"/>
      <c r="K145" s="475"/>
      <c r="L145" s="475"/>
    </row>
    <row r="146" spans="9:12" ht="21" customHeight="1" x14ac:dyDescent="0.3">
      <c r="I146" s="239"/>
      <c r="K146" s="475"/>
      <c r="L146" s="475"/>
    </row>
    <row r="149" spans="9:12" ht="21" customHeight="1" x14ac:dyDescent="0.3">
      <c r="I149" s="239"/>
    </row>
    <row r="150" spans="9:12" ht="21" customHeight="1" x14ac:dyDescent="0.3">
      <c r="I150" s="239"/>
    </row>
    <row r="151" spans="9:12" ht="21" customHeight="1" x14ac:dyDescent="0.3">
      <c r="I151" s="239"/>
    </row>
    <row r="152" spans="9:12" ht="21" customHeight="1" x14ac:dyDescent="0.3">
      <c r="I152" s="239"/>
    </row>
    <row r="153" spans="9:12" ht="21" customHeight="1" x14ac:dyDescent="0.3">
      <c r="I153" s="239"/>
    </row>
  </sheetData>
  <mergeCells count="19">
    <mergeCell ref="C130:F130"/>
    <mergeCell ref="D107:F107"/>
    <mergeCell ref="D108:F108"/>
    <mergeCell ref="D116:F116"/>
    <mergeCell ref="D115:F115"/>
    <mergeCell ref="D114:F114"/>
    <mergeCell ref="C113:F113"/>
    <mergeCell ref="D117:F117"/>
    <mergeCell ref="C54:F54"/>
    <mergeCell ref="D50:F50"/>
    <mergeCell ref="B1:F1"/>
    <mergeCell ref="C11:F11"/>
    <mergeCell ref="B2:J2"/>
    <mergeCell ref="G5:H5"/>
    <mergeCell ref="D22:F22"/>
    <mergeCell ref="D23:F23"/>
    <mergeCell ref="D51:F51"/>
    <mergeCell ref="D52:F52"/>
    <mergeCell ref="D14:F14"/>
  </mergeCells>
  <phoneticPr fontId="0" type="noConversion"/>
  <printOptions horizontalCentered="1" verticalCentered="1"/>
  <pageMargins left="0.39370078740157483" right="0" top="0" bottom="0" header="0.51181102362204722" footer="0"/>
  <pageSetup paperSize="9" scale="42" orientation="portrait" r:id="rId1"/>
  <headerFooter alignWithMargins="0">
    <oddHeader>&amp;R&amp;"Arial,Félkövér"&amp;20 &amp;18 &amp;20 3. melléklet a …../2018. (…….) önkormányzati rendelethez</oddHeader>
  </headerFooter>
  <rowBreaks count="2" manualBreakCount="2">
    <brk id="55" min="1" max="9" man="1"/>
    <brk id="111" min="1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F73"/>
  <sheetViews>
    <sheetView zoomScale="55" zoomScaleNormal="55" zoomScaleSheetLayoutView="50" workbookViewId="0">
      <selection activeCell="S2" sqref="S2"/>
    </sheetView>
  </sheetViews>
  <sheetFormatPr defaultColWidth="12" defaultRowHeight="33" x14ac:dyDescent="0.45"/>
  <cols>
    <col min="1" max="1" width="12" style="1628"/>
    <col min="2" max="2" width="104.1640625" style="1690" customWidth="1"/>
    <col min="3" max="3" width="100.6640625" style="1688" customWidth="1"/>
    <col min="4" max="4" width="52.83203125" style="1688" customWidth="1"/>
    <col min="5" max="5" width="12" style="1628"/>
    <col min="6" max="6" width="30.6640625" style="1691" customWidth="1"/>
    <col min="7" max="7" width="26" style="1628" customWidth="1"/>
    <col min="8" max="8" width="18.83203125" style="1628" bestFit="1" customWidth="1"/>
    <col min="9" max="9" width="12.1640625" style="1628" bestFit="1" customWidth="1"/>
    <col min="10" max="16384" width="12" style="1628"/>
  </cols>
  <sheetData>
    <row r="1" spans="2:6" ht="18.75" customHeight="1" x14ac:dyDescent="0.45">
      <c r="C1" s="1626"/>
      <c r="D1" s="1626"/>
    </row>
    <row r="2" spans="2:6" ht="20.25" customHeight="1" x14ac:dyDescent="0.45">
      <c r="B2" s="1692"/>
      <c r="C2" s="1626"/>
      <c r="D2" s="1626"/>
    </row>
    <row r="3" spans="2:6" s="1630" customFormat="1" ht="33.75" customHeight="1" x14ac:dyDescent="0.5">
      <c r="B3" s="2789" t="s">
        <v>1201</v>
      </c>
      <c r="C3" s="2789"/>
      <c r="D3" s="2789"/>
      <c r="F3" s="1691"/>
    </row>
    <row r="4" spans="2:6" s="1632" customFormat="1" ht="40.5" customHeight="1" x14ac:dyDescent="0.5">
      <c r="B4" s="2789" t="s">
        <v>1618</v>
      </c>
      <c r="C4" s="2789"/>
      <c r="D4" s="2789"/>
      <c r="F4" s="1691"/>
    </row>
    <row r="5" spans="2:6" ht="43.5" customHeight="1" thickBot="1" x14ac:dyDescent="0.5"/>
    <row r="6" spans="2:6" s="1636" customFormat="1" ht="37.5" customHeight="1" x14ac:dyDescent="0.4">
      <c r="B6" s="2318" t="s">
        <v>1138</v>
      </c>
      <c r="C6" s="2285" t="s">
        <v>1202</v>
      </c>
      <c r="D6" s="2285" t="s">
        <v>1140</v>
      </c>
    </row>
    <row r="7" spans="2:6" x14ac:dyDescent="0.45">
      <c r="B7" s="2319"/>
      <c r="C7" s="2320"/>
      <c r="D7" s="2288" t="s">
        <v>32</v>
      </c>
    </row>
    <row r="8" spans="2:6" ht="33.75" thickBot="1" x14ac:dyDescent="0.5">
      <c r="B8" s="2321"/>
      <c r="C8" s="2322"/>
      <c r="D8" s="2323"/>
    </row>
    <row r="9" spans="2:6" x14ac:dyDescent="0.45">
      <c r="B9" s="2324" t="s">
        <v>1141</v>
      </c>
      <c r="C9" s="2265"/>
      <c r="D9" s="2265"/>
    </row>
    <row r="10" spans="2:6" ht="33.75" thickBot="1" x14ac:dyDescent="0.5">
      <c r="B10" s="2325" t="s">
        <v>1142</v>
      </c>
      <c r="C10" s="2346" t="s">
        <v>1619</v>
      </c>
      <c r="D10" s="1648">
        <v>519.37900000000002</v>
      </c>
    </row>
    <row r="11" spans="2:6" ht="33.75" thickBot="1" x14ac:dyDescent="0.5">
      <c r="B11" s="2326" t="s">
        <v>1148</v>
      </c>
      <c r="C11" s="2346" t="s">
        <v>1620</v>
      </c>
      <c r="D11" s="2295">
        <v>1476.9849999999999</v>
      </c>
    </row>
    <row r="12" spans="2:6" x14ac:dyDescent="0.45">
      <c r="B12" s="2327" t="s">
        <v>1149</v>
      </c>
      <c r="C12" s="2347" t="s">
        <v>1621</v>
      </c>
      <c r="D12" s="1650">
        <v>437.77199999999999</v>
      </c>
    </row>
    <row r="13" spans="2:6" ht="33.75" thickBot="1" x14ac:dyDescent="0.5">
      <c r="B13" s="2327"/>
      <c r="C13" s="2293" t="s">
        <v>1619</v>
      </c>
      <c r="D13" s="1648">
        <v>685.15</v>
      </c>
    </row>
    <row r="14" spans="2:6" x14ac:dyDescent="0.45">
      <c r="B14" s="2328" t="s">
        <v>1144</v>
      </c>
      <c r="C14" s="2347" t="s">
        <v>1622</v>
      </c>
      <c r="D14" s="1642">
        <v>826.77</v>
      </c>
    </row>
    <row r="15" spans="2:6" ht="33.75" thickBot="1" x14ac:dyDescent="0.5">
      <c r="B15" s="2329"/>
      <c r="C15" s="2346" t="s">
        <v>1623</v>
      </c>
      <c r="D15" s="1657">
        <v>984.11</v>
      </c>
    </row>
    <row r="16" spans="2:6" x14ac:dyDescent="0.45">
      <c r="B16" s="1669" t="s">
        <v>1154</v>
      </c>
      <c r="C16" s="2347" t="s">
        <v>1624</v>
      </c>
      <c r="D16" s="1653">
        <v>4493.91</v>
      </c>
    </row>
    <row r="17" spans="2:4" ht="33.75" thickBot="1" x14ac:dyDescent="0.5">
      <c r="B17" s="2330"/>
      <c r="C17" s="2348" t="s">
        <v>1625</v>
      </c>
      <c r="D17" s="1657">
        <v>111.279</v>
      </c>
    </row>
    <row r="18" spans="2:4" x14ac:dyDescent="0.45">
      <c r="B18" s="2328" t="s">
        <v>1204</v>
      </c>
      <c r="C18" s="2347" t="s">
        <v>1626</v>
      </c>
      <c r="D18" s="1642">
        <v>1119.962</v>
      </c>
    </row>
    <row r="19" spans="2:4" x14ac:dyDescent="0.45">
      <c r="B19" s="2331"/>
      <c r="C19" s="2291" t="s">
        <v>1627</v>
      </c>
      <c r="D19" s="1645">
        <v>7600.5940000000001</v>
      </c>
    </row>
    <row r="20" spans="2:4" x14ac:dyDescent="0.45">
      <c r="B20" s="2331"/>
      <c r="C20" s="2291" t="s">
        <v>1628</v>
      </c>
      <c r="D20" s="1645">
        <v>1521.9680000000001</v>
      </c>
    </row>
    <row r="21" spans="2:4" ht="33.75" thickBot="1" x14ac:dyDescent="0.5">
      <c r="B21" s="2329"/>
      <c r="C21" s="2349" t="s">
        <v>1629</v>
      </c>
      <c r="D21" s="1657">
        <v>55.37</v>
      </c>
    </row>
    <row r="22" spans="2:4" x14ac:dyDescent="0.45">
      <c r="B22" s="2328" t="s">
        <v>1146</v>
      </c>
      <c r="C22" s="2347" t="s">
        <v>1203</v>
      </c>
      <c r="D22" s="1642">
        <v>263.85500000000002</v>
      </c>
    </row>
    <row r="23" spans="2:4" ht="33.75" thickBot="1" x14ac:dyDescent="0.5">
      <c r="B23" s="2329"/>
      <c r="C23" s="2346" t="s">
        <v>1630</v>
      </c>
      <c r="D23" s="1657">
        <v>8829.7260000000006</v>
      </c>
    </row>
    <row r="24" spans="2:4" x14ac:dyDescent="0.45">
      <c r="B24" s="2328" t="s">
        <v>1150</v>
      </c>
      <c r="C24" s="2291" t="s">
        <v>1631</v>
      </c>
      <c r="D24" s="1642">
        <v>15744.835999999999</v>
      </c>
    </row>
    <row r="25" spans="2:4" x14ac:dyDescent="0.45">
      <c r="B25" s="2331"/>
      <c r="C25" s="2291" t="s">
        <v>1203</v>
      </c>
      <c r="D25" s="1645">
        <v>239.078</v>
      </c>
    </row>
    <row r="26" spans="2:4" ht="33.75" thickBot="1" x14ac:dyDescent="0.5">
      <c r="B26" s="2331"/>
      <c r="C26" s="2291" t="s">
        <v>1632</v>
      </c>
      <c r="D26" s="1645">
        <v>13.6</v>
      </c>
    </row>
    <row r="27" spans="2:4" x14ac:dyDescent="0.45">
      <c r="B27" s="1669" t="s">
        <v>1155</v>
      </c>
      <c r="C27" s="2347" t="s">
        <v>1633</v>
      </c>
      <c r="D27" s="2350">
        <v>2168.1190000000001</v>
      </c>
    </row>
    <row r="28" spans="2:4" x14ac:dyDescent="0.45">
      <c r="B28" s="2150"/>
      <c r="C28" s="2291" t="s">
        <v>1634</v>
      </c>
      <c r="D28" s="2294">
        <v>537.21</v>
      </c>
    </row>
    <row r="29" spans="2:4" ht="33.75" thickBot="1" x14ac:dyDescent="0.5">
      <c r="B29" s="2330"/>
      <c r="C29" s="2293" t="s">
        <v>1635</v>
      </c>
      <c r="D29" s="2351">
        <v>5002.6570000000002</v>
      </c>
    </row>
    <row r="30" spans="2:4" ht="33.75" thickBot="1" x14ac:dyDescent="0.5">
      <c r="B30" s="2332" t="s">
        <v>1365</v>
      </c>
      <c r="C30" s="2346" t="s">
        <v>1636</v>
      </c>
      <c r="D30" s="2295">
        <v>1248.3900000000001</v>
      </c>
    </row>
    <row r="31" spans="2:4" ht="33.75" thickBot="1" x14ac:dyDescent="0.5">
      <c r="B31" s="2270" t="s">
        <v>1158</v>
      </c>
      <c r="C31" s="2352"/>
      <c r="D31" s="1659">
        <f>SUM(D10:D30)</f>
        <v>53880.719999999994</v>
      </c>
    </row>
    <row r="32" spans="2:4" x14ac:dyDescent="0.45">
      <c r="B32" s="2333" t="s">
        <v>226</v>
      </c>
      <c r="C32" s="2353" t="s">
        <v>1637</v>
      </c>
      <c r="D32" s="1650">
        <v>20827.182000000001</v>
      </c>
    </row>
    <row r="33" spans="2:4" x14ac:dyDescent="0.45">
      <c r="B33" s="2277"/>
      <c r="C33" s="2354" t="s">
        <v>1638</v>
      </c>
      <c r="D33" s="1645">
        <v>638.80999999999995</v>
      </c>
    </row>
    <row r="34" spans="2:4" x14ac:dyDescent="0.45">
      <c r="B34" s="2334"/>
      <c r="C34" s="2354" t="s">
        <v>1639</v>
      </c>
      <c r="D34" s="1642">
        <v>1889.8869999999999</v>
      </c>
    </row>
    <row r="35" spans="2:4" x14ac:dyDescent="0.45">
      <c r="B35" s="2334"/>
      <c r="C35" s="2354" t="s">
        <v>1640</v>
      </c>
      <c r="D35" s="1642">
        <v>6346.6090000000004</v>
      </c>
    </row>
    <row r="36" spans="2:4" x14ac:dyDescent="0.45">
      <c r="B36" s="2277"/>
      <c r="C36" s="2354" t="s">
        <v>1641</v>
      </c>
      <c r="D36" s="1642">
        <v>1532.89</v>
      </c>
    </row>
    <row r="37" spans="2:4" x14ac:dyDescent="0.45">
      <c r="B37" s="2277"/>
      <c r="C37" s="2354" t="s">
        <v>1642</v>
      </c>
      <c r="D37" s="1642">
        <v>521.45600000000002</v>
      </c>
    </row>
    <row r="38" spans="2:4" x14ac:dyDescent="0.45">
      <c r="B38" s="2334"/>
      <c r="C38" s="2354" t="s">
        <v>1643</v>
      </c>
      <c r="D38" s="1645">
        <v>430.98</v>
      </c>
    </row>
    <row r="39" spans="2:4" x14ac:dyDescent="0.45">
      <c r="B39" s="2277"/>
      <c r="C39" s="2354" t="s">
        <v>1644</v>
      </c>
      <c r="D39" s="1645">
        <v>140</v>
      </c>
    </row>
    <row r="40" spans="2:4" x14ac:dyDescent="0.45">
      <c r="B40" s="2277"/>
      <c r="C40" s="2354" t="s">
        <v>1645</v>
      </c>
      <c r="D40" s="1642">
        <v>1210</v>
      </c>
    </row>
    <row r="41" spans="2:4" x14ac:dyDescent="0.45">
      <c r="B41" s="2277"/>
      <c r="C41" s="2354" t="s">
        <v>1646</v>
      </c>
      <c r="D41" s="1642">
        <v>1579.88</v>
      </c>
    </row>
    <row r="42" spans="2:4" x14ac:dyDescent="0.45">
      <c r="B42" s="2334"/>
      <c r="C42" s="2354" t="s">
        <v>1647</v>
      </c>
      <c r="D42" s="1645">
        <v>3959</v>
      </c>
    </row>
    <row r="43" spans="2:4" x14ac:dyDescent="0.45">
      <c r="B43" s="2334"/>
      <c r="C43" s="2354" t="s">
        <v>1648</v>
      </c>
      <c r="D43" s="1645">
        <v>987</v>
      </c>
    </row>
    <row r="44" spans="2:4" x14ac:dyDescent="0.45">
      <c r="B44" s="2334"/>
      <c r="C44" s="2354" t="s">
        <v>1649</v>
      </c>
      <c r="D44" s="1645">
        <v>994.995</v>
      </c>
    </row>
    <row r="45" spans="2:4" x14ac:dyDescent="0.45">
      <c r="B45" s="2277"/>
      <c r="C45" s="2354" t="s">
        <v>1650</v>
      </c>
      <c r="D45" s="1645">
        <v>1314.037</v>
      </c>
    </row>
    <row r="46" spans="2:4" x14ac:dyDescent="0.45">
      <c r="B46" s="2277"/>
      <c r="C46" s="2354" t="s">
        <v>1651</v>
      </c>
      <c r="D46" s="1642">
        <v>1326.972</v>
      </c>
    </row>
    <row r="47" spans="2:4" x14ac:dyDescent="0.45">
      <c r="B47" s="2335"/>
      <c r="C47" s="2354" t="s">
        <v>1652</v>
      </c>
      <c r="D47" s="1645">
        <v>719.32799999999997</v>
      </c>
    </row>
    <row r="48" spans="2:4" ht="33.75" thickBot="1" x14ac:dyDescent="0.5">
      <c r="B48" s="2336" t="s">
        <v>1205</v>
      </c>
      <c r="C48" s="2352"/>
      <c r="D48" s="1659">
        <f>SUM(D32:D47)</f>
        <v>44419.025999999998</v>
      </c>
    </row>
    <row r="49" spans="2:4" ht="33.75" thickBot="1" x14ac:dyDescent="0.5">
      <c r="B49" s="2396" t="s">
        <v>4</v>
      </c>
      <c r="C49" s="2397"/>
      <c r="D49" s="1676">
        <f>D31+D48</f>
        <v>98299.745999999985</v>
      </c>
    </row>
    <row r="50" spans="2:4" x14ac:dyDescent="0.45">
      <c r="B50" s="2337" t="s">
        <v>1367</v>
      </c>
      <c r="C50" s="2355"/>
      <c r="D50" s="1653"/>
    </row>
    <row r="51" spans="2:4" ht="33.75" thickBot="1" x14ac:dyDescent="0.5">
      <c r="B51" s="2338" t="s">
        <v>1160</v>
      </c>
      <c r="C51" s="2356" t="s">
        <v>97</v>
      </c>
      <c r="D51" s="1656" t="s">
        <v>97</v>
      </c>
    </row>
    <row r="52" spans="2:4" x14ac:dyDescent="0.45">
      <c r="B52" s="2339" t="s">
        <v>1206</v>
      </c>
      <c r="C52" s="1670" t="s">
        <v>1653</v>
      </c>
      <c r="D52" s="2350">
        <v>802</v>
      </c>
    </row>
    <row r="53" spans="2:4" ht="33.75" thickBot="1" x14ac:dyDescent="0.5">
      <c r="B53" s="2340" t="s">
        <v>1163</v>
      </c>
      <c r="C53" s="1647"/>
      <c r="D53" s="1659">
        <f>SUM(D52)</f>
        <v>802</v>
      </c>
    </row>
    <row r="54" spans="2:4" x14ac:dyDescent="0.45">
      <c r="B54" s="2792" t="s">
        <v>1167</v>
      </c>
      <c r="C54" s="1670" t="s">
        <v>1654</v>
      </c>
      <c r="D54" s="1650">
        <v>2602.5</v>
      </c>
    </row>
    <row r="55" spans="2:4" ht="52.5" x14ac:dyDescent="0.45">
      <c r="B55" s="2793"/>
      <c r="C55" s="2301" t="s">
        <v>1655</v>
      </c>
      <c r="D55" s="1645">
        <v>360</v>
      </c>
    </row>
    <row r="56" spans="2:4" ht="33.75" thickBot="1" x14ac:dyDescent="0.5">
      <c r="B56" s="2341" t="s">
        <v>1163</v>
      </c>
      <c r="C56" s="2357"/>
      <c r="D56" s="1659">
        <f>SUM(D54:D55)</f>
        <v>2962.5</v>
      </c>
    </row>
    <row r="57" spans="2:4" x14ac:dyDescent="0.45">
      <c r="B57" s="1679" t="s">
        <v>1207</v>
      </c>
      <c r="C57" s="2358" t="s">
        <v>97</v>
      </c>
      <c r="D57" s="1653" t="s">
        <v>97</v>
      </c>
    </row>
    <row r="58" spans="2:4" x14ac:dyDescent="0.45">
      <c r="B58" s="1667" t="s">
        <v>1173</v>
      </c>
      <c r="C58" s="1671" t="s">
        <v>1656</v>
      </c>
      <c r="D58" s="1645">
        <v>4417</v>
      </c>
    </row>
    <row r="59" spans="2:4" x14ac:dyDescent="0.45">
      <c r="B59" s="1667" t="s">
        <v>1174</v>
      </c>
      <c r="C59" s="1671" t="s">
        <v>1657</v>
      </c>
      <c r="D59" s="1645">
        <v>967</v>
      </c>
    </row>
    <row r="60" spans="2:4" x14ac:dyDescent="0.45">
      <c r="B60" s="2342"/>
      <c r="C60" s="1671" t="s">
        <v>1658</v>
      </c>
      <c r="D60" s="1645">
        <v>1812</v>
      </c>
    </row>
    <row r="61" spans="2:4" ht="33.75" thickBot="1" x14ac:dyDescent="0.5">
      <c r="B61" s="2340" t="s">
        <v>1163</v>
      </c>
      <c r="C61" s="2357"/>
      <c r="D61" s="1659">
        <f>SUM(D58:D60)</f>
        <v>7196</v>
      </c>
    </row>
    <row r="62" spans="2:4" x14ac:dyDescent="0.45">
      <c r="B62" s="1677" t="s">
        <v>1178</v>
      </c>
      <c r="C62" s="2355"/>
      <c r="D62" s="2359"/>
    </row>
    <row r="63" spans="2:4" ht="54" x14ac:dyDescent="0.45">
      <c r="B63" s="2262" t="s">
        <v>1179</v>
      </c>
      <c r="C63" s="2360" t="s">
        <v>1659</v>
      </c>
      <c r="D63" s="2292">
        <v>504</v>
      </c>
    </row>
    <row r="64" spans="2:4" x14ac:dyDescent="0.45">
      <c r="B64" s="2343"/>
      <c r="C64" s="2360" t="s">
        <v>1660</v>
      </c>
      <c r="D64" s="2292">
        <v>1309</v>
      </c>
    </row>
    <row r="65" spans="2:4" ht="33.75" thickBot="1" x14ac:dyDescent="0.5">
      <c r="B65" s="2344" t="s">
        <v>1163</v>
      </c>
      <c r="C65" s="2361"/>
      <c r="D65" s="1659">
        <f>SUM(D63:D64)</f>
        <v>1813</v>
      </c>
    </row>
    <row r="66" spans="2:4" ht="54" x14ac:dyDescent="0.45">
      <c r="B66" s="2153" t="s">
        <v>1376</v>
      </c>
      <c r="C66" s="2362" t="s">
        <v>1661</v>
      </c>
      <c r="D66" s="1650">
        <v>2491.502</v>
      </c>
    </row>
    <row r="67" spans="2:4" ht="33.75" thickBot="1" x14ac:dyDescent="0.5">
      <c r="B67" s="2345" t="s">
        <v>1163</v>
      </c>
      <c r="C67" s="2363"/>
      <c r="D67" s="1659">
        <f>SUM(D66)</f>
        <v>2491.502</v>
      </c>
    </row>
    <row r="68" spans="2:4" ht="33.75" thickBot="1" x14ac:dyDescent="0.5">
      <c r="B68" s="1675" t="s">
        <v>1192</v>
      </c>
      <c r="C68" s="2364"/>
      <c r="D68" s="1659">
        <f>D53++D56+D61+D65+D67+1</f>
        <v>15266.002</v>
      </c>
    </row>
    <row r="69" spans="2:4" ht="33.75" thickBot="1" x14ac:dyDescent="0.5">
      <c r="B69" s="1675" t="s">
        <v>4</v>
      </c>
      <c r="C69" s="2364"/>
      <c r="D69" s="1659">
        <f>D49</f>
        <v>98299.745999999985</v>
      </c>
    </row>
    <row r="70" spans="2:4" ht="33.75" thickBot="1" x14ac:dyDescent="0.5">
      <c r="B70" s="1684" t="s">
        <v>1193</v>
      </c>
      <c r="C70" s="2295"/>
      <c r="D70" s="1659">
        <f>D68+D69</f>
        <v>113565.74799999999</v>
      </c>
    </row>
    <row r="71" spans="2:4" ht="34.5" customHeight="1" x14ac:dyDescent="0.45">
      <c r="B71" s="2153" t="s">
        <v>1662</v>
      </c>
      <c r="C71" s="2365" t="s">
        <v>1663</v>
      </c>
      <c r="D71" s="2350">
        <v>712.53599999999994</v>
      </c>
    </row>
    <row r="72" spans="2:4" ht="33.75" thickBot="1" x14ac:dyDescent="0.5">
      <c r="B72" s="2345" t="s">
        <v>1163</v>
      </c>
      <c r="C72" s="2366"/>
      <c r="D72" s="1659">
        <f>D71</f>
        <v>712.53599999999994</v>
      </c>
    </row>
    <row r="73" spans="2:4" ht="33.75" thickBot="1" x14ac:dyDescent="0.5">
      <c r="B73" s="1675" t="s">
        <v>747</v>
      </c>
      <c r="C73" s="2263"/>
      <c r="D73" s="1686">
        <f>D70+D72+1</f>
        <v>114279.28399999999</v>
      </c>
    </row>
  </sheetData>
  <mergeCells count="3">
    <mergeCell ref="B3:D3"/>
    <mergeCell ref="B4:D4"/>
    <mergeCell ref="B54:B55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42" orientation="portrait" r:id="rId1"/>
  <headerFooter alignWithMargins="0">
    <oddHeader>&amp;R&amp;"Arial CE,Félkövér"&amp;22 30. melléklet a …../2018. (…….) önkormányzati rendelethez</oddHeader>
  </headerFooter>
  <rowBreaks count="1" manualBreakCount="1">
    <brk id="49" min="1" max="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M47"/>
  <sheetViews>
    <sheetView zoomScaleNormal="100" workbookViewId="0">
      <selection activeCell="M12" sqref="M12"/>
    </sheetView>
  </sheetViews>
  <sheetFormatPr defaultColWidth="12" defaultRowHeight="14.25" x14ac:dyDescent="0.2"/>
  <cols>
    <col min="1" max="1" width="17.83203125" style="1694" customWidth="1"/>
    <col min="2" max="2" width="15.33203125" style="1694" customWidth="1"/>
    <col min="3" max="3" width="16.5" style="1694" customWidth="1"/>
    <col min="4" max="4" width="16.6640625" style="1694" customWidth="1"/>
    <col min="5" max="5" width="30.1640625" style="1694" customWidth="1"/>
    <col min="6" max="6" width="15.6640625" style="1694" customWidth="1"/>
    <col min="7" max="7" width="16.83203125" style="1696" customWidth="1"/>
    <col min="8" max="8" width="18.6640625" style="1694" customWidth="1"/>
    <col min="9" max="9" width="18.83203125" style="1696" customWidth="1"/>
    <col min="10" max="10" width="18.5" style="1694" customWidth="1"/>
    <col min="11" max="12" width="13.1640625" style="1694" customWidth="1"/>
    <col min="13" max="13" width="14.6640625" style="1694" bestFit="1" customWidth="1"/>
    <col min="14" max="16384" width="12" style="1694"/>
  </cols>
  <sheetData>
    <row r="1" spans="1:13" ht="18" x14ac:dyDescent="0.25">
      <c r="B1" s="2794" t="s">
        <v>702</v>
      </c>
      <c r="C1" s="2794"/>
      <c r="D1" s="2794"/>
      <c r="E1" s="2794"/>
      <c r="F1" s="2794"/>
      <c r="G1" s="2794"/>
      <c r="H1" s="2794"/>
      <c r="I1" s="2794"/>
      <c r="J1" s="2794"/>
    </row>
    <row r="2" spans="1:13" ht="18.75" x14ac:dyDescent="0.3">
      <c r="B2" s="2795" t="s">
        <v>1290</v>
      </c>
      <c r="C2" s="2796"/>
      <c r="D2" s="2796"/>
      <c r="E2" s="2796"/>
      <c r="F2" s="2796"/>
      <c r="G2" s="2796"/>
      <c r="H2" s="2796"/>
      <c r="I2" s="2796"/>
      <c r="J2" s="2796"/>
    </row>
    <row r="3" spans="1:13" ht="23.25" customHeight="1" x14ac:dyDescent="0.25">
      <c r="B3" s="1695"/>
      <c r="I3" s="1697"/>
      <c r="J3" s="1695"/>
      <c r="K3" s="1695"/>
      <c r="L3" s="1695"/>
    </row>
    <row r="4" spans="1:13" ht="15" x14ac:dyDescent="0.25">
      <c r="B4" s="1698"/>
      <c r="I4" s="1699"/>
      <c r="J4" s="1698"/>
      <c r="K4" s="1698"/>
      <c r="L4" s="1698"/>
    </row>
    <row r="5" spans="1:13" ht="15" thickBot="1" x14ac:dyDescent="0.25">
      <c r="J5" s="1072" t="s">
        <v>32</v>
      </c>
      <c r="K5" s="1700"/>
      <c r="L5" s="1700"/>
    </row>
    <row r="6" spans="1:13" ht="22.5" customHeight="1" x14ac:dyDescent="0.25">
      <c r="A6" s="1701"/>
      <c r="B6" s="2398" t="s">
        <v>50</v>
      </c>
      <c r="C6" s="2399"/>
      <c r="D6" s="2399"/>
      <c r="E6" s="2400"/>
      <c r="F6" s="2797" t="s">
        <v>1208</v>
      </c>
      <c r="G6" s="2798"/>
      <c r="H6" s="2799"/>
      <c r="I6" s="2401" t="s">
        <v>1209</v>
      </c>
      <c r="J6" s="2402" t="s">
        <v>1210</v>
      </c>
      <c r="K6" s="1702"/>
      <c r="L6" s="1702"/>
    </row>
    <row r="7" spans="1:13" ht="29.25" customHeight="1" thickBot="1" x14ac:dyDescent="0.3">
      <c r="A7" s="1701"/>
      <c r="B7" s="2403"/>
      <c r="C7" s="2404"/>
      <c r="D7" s="2404"/>
      <c r="E7" s="2405"/>
      <c r="F7" s="2406" t="s">
        <v>1211</v>
      </c>
      <c r="G7" s="2407" t="s">
        <v>1212</v>
      </c>
      <c r="H7" s="2408" t="s">
        <v>1213</v>
      </c>
      <c r="I7" s="2409" t="s">
        <v>1214</v>
      </c>
      <c r="J7" s="2410" t="s">
        <v>985</v>
      </c>
      <c r="K7" s="1702"/>
      <c r="L7" s="1702"/>
    </row>
    <row r="8" spans="1:13" ht="27" customHeight="1" x14ac:dyDescent="0.2">
      <c r="B8" s="2411" t="s">
        <v>1215</v>
      </c>
      <c r="C8" s="2412"/>
      <c r="D8" s="2412"/>
      <c r="E8" s="2413"/>
      <c r="F8" s="2414">
        <v>100</v>
      </c>
      <c r="G8" s="2415">
        <v>5102808</v>
      </c>
      <c r="H8" s="2416">
        <v>5496616</v>
      </c>
      <c r="I8" s="2417">
        <v>648051</v>
      </c>
      <c r="J8" s="2418">
        <f t="shared" ref="J8:J16" si="0">H8-I8</f>
        <v>4848565</v>
      </c>
      <c r="K8" s="1703"/>
      <c r="L8" s="1703"/>
      <c r="M8" s="1704"/>
    </row>
    <row r="9" spans="1:13" ht="27" customHeight="1" x14ac:dyDescent="0.2">
      <c r="B9" s="2419" t="s">
        <v>1216</v>
      </c>
      <c r="C9" s="2420"/>
      <c r="D9" s="2420"/>
      <c r="E9" s="2421"/>
      <c r="F9" s="2422">
        <v>75</v>
      </c>
      <c r="G9" s="2415"/>
      <c r="H9" s="2416"/>
      <c r="I9" s="2417"/>
      <c r="J9" s="2423">
        <f t="shared" si="0"/>
        <v>0</v>
      </c>
      <c r="K9" s="1703"/>
      <c r="L9" s="1703"/>
    </row>
    <row r="10" spans="1:13" ht="27" customHeight="1" x14ac:dyDescent="0.2">
      <c r="B10" s="2419" t="s">
        <v>1217</v>
      </c>
      <c r="C10" s="2420"/>
      <c r="D10" s="2420"/>
      <c r="E10" s="2421"/>
      <c r="F10" s="2422">
        <v>100</v>
      </c>
      <c r="G10" s="2415">
        <v>3000</v>
      </c>
      <c r="H10" s="2416">
        <v>3000</v>
      </c>
      <c r="I10" s="2424">
        <v>3000</v>
      </c>
      <c r="J10" s="2423">
        <f t="shared" si="0"/>
        <v>0</v>
      </c>
      <c r="K10" s="1703"/>
      <c r="L10" s="1703"/>
    </row>
    <row r="11" spans="1:13" ht="27" customHeight="1" x14ac:dyDescent="0.2">
      <c r="B11" s="2419" t="s">
        <v>1218</v>
      </c>
      <c r="C11" s="2420"/>
      <c r="D11" s="2420"/>
      <c r="E11" s="2421"/>
      <c r="F11" s="2422">
        <v>52.85</v>
      </c>
      <c r="G11" s="2415">
        <f>7537500-5992312.5-370845</f>
        <v>1174342.5</v>
      </c>
      <c r="H11" s="2416">
        <f>635197-14552</f>
        <v>620645</v>
      </c>
      <c r="I11" s="2424"/>
      <c r="J11" s="2425">
        <f t="shared" si="0"/>
        <v>620645</v>
      </c>
      <c r="K11" s="1703"/>
      <c r="L11" s="1703"/>
    </row>
    <row r="12" spans="1:13" ht="27" customHeight="1" x14ac:dyDescent="0.2">
      <c r="B12" s="2426" t="s">
        <v>1219</v>
      </c>
      <c r="C12" s="2420"/>
      <c r="D12" s="2420"/>
      <c r="E12" s="2421"/>
      <c r="F12" s="2414">
        <v>16.45</v>
      </c>
      <c r="G12" s="2415">
        <v>100000</v>
      </c>
      <c r="H12" s="2416">
        <f>5000-150-1320+8670</f>
        <v>12200</v>
      </c>
      <c r="I12" s="2424"/>
      <c r="J12" s="2423">
        <f t="shared" si="0"/>
        <v>12200</v>
      </c>
      <c r="K12" s="1703"/>
      <c r="L12" s="1703"/>
      <c r="M12" s="1704"/>
    </row>
    <row r="13" spans="1:13" s="1705" customFormat="1" ht="27" customHeight="1" x14ac:dyDescent="0.2">
      <c r="B13" s="2427" t="s">
        <v>1220</v>
      </c>
      <c r="C13" s="2428"/>
      <c r="D13" s="2428"/>
      <c r="E13" s="2429"/>
      <c r="F13" s="2430">
        <v>35</v>
      </c>
      <c r="G13" s="2431">
        <v>150000</v>
      </c>
      <c r="H13" s="2432">
        <v>69490</v>
      </c>
      <c r="I13" s="2433"/>
      <c r="J13" s="2425">
        <f t="shared" si="0"/>
        <v>69490</v>
      </c>
      <c r="K13" s="1706"/>
      <c r="L13" s="1706"/>
    </row>
    <row r="14" spans="1:13" s="1705" customFormat="1" ht="27" customHeight="1" x14ac:dyDescent="0.2">
      <c r="B14" s="2427" t="s">
        <v>1221</v>
      </c>
      <c r="C14" s="2428"/>
      <c r="D14" s="2428"/>
      <c r="E14" s="2428"/>
      <c r="F14" s="2430">
        <v>100</v>
      </c>
      <c r="G14" s="2415">
        <v>25500</v>
      </c>
      <c r="H14" s="2434">
        <v>25500</v>
      </c>
      <c r="I14" s="2424"/>
      <c r="J14" s="2435">
        <f t="shared" si="0"/>
        <v>25500</v>
      </c>
      <c r="K14" s="1706"/>
      <c r="L14" s="1706"/>
    </row>
    <row r="15" spans="1:13" s="1705" customFormat="1" ht="27" customHeight="1" x14ac:dyDescent="0.2">
      <c r="B15" s="2427" t="s">
        <v>1222</v>
      </c>
      <c r="C15" s="2428"/>
      <c r="D15" s="2428"/>
      <c r="E15" s="2428"/>
      <c r="F15" s="2430">
        <v>25</v>
      </c>
      <c r="G15" s="2415">
        <v>100000</v>
      </c>
      <c r="H15" s="2434">
        <v>1470000</v>
      </c>
      <c r="I15" s="2436"/>
      <c r="J15" s="2435">
        <f t="shared" si="0"/>
        <v>1470000</v>
      </c>
      <c r="K15" s="1706"/>
      <c r="L15" s="1706"/>
      <c r="M15" s="1694"/>
    </row>
    <row r="16" spans="1:13" s="1705" customFormat="1" ht="27" customHeight="1" x14ac:dyDescent="0.2">
      <c r="B16" s="2427" t="s">
        <v>1286</v>
      </c>
      <c r="C16" s="2428"/>
      <c r="D16" s="2428"/>
      <c r="E16" s="2428"/>
      <c r="F16" s="2430">
        <v>100</v>
      </c>
      <c r="G16" s="2415">
        <v>3000000</v>
      </c>
      <c r="H16" s="2434">
        <v>102627</v>
      </c>
      <c r="I16" s="2424"/>
      <c r="J16" s="2435">
        <f t="shared" si="0"/>
        <v>102627</v>
      </c>
      <c r="K16" s="1706"/>
      <c r="L16" s="1706"/>
    </row>
    <row r="17" spans="2:13" s="1705" customFormat="1" ht="27" customHeight="1" x14ac:dyDescent="0.25">
      <c r="B17" s="2437" t="s">
        <v>1223</v>
      </c>
      <c r="C17" s="2428"/>
      <c r="D17" s="2428"/>
      <c r="E17" s="2428"/>
      <c r="F17" s="2414"/>
      <c r="G17" s="2415"/>
      <c r="H17" s="2438">
        <f>SUM(H8:H16)</f>
        <v>7800078</v>
      </c>
      <c r="I17" s="2438">
        <f>SUM(I8:I15)</f>
        <v>651051</v>
      </c>
      <c r="J17" s="2438">
        <f>SUM(J8:J16)</f>
        <v>7149027</v>
      </c>
      <c r="K17" s="1706"/>
      <c r="L17" s="1706"/>
    </row>
    <row r="18" spans="2:13" s="1705" customFormat="1" ht="27" customHeight="1" x14ac:dyDescent="0.2">
      <c r="B18" s="2439" t="s">
        <v>1224</v>
      </c>
      <c r="C18" s="2412"/>
      <c r="D18" s="2412"/>
      <c r="E18" s="2413"/>
      <c r="F18" s="2414">
        <v>100</v>
      </c>
      <c r="G18" s="2415">
        <f>3000+17000</f>
        <v>20000</v>
      </c>
      <c r="H18" s="2416">
        <f>3000+17000</f>
        <v>20000</v>
      </c>
      <c r="I18" s="2424"/>
      <c r="J18" s="2425">
        <f t="shared" ref="J18:J27" si="1">H18-I18</f>
        <v>20000</v>
      </c>
      <c r="K18" s="1706"/>
      <c r="L18" s="1706"/>
    </row>
    <row r="19" spans="2:13" s="1705" customFormat="1" ht="27" customHeight="1" x14ac:dyDescent="0.2">
      <c r="B19" s="2411" t="s">
        <v>1225</v>
      </c>
      <c r="C19" s="2412"/>
      <c r="D19" s="2412"/>
      <c r="E19" s="2413"/>
      <c r="F19" s="2414">
        <v>100</v>
      </c>
      <c r="G19" s="2415">
        <v>4700</v>
      </c>
      <c r="H19" s="2416">
        <v>4700</v>
      </c>
      <c r="I19" s="2424"/>
      <c r="J19" s="2425">
        <f t="shared" si="1"/>
        <v>4700</v>
      </c>
      <c r="K19" s="1706"/>
      <c r="L19" s="1706"/>
    </row>
    <row r="20" spans="2:13" s="1705" customFormat="1" ht="27" customHeight="1" x14ac:dyDescent="0.2">
      <c r="B20" s="2411" t="s">
        <v>1226</v>
      </c>
      <c r="C20" s="2412"/>
      <c r="D20" s="2412"/>
      <c r="E20" s="2413"/>
      <c r="F20" s="2414">
        <v>100</v>
      </c>
      <c r="G20" s="2415">
        <v>3000</v>
      </c>
      <c r="H20" s="2416">
        <v>3000</v>
      </c>
      <c r="I20" s="2424"/>
      <c r="J20" s="2425">
        <f t="shared" si="1"/>
        <v>3000</v>
      </c>
      <c r="K20" s="1706"/>
      <c r="L20" s="1706"/>
      <c r="M20" s="1707"/>
    </row>
    <row r="21" spans="2:13" s="1705" customFormat="1" ht="27" customHeight="1" x14ac:dyDescent="0.2">
      <c r="B21" s="2411" t="s">
        <v>1227</v>
      </c>
      <c r="C21" s="2412"/>
      <c r="D21" s="2412"/>
      <c r="E21" s="2413"/>
      <c r="F21" s="2414">
        <v>100</v>
      </c>
      <c r="G21" s="2415">
        <v>15000</v>
      </c>
      <c r="H21" s="2416">
        <v>15000</v>
      </c>
      <c r="I21" s="2424"/>
      <c r="J21" s="2425">
        <f t="shared" si="1"/>
        <v>15000</v>
      </c>
      <c r="K21" s="1706"/>
      <c r="L21" s="1706"/>
      <c r="M21" s="1707"/>
    </row>
    <row r="22" spans="2:13" s="1705" customFormat="1" ht="27" customHeight="1" x14ac:dyDescent="0.25">
      <c r="B22" s="1708" t="s">
        <v>1228</v>
      </c>
      <c r="C22" s="2412"/>
      <c r="D22" s="2412"/>
      <c r="E22" s="2413"/>
      <c r="F22" s="2414">
        <v>100</v>
      </c>
      <c r="G22" s="2415">
        <v>3530</v>
      </c>
      <c r="H22" s="2416">
        <f>6000-2000-170+40000-2400+3587</f>
        <v>45017</v>
      </c>
      <c r="I22" s="2424"/>
      <c r="J22" s="2425">
        <f t="shared" si="1"/>
        <v>45017</v>
      </c>
      <c r="K22" s="1706"/>
      <c r="L22" s="1706"/>
      <c r="M22" s="1707"/>
    </row>
    <row r="23" spans="2:13" s="1705" customFormat="1" ht="27" customHeight="1" x14ac:dyDescent="0.2">
      <c r="B23" s="2427" t="s">
        <v>1229</v>
      </c>
      <c r="C23" s="2428"/>
      <c r="D23" s="2428"/>
      <c r="E23" s="2428"/>
      <c r="F23" s="2430">
        <v>100</v>
      </c>
      <c r="G23" s="2415">
        <v>3000</v>
      </c>
      <c r="H23" s="2434">
        <v>3000</v>
      </c>
      <c r="I23" s="2424"/>
      <c r="J23" s="2435">
        <f t="shared" si="1"/>
        <v>3000</v>
      </c>
      <c r="K23" s="1706"/>
      <c r="L23" s="1706"/>
    </row>
    <row r="24" spans="2:13" s="1705" customFormat="1" ht="27" customHeight="1" x14ac:dyDescent="0.2">
      <c r="B24" s="2427" t="s">
        <v>1230</v>
      </c>
      <c r="C24" s="2428"/>
      <c r="D24" s="2428"/>
      <c r="E24" s="2428"/>
      <c r="F24" s="2430">
        <f>H24/G24*100</f>
        <v>85</v>
      </c>
      <c r="G24" s="2415">
        <v>3000</v>
      </c>
      <c r="H24" s="2434">
        <f>1700+850</f>
        <v>2550</v>
      </c>
      <c r="I24" s="2436"/>
      <c r="J24" s="2435">
        <f t="shared" si="1"/>
        <v>2550</v>
      </c>
      <c r="K24" s="1706"/>
      <c r="L24" s="1706"/>
    </row>
    <row r="25" spans="2:13" s="1705" customFormat="1" ht="36.75" customHeight="1" x14ac:dyDescent="0.25">
      <c r="B25" s="2800" t="s">
        <v>1231</v>
      </c>
      <c r="C25" s="2801"/>
      <c r="D25" s="2801"/>
      <c r="E25" s="2802"/>
      <c r="F25" s="2414">
        <v>20</v>
      </c>
      <c r="G25" s="2415">
        <v>3000</v>
      </c>
      <c r="H25" s="2416">
        <v>600</v>
      </c>
      <c r="I25" s="2424"/>
      <c r="J25" s="2425">
        <f t="shared" si="1"/>
        <v>600</v>
      </c>
      <c r="K25" s="1706"/>
      <c r="L25" s="1706"/>
      <c r="M25" s="1707"/>
    </row>
    <row r="26" spans="2:13" s="1705" customFormat="1" ht="40.5" customHeight="1" x14ac:dyDescent="0.25">
      <c r="B26" s="2800" t="s">
        <v>1232</v>
      </c>
      <c r="C26" s="2801"/>
      <c r="D26" s="2801"/>
      <c r="E26" s="2802"/>
      <c r="F26" s="2414">
        <v>90</v>
      </c>
      <c r="G26" s="2415">
        <v>3000</v>
      </c>
      <c r="H26" s="2416">
        <v>2700</v>
      </c>
      <c r="I26" s="2436">
        <v>2700</v>
      </c>
      <c r="J26" s="2425">
        <f t="shared" si="1"/>
        <v>0</v>
      </c>
      <c r="K26" s="1706"/>
      <c r="L26" s="1706"/>
      <c r="M26" s="1707"/>
    </row>
    <row r="27" spans="2:13" s="1705" customFormat="1" ht="27" customHeight="1" x14ac:dyDescent="0.2">
      <c r="B27" s="2411" t="s">
        <v>1233</v>
      </c>
      <c r="C27" s="2412"/>
      <c r="D27" s="2412"/>
      <c r="E27" s="2412"/>
      <c r="F27" s="2414">
        <v>100</v>
      </c>
      <c r="G27" s="2415">
        <v>13000</v>
      </c>
      <c r="H27" s="2416">
        <v>13000</v>
      </c>
      <c r="I27" s="2436"/>
      <c r="J27" s="2425">
        <f t="shared" si="1"/>
        <v>13000</v>
      </c>
      <c r="K27" s="1706"/>
      <c r="L27" s="1706"/>
      <c r="M27" s="1707"/>
    </row>
    <row r="28" spans="2:13" s="1705" customFormat="1" ht="27" customHeight="1" x14ac:dyDescent="0.25">
      <c r="B28" s="2440" t="s">
        <v>1234</v>
      </c>
      <c r="C28" s="2412"/>
      <c r="D28" s="2412"/>
      <c r="E28" s="2412"/>
      <c r="F28" s="2441"/>
      <c r="G28" s="2415"/>
      <c r="H28" s="2438">
        <f>SUM(H18:H27)</f>
        <v>109567</v>
      </c>
      <c r="I28" s="2438">
        <f>SUM(I18:I27)</f>
        <v>2700</v>
      </c>
      <c r="J28" s="2438">
        <f>SUM(J18:J27)</f>
        <v>106867</v>
      </c>
      <c r="K28" s="1706"/>
      <c r="L28" s="1706"/>
    </row>
    <row r="29" spans="2:13" s="1705" customFormat="1" ht="27" customHeight="1" x14ac:dyDescent="0.2">
      <c r="B29" s="2427" t="s">
        <v>1235</v>
      </c>
      <c r="C29" s="2428"/>
      <c r="D29" s="2428"/>
      <c r="E29" s="2428"/>
      <c r="F29" s="2430">
        <v>3.51</v>
      </c>
      <c r="G29" s="2431">
        <v>728840</v>
      </c>
      <c r="H29" s="2434">
        <v>25570</v>
      </c>
      <c r="I29" s="2433"/>
      <c r="J29" s="2435">
        <f>H29-I29</f>
        <v>25570</v>
      </c>
      <c r="K29" s="1706"/>
      <c r="L29" s="1706"/>
    </row>
    <row r="30" spans="2:13" s="1705" customFormat="1" ht="27" customHeight="1" x14ac:dyDescent="0.2">
      <c r="B30" s="2427" t="s">
        <v>1236</v>
      </c>
      <c r="C30" s="2428"/>
      <c r="D30" s="2428"/>
      <c r="E30" s="2429"/>
      <c r="F30" s="2430">
        <v>0.11</v>
      </c>
      <c r="G30" s="2431">
        <v>13473446</v>
      </c>
      <c r="H30" s="2442">
        <v>14590</v>
      </c>
      <c r="I30" s="2433"/>
      <c r="J30" s="2435">
        <f>H30-I30</f>
        <v>14590</v>
      </c>
      <c r="K30" s="1706"/>
      <c r="L30" s="1706"/>
    </row>
    <row r="31" spans="2:13" s="1705" customFormat="1" ht="27" customHeight="1" x14ac:dyDescent="0.2">
      <c r="B31" s="2427" t="s">
        <v>1237</v>
      </c>
      <c r="C31" s="2428"/>
      <c r="D31" s="2428"/>
      <c r="E31" s="2429"/>
      <c r="F31" s="2443">
        <v>3.7999999999999999E-2</v>
      </c>
      <c r="G31" s="2431">
        <v>9000001</v>
      </c>
      <c r="H31" s="2444">
        <v>3462</v>
      </c>
      <c r="I31" s="2433"/>
      <c r="J31" s="2435">
        <f>H31-I31</f>
        <v>3462</v>
      </c>
      <c r="K31" s="1706"/>
      <c r="L31" s="1706"/>
      <c r="M31" s="1707"/>
    </row>
    <row r="32" spans="2:13" ht="27" customHeight="1" thickBot="1" x14ac:dyDescent="0.3">
      <c r="B32" s="2445" t="s">
        <v>1238</v>
      </c>
      <c r="C32" s="2446"/>
      <c r="D32" s="2446"/>
      <c r="E32" s="2446"/>
      <c r="F32" s="2447"/>
      <c r="G32" s="2448"/>
      <c r="H32" s="2449">
        <f>SUM(H29:H31)</f>
        <v>43622</v>
      </c>
      <c r="I32" s="2449">
        <f>SUM(I29:I31)</f>
        <v>0</v>
      </c>
      <c r="J32" s="2449">
        <f>SUM(J29:J31)</f>
        <v>43622</v>
      </c>
      <c r="K32" s="1703"/>
      <c r="L32" s="1703"/>
      <c r="M32" s="1704"/>
    </row>
    <row r="33" spans="2:13" ht="27.75" customHeight="1" thickBot="1" x14ac:dyDescent="0.3">
      <c r="B33" s="2450" t="s">
        <v>509</v>
      </c>
      <c r="C33" s="2451"/>
      <c r="D33" s="2451"/>
      <c r="E33" s="2451"/>
      <c r="F33" s="2452"/>
      <c r="G33" s="2453"/>
      <c r="H33" s="2455">
        <f>H17+H28+H32</f>
        <v>7953267</v>
      </c>
      <c r="I33" s="2454">
        <f>I17+I28+I32</f>
        <v>653751</v>
      </c>
      <c r="J33" s="2454">
        <f>J17+J28+J32</f>
        <v>7299516</v>
      </c>
      <c r="K33" s="1703"/>
      <c r="L33" s="1703"/>
    </row>
    <row r="34" spans="2:13" x14ac:dyDescent="0.2">
      <c r="H34" s="1696"/>
      <c r="J34" s="1709"/>
      <c r="M34" s="1710"/>
    </row>
    <row r="35" spans="2:13" x14ac:dyDescent="0.2">
      <c r="H35" s="1696"/>
    </row>
    <row r="36" spans="2:13" x14ac:dyDescent="0.2">
      <c r="J36" s="1696"/>
      <c r="M36" s="1711"/>
    </row>
    <row r="37" spans="2:13" x14ac:dyDescent="0.2">
      <c r="B37" s="1712"/>
      <c r="H37" s="1696"/>
      <c r="M37" s="1711"/>
    </row>
    <row r="38" spans="2:13" x14ac:dyDescent="0.2">
      <c r="M38" s="1711"/>
    </row>
    <row r="39" spans="2:13" x14ac:dyDescent="0.2">
      <c r="M39" s="1711"/>
    </row>
    <row r="40" spans="2:13" x14ac:dyDescent="0.2">
      <c r="M40" s="1713"/>
    </row>
    <row r="41" spans="2:13" x14ac:dyDescent="0.2">
      <c r="M41" s="1711"/>
    </row>
    <row r="42" spans="2:13" x14ac:dyDescent="0.2">
      <c r="M42" s="1711"/>
    </row>
    <row r="43" spans="2:13" x14ac:dyDescent="0.2">
      <c r="M43" s="1711"/>
    </row>
    <row r="44" spans="2:13" x14ac:dyDescent="0.2">
      <c r="M44" s="1703"/>
    </row>
    <row r="45" spans="2:13" x14ac:dyDescent="0.2">
      <c r="M45" s="1711"/>
    </row>
    <row r="46" spans="2:13" x14ac:dyDescent="0.2">
      <c r="M46" s="1711"/>
    </row>
    <row r="47" spans="2:13" x14ac:dyDescent="0.2">
      <c r="M47" s="1710"/>
    </row>
  </sheetData>
  <mergeCells count="5">
    <mergeCell ref="B1:J1"/>
    <mergeCell ref="B2:J2"/>
    <mergeCell ref="F6:H6"/>
    <mergeCell ref="B25:E25"/>
    <mergeCell ref="B26:E26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68" orientation="portrait" r:id="rId1"/>
  <headerFooter alignWithMargins="0">
    <oddHeader xml:space="preserve">&amp;R&amp;"Arial,Félkövér"&amp;14 31. melléklet a …../2018. (…….) önkormányzati rendelethez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60"/>
  <sheetViews>
    <sheetView zoomScale="50" zoomScaleNormal="50" zoomScaleSheetLayoutView="50" workbookViewId="0">
      <pane xSplit="1" ySplit="8" topLeftCell="B33" activePane="bottomRight" state="frozen"/>
      <selection activeCell="G6" sqref="G6"/>
      <selection pane="topRight" activeCell="G6" sqref="G6"/>
      <selection pane="bottomLeft" activeCell="G6" sqref="G6"/>
      <selection pane="bottomRight" activeCell="BH3" sqref="BH3:BM3"/>
    </sheetView>
  </sheetViews>
  <sheetFormatPr defaultRowHeight="26.45" customHeight="1" x14ac:dyDescent="0.6"/>
  <cols>
    <col min="1" max="1" width="199.33203125" style="1918" customWidth="1"/>
    <col min="2" max="2" width="47.33203125" style="1919" customWidth="1"/>
    <col min="3" max="3" width="52.6640625" style="1919" customWidth="1"/>
    <col min="4" max="4" width="47.33203125" style="1919" customWidth="1"/>
    <col min="5" max="5" width="43.6640625" style="1919" customWidth="1"/>
    <col min="6" max="6" width="47.33203125" style="1919" customWidth="1"/>
    <col min="7" max="7" width="52.6640625" style="1919" customWidth="1"/>
    <col min="8" max="8" width="47.33203125" style="1919" customWidth="1"/>
    <col min="9" max="9" width="43.6640625" style="1919" customWidth="1"/>
    <col min="10" max="10" width="47.33203125" style="1919" customWidth="1"/>
    <col min="11" max="11" width="52.6640625" style="1919" customWidth="1"/>
    <col min="12" max="12" width="47.33203125" style="1919" customWidth="1"/>
    <col min="13" max="13" width="43.6640625" style="1919" customWidth="1"/>
    <col min="14" max="16" width="52.6640625" style="1919" customWidth="1"/>
    <col min="17" max="17" width="43.6640625" style="1919" customWidth="1"/>
    <col min="18" max="18" width="47.33203125" style="1919" customWidth="1"/>
    <col min="19" max="19" width="52.6640625" style="1919" customWidth="1"/>
    <col min="20" max="20" width="47.33203125" style="1919" customWidth="1"/>
    <col min="21" max="21" width="43.6640625" style="1919" customWidth="1"/>
    <col min="22" max="22" width="199.33203125" style="1920" customWidth="1"/>
    <col min="23" max="23" width="47.33203125" style="1919" customWidth="1"/>
    <col min="24" max="24" width="52.6640625" style="1919" customWidth="1"/>
    <col min="25" max="25" width="47.33203125" style="1919" customWidth="1"/>
    <col min="26" max="26" width="43.6640625" style="1919" customWidth="1"/>
    <col min="27" max="27" width="47.33203125" style="1919" customWidth="1"/>
    <col min="28" max="28" width="52.6640625" style="1919" customWidth="1"/>
    <col min="29" max="29" width="47.33203125" style="1919" customWidth="1"/>
    <col min="30" max="30" width="43.6640625" style="1919" customWidth="1"/>
    <col min="31" max="31" width="47.33203125" style="1919" customWidth="1"/>
    <col min="32" max="32" width="52.6640625" style="1919" customWidth="1"/>
    <col min="33" max="33" width="47.33203125" style="1919" customWidth="1"/>
    <col min="34" max="34" width="43.6640625" style="1919" customWidth="1"/>
    <col min="35" max="35" width="47.33203125" style="1919" customWidth="1"/>
    <col min="36" max="36" width="52.6640625" style="1919" customWidth="1"/>
    <col min="37" max="37" width="47.33203125" style="1919" customWidth="1"/>
    <col min="38" max="38" width="43.6640625" style="1919" customWidth="1"/>
    <col min="39" max="39" width="47.33203125" style="1918" customWidth="1"/>
    <col min="40" max="40" width="56.6640625" style="1918" customWidth="1"/>
    <col min="41" max="41" width="47.33203125" style="1918" customWidth="1"/>
    <col min="42" max="42" width="43.6640625" style="1918" customWidth="1"/>
    <col min="43" max="43" width="199.33203125" style="1920" customWidth="1"/>
    <col min="44" max="44" width="47.33203125" style="1918" customWidth="1"/>
    <col min="45" max="45" width="55.6640625" style="1918" customWidth="1"/>
    <col min="46" max="46" width="47.33203125" style="1918" customWidth="1"/>
    <col min="47" max="47" width="43.6640625" style="1918" customWidth="1"/>
    <col min="48" max="48" width="47.33203125" style="1918" customWidth="1"/>
    <col min="49" max="49" width="55.6640625" style="1918" customWidth="1"/>
    <col min="50" max="50" width="47.33203125" style="1918" customWidth="1"/>
    <col min="51" max="51" width="43.6640625" style="1918" customWidth="1"/>
    <col min="52" max="52" width="47.33203125" style="1918" customWidth="1"/>
    <col min="53" max="53" width="56" style="1918" customWidth="1"/>
    <col min="54" max="54" width="47.33203125" style="1921" customWidth="1"/>
    <col min="55" max="55" width="43.6640625" style="1921" customWidth="1"/>
    <col min="56" max="56" width="47.33203125" style="1921" customWidth="1"/>
    <col min="57" max="57" width="56" style="1921" customWidth="1"/>
    <col min="58" max="58" width="47.33203125" style="1919" customWidth="1"/>
    <col min="59" max="59" width="77.33203125" style="1919" customWidth="1"/>
    <col min="60" max="254" width="9.33203125" style="1922"/>
    <col min="255" max="255" width="193.33203125" style="1922" customWidth="1"/>
    <col min="256" max="256" width="47.1640625" style="1922" customWidth="1"/>
    <col min="257" max="257" width="47.33203125" style="1922" customWidth="1"/>
    <col min="258" max="258" width="47.1640625" style="1922" customWidth="1"/>
    <col min="259" max="259" width="43.6640625" style="1922" customWidth="1"/>
    <col min="260" max="261" width="47.33203125" style="1922" customWidth="1"/>
    <col min="262" max="262" width="47.1640625" style="1922" customWidth="1"/>
    <col min="263" max="263" width="43.6640625" style="1922" customWidth="1"/>
    <col min="264" max="265" width="47.33203125" style="1922" customWidth="1"/>
    <col min="266" max="266" width="47.1640625" style="1922" customWidth="1"/>
    <col min="267" max="267" width="43.6640625" style="1922" customWidth="1"/>
    <col min="268" max="269" width="45" style="1922" customWidth="1"/>
    <col min="270" max="270" width="44.83203125" style="1922" customWidth="1"/>
    <col min="271" max="271" width="45" style="1922" customWidth="1"/>
    <col min="272" max="273" width="47.33203125" style="1922" customWidth="1"/>
    <col min="274" max="274" width="47.1640625" style="1922" customWidth="1"/>
    <col min="275" max="275" width="43.6640625" style="1922" customWidth="1"/>
    <col min="276" max="276" width="193.33203125" style="1922" customWidth="1"/>
    <col min="277" max="279" width="47.33203125" style="1922" customWidth="1"/>
    <col min="280" max="280" width="43.6640625" style="1922" customWidth="1"/>
    <col min="281" max="283" width="47.33203125" style="1922" customWidth="1"/>
    <col min="284" max="284" width="44" style="1922" customWidth="1"/>
    <col min="285" max="287" width="47.33203125" style="1922" customWidth="1"/>
    <col min="288" max="288" width="43.6640625" style="1922" customWidth="1"/>
    <col min="289" max="291" width="47.33203125" style="1922" customWidth="1"/>
    <col min="292" max="292" width="43.6640625" style="1922" customWidth="1"/>
    <col min="293" max="295" width="47.33203125" style="1922" customWidth="1"/>
    <col min="296" max="296" width="43.6640625" style="1922" customWidth="1"/>
    <col min="297" max="297" width="193.33203125" style="1922" customWidth="1"/>
    <col min="298" max="313" width="56" style="1922" customWidth="1"/>
    <col min="314" max="314" width="59" style="1922" customWidth="1"/>
    <col min="315" max="315" width="46" style="1922" customWidth="1"/>
    <col min="316" max="510" width="9.33203125" style="1922"/>
    <col min="511" max="511" width="193.33203125" style="1922" customWidth="1"/>
    <col min="512" max="512" width="47.1640625" style="1922" customWidth="1"/>
    <col min="513" max="513" width="47.33203125" style="1922" customWidth="1"/>
    <col min="514" max="514" width="47.1640625" style="1922" customWidth="1"/>
    <col min="515" max="515" width="43.6640625" style="1922" customWidth="1"/>
    <col min="516" max="517" width="47.33203125" style="1922" customWidth="1"/>
    <col min="518" max="518" width="47.1640625" style="1922" customWidth="1"/>
    <col min="519" max="519" width="43.6640625" style="1922" customWidth="1"/>
    <col min="520" max="521" width="47.33203125" style="1922" customWidth="1"/>
    <col min="522" max="522" width="47.1640625" style="1922" customWidth="1"/>
    <col min="523" max="523" width="43.6640625" style="1922" customWidth="1"/>
    <col min="524" max="525" width="45" style="1922" customWidth="1"/>
    <col min="526" max="526" width="44.83203125" style="1922" customWidth="1"/>
    <col min="527" max="527" width="45" style="1922" customWidth="1"/>
    <col min="528" max="529" width="47.33203125" style="1922" customWidth="1"/>
    <col min="530" max="530" width="47.1640625" style="1922" customWidth="1"/>
    <col min="531" max="531" width="43.6640625" style="1922" customWidth="1"/>
    <col min="532" max="532" width="193.33203125" style="1922" customWidth="1"/>
    <col min="533" max="535" width="47.33203125" style="1922" customWidth="1"/>
    <col min="536" max="536" width="43.6640625" style="1922" customWidth="1"/>
    <col min="537" max="539" width="47.33203125" style="1922" customWidth="1"/>
    <col min="540" max="540" width="44" style="1922" customWidth="1"/>
    <col min="541" max="543" width="47.33203125" style="1922" customWidth="1"/>
    <col min="544" max="544" width="43.6640625" style="1922" customWidth="1"/>
    <col min="545" max="547" width="47.33203125" style="1922" customWidth="1"/>
    <col min="548" max="548" width="43.6640625" style="1922" customWidth="1"/>
    <col min="549" max="551" width="47.33203125" style="1922" customWidth="1"/>
    <col min="552" max="552" width="43.6640625" style="1922" customWidth="1"/>
    <col min="553" max="553" width="193.33203125" style="1922" customWidth="1"/>
    <col min="554" max="569" width="56" style="1922" customWidth="1"/>
    <col min="570" max="570" width="59" style="1922" customWidth="1"/>
    <col min="571" max="571" width="46" style="1922" customWidth="1"/>
    <col min="572" max="766" width="9.33203125" style="1922"/>
    <col min="767" max="767" width="193.33203125" style="1922" customWidth="1"/>
    <col min="768" max="768" width="47.1640625" style="1922" customWidth="1"/>
    <col min="769" max="769" width="47.33203125" style="1922" customWidth="1"/>
    <col min="770" max="770" width="47.1640625" style="1922" customWidth="1"/>
    <col min="771" max="771" width="43.6640625" style="1922" customWidth="1"/>
    <col min="772" max="773" width="47.33203125" style="1922" customWidth="1"/>
    <col min="774" max="774" width="47.1640625" style="1922" customWidth="1"/>
    <col min="775" max="775" width="43.6640625" style="1922" customWidth="1"/>
    <col min="776" max="777" width="47.33203125" style="1922" customWidth="1"/>
    <col min="778" max="778" width="47.1640625" style="1922" customWidth="1"/>
    <col min="779" max="779" width="43.6640625" style="1922" customWidth="1"/>
    <col min="780" max="781" width="45" style="1922" customWidth="1"/>
    <col min="782" max="782" width="44.83203125" style="1922" customWidth="1"/>
    <col min="783" max="783" width="45" style="1922" customWidth="1"/>
    <col min="784" max="785" width="47.33203125" style="1922" customWidth="1"/>
    <col min="786" max="786" width="47.1640625" style="1922" customWidth="1"/>
    <col min="787" max="787" width="43.6640625" style="1922" customWidth="1"/>
    <col min="788" max="788" width="193.33203125" style="1922" customWidth="1"/>
    <col min="789" max="791" width="47.33203125" style="1922" customWidth="1"/>
    <col min="792" max="792" width="43.6640625" style="1922" customWidth="1"/>
    <col min="793" max="795" width="47.33203125" style="1922" customWidth="1"/>
    <col min="796" max="796" width="44" style="1922" customWidth="1"/>
    <col min="797" max="799" width="47.33203125" style="1922" customWidth="1"/>
    <col min="800" max="800" width="43.6640625" style="1922" customWidth="1"/>
    <col min="801" max="803" width="47.33203125" style="1922" customWidth="1"/>
    <col min="804" max="804" width="43.6640625" style="1922" customWidth="1"/>
    <col min="805" max="807" width="47.33203125" style="1922" customWidth="1"/>
    <col min="808" max="808" width="43.6640625" style="1922" customWidth="1"/>
    <col min="809" max="809" width="193.33203125" style="1922" customWidth="1"/>
    <col min="810" max="825" width="56" style="1922" customWidth="1"/>
    <col min="826" max="826" width="59" style="1922" customWidth="1"/>
    <col min="827" max="827" width="46" style="1922" customWidth="1"/>
    <col min="828" max="1022" width="9.33203125" style="1922"/>
    <col min="1023" max="1023" width="193.33203125" style="1922" customWidth="1"/>
    <col min="1024" max="1024" width="47.1640625" style="1922" customWidth="1"/>
    <col min="1025" max="1025" width="47.33203125" style="1922" customWidth="1"/>
    <col min="1026" max="1026" width="47.1640625" style="1922" customWidth="1"/>
    <col min="1027" max="1027" width="43.6640625" style="1922" customWidth="1"/>
    <col min="1028" max="1029" width="47.33203125" style="1922" customWidth="1"/>
    <col min="1030" max="1030" width="47.1640625" style="1922" customWidth="1"/>
    <col min="1031" max="1031" width="43.6640625" style="1922" customWidth="1"/>
    <col min="1032" max="1033" width="47.33203125" style="1922" customWidth="1"/>
    <col min="1034" max="1034" width="47.1640625" style="1922" customWidth="1"/>
    <col min="1035" max="1035" width="43.6640625" style="1922" customWidth="1"/>
    <col min="1036" max="1037" width="45" style="1922" customWidth="1"/>
    <col min="1038" max="1038" width="44.83203125" style="1922" customWidth="1"/>
    <col min="1039" max="1039" width="45" style="1922" customWidth="1"/>
    <col min="1040" max="1041" width="47.33203125" style="1922" customWidth="1"/>
    <col min="1042" max="1042" width="47.1640625" style="1922" customWidth="1"/>
    <col min="1043" max="1043" width="43.6640625" style="1922" customWidth="1"/>
    <col min="1044" max="1044" width="193.33203125" style="1922" customWidth="1"/>
    <col min="1045" max="1047" width="47.33203125" style="1922" customWidth="1"/>
    <col min="1048" max="1048" width="43.6640625" style="1922" customWidth="1"/>
    <col min="1049" max="1051" width="47.33203125" style="1922" customWidth="1"/>
    <col min="1052" max="1052" width="44" style="1922" customWidth="1"/>
    <col min="1053" max="1055" width="47.33203125" style="1922" customWidth="1"/>
    <col min="1056" max="1056" width="43.6640625" style="1922" customWidth="1"/>
    <col min="1057" max="1059" width="47.33203125" style="1922" customWidth="1"/>
    <col min="1060" max="1060" width="43.6640625" style="1922" customWidth="1"/>
    <col min="1061" max="1063" width="47.33203125" style="1922" customWidth="1"/>
    <col min="1064" max="1064" width="43.6640625" style="1922" customWidth="1"/>
    <col min="1065" max="1065" width="193.33203125" style="1922" customWidth="1"/>
    <col min="1066" max="1081" width="56" style="1922" customWidth="1"/>
    <col min="1082" max="1082" width="59" style="1922" customWidth="1"/>
    <col min="1083" max="1083" width="46" style="1922" customWidth="1"/>
    <col min="1084" max="1278" width="9.33203125" style="1922"/>
    <col min="1279" max="1279" width="193.33203125" style="1922" customWidth="1"/>
    <col min="1280" max="1280" width="47.1640625" style="1922" customWidth="1"/>
    <col min="1281" max="1281" width="47.33203125" style="1922" customWidth="1"/>
    <col min="1282" max="1282" width="47.1640625" style="1922" customWidth="1"/>
    <col min="1283" max="1283" width="43.6640625" style="1922" customWidth="1"/>
    <col min="1284" max="1285" width="47.33203125" style="1922" customWidth="1"/>
    <col min="1286" max="1286" width="47.1640625" style="1922" customWidth="1"/>
    <col min="1287" max="1287" width="43.6640625" style="1922" customWidth="1"/>
    <col min="1288" max="1289" width="47.33203125" style="1922" customWidth="1"/>
    <col min="1290" max="1290" width="47.1640625" style="1922" customWidth="1"/>
    <col min="1291" max="1291" width="43.6640625" style="1922" customWidth="1"/>
    <col min="1292" max="1293" width="45" style="1922" customWidth="1"/>
    <col min="1294" max="1294" width="44.83203125" style="1922" customWidth="1"/>
    <col min="1295" max="1295" width="45" style="1922" customWidth="1"/>
    <col min="1296" max="1297" width="47.33203125" style="1922" customWidth="1"/>
    <col min="1298" max="1298" width="47.1640625" style="1922" customWidth="1"/>
    <col min="1299" max="1299" width="43.6640625" style="1922" customWidth="1"/>
    <col min="1300" max="1300" width="193.33203125" style="1922" customWidth="1"/>
    <col min="1301" max="1303" width="47.33203125" style="1922" customWidth="1"/>
    <col min="1304" max="1304" width="43.6640625" style="1922" customWidth="1"/>
    <col min="1305" max="1307" width="47.33203125" style="1922" customWidth="1"/>
    <col min="1308" max="1308" width="44" style="1922" customWidth="1"/>
    <col min="1309" max="1311" width="47.33203125" style="1922" customWidth="1"/>
    <col min="1312" max="1312" width="43.6640625" style="1922" customWidth="1"/>
    <col min="1313" max="1315" width="47.33203125" style="1922" customWidth="1"/>
    <col min="1316" max="1316" width="43.6640625" style="1922" customWidth="1"/>
    <col min="1317" max="1319" width="47.33203125" style="1922" customWidth="1"/>
    <col min="1320" max="1320" width="43.6640625" style="1922" customWidth="1"/>
    <col min="1321" max="1321" width="193.33203125" style="1922" customWidth="1"/>
    <col min="1322" max="1337" width="56" style="1922" customWidth="1"/>
    <col min="1338" max="1338" width="59" style="1922" customWidth="1"/>
    <col min="1339" max="1339" width="46" style="1922" customWidth="1"/>
    <col min="1340" max="1534" width="9.33203125" style="1922"/>
    <col min="1535" max="1535" width="193.33203125" style="1922" customWidth="1"/>
    <col min="1536" max="1536" width="47.1640625" style="1922" customWidth="1"/>
    <col min="1537" max="1537" width="47.33203125" style="1922" customWidth="1"/>
    <col min="1538" max="1538" width="47.1640625" style="1922" customWidth="1"/>
    <col min="1539" max="1539" width="43.6640625" style="1922" customWidth="1"/>
    <col min="1540" max="1541" width="47.33203125" style="1922" customWidth="1"/>
    <col min="1542" max="1542" width="47.1640625" style="1922" customWidth="1"/>
    <col min="1543" max="1543" width="43.6640625" style="1922" customWidth="1"/>
    <col min="1544" max="1545" width="47.33203125" style="1922" customWidth="1"/>
    <col min="1546" max="1546" width="47.1640625" style="1922" customWidth="1"/>
    <col min="1547" max="1547" width="43.6640625" style="1922" customWidth="1"/>
    <col min="1548" max="1549" width="45" style="1922" customWidth="1"/>
    <col min="1550" max="1550" width="44.83203125" style="1922" customWidth="1"/>
    <col min="1551" max="1551" width="45" style="1922" customWidth="1"/>
    <col min="1552" max="1553" width="47.33203125" style="1922" customWidth="1"/>
    <col min="1554" max="1554" width="47.1640625" style="1922" customWidth="1"/>
    <col min="1555" max="1555" width="43.6640625" style="1922" customWidth="1"/>
    <col min="1556" max="1556" width="193.33203125" style="1922" customWidth="1"/>
    <col min="1557" max="1559" width="47.33203125" style="1922" customWidth="1"/>
    <col min="1560" max="1560" width="43.6640625" style="1922" customWidth="1"/>
    <col min="1561" max="1563" width="47.33203125" style="1922" customWidth="1"/>
    <col min="1564" max="1564" width="44" style="1922" customWidth="1"/>
    <col min="1565" max="1567" width="47.33203125" style="1922" customWidth="1"/>
    <col min="1568" max="1568" width="43.6640625" style="1922" customWidth="1"/>
    <col min="1569" max="1571" width="47.33203125" style="1922" customWidth="1"/>
    <col min="1572" max="1572" width="43.6640625" style="1922" customWidth="1"/>
    <col min="1573" max="1575" width="47.33203125" style="1922" customWidth="1"/>
    <col min="1576" max="1576" width="43.6640625" style="1922" customWidth="1"/>
    <col min="1577" max="1577" width="193.33203125" style="1922" customWidth="1"/>
    <col min="1578" max="1593" width="56" style="1922" customWidth="1"/>
    <col min="1594" max="1594" width="59" style="1922" customWidth="1"/>
    <col min="1595" max="1595" width="46" style="1922" customWidth="1"/>
    <col min="1596" max="1790" width="9.33203125" style="1922"/>
    <col min="1791" max="1791" width="193.33203125" style="1922" customWidth="1"/>
    <col min="1792" max="1792" width="47.1640625" style="1922" customWidth="1"/>
    <col min="1793" max="1793" width="47.33203125" style="1922" customWidth="1"/>
    <col min="1794" max="1794" width="47.1640625" style="1922" customWidth="1"/>
    <col min="1795" max="1795" width="43.6640625" style="1922" customWidth="1"/>
    <col min="1796" max="1797" width="47.33203125" style="1922" customWidth="1"/>
    <col min="1798" max="1798" width="47.1640625" style="1922" customWidth="1"/>
    <col min="1799" max="1799" width="43.6640625" style="1922" customWidth="1"/>
    <col min="1800" max="1801" width="47.33203125" style="1922" customWidth="1"/>
    <col min="1802" max="1802" width="47.1640625" style="1922" customWidth="1"/>
    <col min="1803" max="1803" width="43.6640625" style="1922" customWidth="1"/>
    <col min="1804" max="1805" width="45" style="1922" customWidth="1"/>
    <col min="1806" max="1806" width="44.83203125" style="1922" customWidth="1"/>
    <col min="1807" max="1807" width="45" style="1922" customWidth="1"/>
    <col min="1808" max="1809" width="47.33203125" style="1922" customWidth="1"/>
    <col min="1810" max="1810" width="47.1640625" style="1922" customWidth="1"/>
    <col min="1811" max="1811" width="43.6640625" style="1922" customWidth="1"/>
    <col min="1812" max="1812" width="193.33203125" style="1922" customWidth="1"/>
    <col min="1813" max="1815" width="47.33203125" style="1922" customWidth="1"/>
    <col min="1816" max="1816" width="43.6640625" style="1922" customWidth="1"/>
    <col min="1817" max="1819" width="47.33203125" style="1922" customWidth="1"/>
    <col min="1820" max="1820" width="44" style="1922" customWidth="1"/>
    <col min="1821" max="1823" width="47.33203125" style="1922" customWidth="1"/>
    <col min="1824" max="1824" width="43.6640625" style="1922" customWidth="1"/>
    <col min="1825" max="1827" width="47.33203125" style="1922" customWidth="1"/>
    <col min="1828" max="1828" width="43.6640625" style="1922" customWidth="1"/>
    <col min="1829" max="1831" width="47.33203125" style="1922" customWidth="1"/>
    <col min="1832" max="1832" width="43.6640625" style="1922" customWidth="1"/>
    <col min="1833" max="1833" width="193.33203125" style="1922" customWidth="1"/>
    <col min="1834" max="1849" width="56" style="1922" customWidth="1"/>
    <col min="1850" max="1850" width="59" style="1922" customWidth="1"/>
    <col min="1851" max="1851" width="46" style="1922" customWidth="1"/>
    <col min="1852" max="2046" width="9.33203125" style="1922"/>
    <col min="2047" max="2047" width="193.33203125" style="1922" customWidth="1"/>
    <col min="2048" max="2048" width="47.1640625" style="1922" customWidth="1"/>
    <col min="2049" max="2049" width="47.33203125" style="1922" customWidth="1"/>
    <col min="2050" max="2050" width="47.1640625" style="1922" customWidth="1"/>
    <col min="2051" max="2051" width="43.6640625" style="1922" customWidth="1"/>
    <col min="2052" max="2053" width="47.33203125" style="1922" customWidth="1"/>
    <col min="2054" max="2054" width="47.1640625" style="1922" customWidth="1"/>
    <col min="2055" max="2055" width="43.6640625" style="1922" customWidth="1"/>
    <col min="2056" max="2057" width="47.33203125" style="1922" customWidth="1"/>
    <col min="2058" max="2058" width="47.1640625" style="1922" customWidth="1"/>
    <col min="2059" max="2059" width="43.6640625" style="1922" customWidth="1"/>
    <col min="2060" max="2061" width="45" style="1922" customWidth="1"/>
    <col min="2062" max="2062" width="44.83203125" style="1922" customWidth="1"/>
    <col min="2063" max="2063" width="45" style="1922" customWidth="1"/>
    <col min="2064" max="2065" width="47.33203125" style="1922" customWidth="1"/>
    <col min="2066" max="2066" width="47.1640625" style="1922" customWidth="1"/>
    <col min="2067" max="2067" width="43.6640625" style="1922" customWidth="1"/>
    <col min="2068" max="2068" width="193.33203125" style="1922" customWidth="1"/>
    <col min="2069" max="2071" width="47.33203125" style="1922" customWidth="1"/>
    <col min="2072" max="2072" width="43.6640625" style="1922" customWidth="1"/>
    <col min="2073" max="2075" width="47.33203125" style="1922" customWidth="1"/>
    <col min="2076" max="2076" width="44" style="1922" customWidth="1"/>
    <col min="2077" max="2079" width="47.33203125" style="1922" customWidth="1"/>
    <col min="2080" max="2080" width="43.6640625" style="1922" customWidth="1"/>
    <col min="2081" max="2083" width="47.33203125" style="1922" customWidth="1"/>
    <col min="2084" max="2084" width="43.6640625" style="1922" customWidth="1"/>
    <col min="2085" max="2087" width="47.33203125" style="1922" customWidth="1"/>
    <col min="2088" max="2088" width="43.6640625" style="1922" customWidth="1"/>
    <col min="2089" max="2089" width="193.33203125" style="1922" customWidth="1"/>
    <col min="2090" max="2105" width="56" style="1922" customWidth="1"/>
    <col min="2106" max="2106" width="59" style="1922" customWidth="1"/>
    <col min="2107" max="2107" width="46" style="1922" customWidth="1"/>
    <col min="2108" max="2302" width="9.33203125" style="1922"/>
    <col min="2303" max="2303" width="193.33203125" style="1922" customWidth="1"/>
    <col min="2304" max="2304" width="47.1640625" style="1922" customWidth="1"/>
    <col min="2305" max="2305" width="47.33203125" style="1922" customWidth="1"/>
    <col min="2306" max="2306" width="47.1640625" style="1922" customWidth="1"/>
    <col min="2307" max="2307" width="43.6640625" style="1922" customWidth="1"/>
    <col min="2308" max="2309" width="47.33203125" style="1922" customWidth="1"/>
    <col min="2310" max="2310" width="47.1640625" style="1922" customWidth="1"/>
    <col min="2311" max="2311" width="43.6640625" style="1922" customWidth="1"/>
    <col min="2312" max="2313" width="47.33203125" style="1922" customWidth="1"/>
    <col min="2314" max="2314" width="47.1640625" style="1922" customWidth="1"/>
    <col min="2315" max="2315" width="43.6640625" style="1922" customWidth="1"/>
    <col min="2316" max="2317" width="45" style="1922" customWidth="1"/>
    <col min="2318" max="2318" width="44.83203125" style="1922" customWidth="1"/>
    <col min="2319" max="2319" width="45" style="1922" customWidth="1"/>
    <col min="2320" max="2321" width="47.33203125" style="1922" customWidth="1"/>
    <col min="2322" max="2322" width="47.1640625" style="1922" customWidth="1"/>
    <col min="2323" max="2323" width="43.6640625" style="1922" customWidth="1"/>
    <col min="2324" max="2324" width="193.33203125" style="1922" customWidth="1"/>
    <col min="2325" max="2327" width="47.33203125" style="1922" customWidth="1"/>
    <col min="2328" max="2328" width="43.6640625" style="1922" customWidth="1"/>
    <col min="2329" max="2331" width="47.33203125" style="1922" customWidth="1"/>
    <col min="2332" max="2332" width="44" style="1922" customWidth="1"/>
    <col min="2333" max="2335" width="47.33203125" style="1922" customWidth="1"/>
    <col min="2336" max="2336" width="43.6640625" style="1922" customWidth="1"/>
    <col min="2337" max="2339" width="47.33203125" style="1922" customWidth="1"/>
    <col min="2340" max="2340" width="43.6640625" style="1922" customWidth="1"/>
    <col min="2341" max="2343" width="47.33203125" style="1922" customWidth="1"/>
    <col min="2344" max="2344" width="43.6640625" style="1922" customWidth="1"/>
    <col min="2345" max="2345" width="193.33203125" style="1922" customWidth="1"/>
    <col min="2346" max="2361" width="56" style="1922" customWidth="1"/>
    <col min="2362" max="2362" width="59" style="1922" customWidth="1"/>
    <col min="2363" max="2363" width="46" style="1922" customWidth="1"/>
    <col min="2364" max="2558" width="9.33203125" style="1922"/>
    <col min="2559" max="2559" width="193.33203125" style="1922" customWidth="1"/>
    <col min="2560" max="2560" width="47.1640625" style="1922" customWidth="1"/>
    <col min="2561" max="2561" width="47.33203125" style="1922" customWidth="1"/>
    <col min="2562" max="2562" width="47.1640625" style="1922" customWidth="1"/>
    <col min="2563" max="2563" width="43.6640625" style="1922" customWidth="1"/>
    <col min="2564" max="2565" width="47.33203125" style="1922" customWidth="1"/>
    <col min="2566" max="2566" width="47.1640625" style="1922" customWidth="1"/>
    <col min="2567" max="2567" width="43.6640625" style="1922" customWidth="1"/>
    <col min="2568" max="2569" width="47.33203125" style="1922" customWidth="1"/>
    <col min="2570" max="2570" width="47.1640625" style="1922" customWidth="1"/>
    <col min="2571" max="2571" width="43.6640625" style="1922" customWidth="1"/>
    <col min="2572" max="2573" width="45" style="1922" customWidth="1"/>
    <col min="2574" max="2574" width="44.83203125" style="1922" customWidth="1"/>
    <col min="2575" max="2575" width="45" style="1922" customWidth="1"/>
    <col min="2576" max="2577" width="47.33203125" style="1922" customWidth="1"/>
    <col min="2578" max="2578" width="47.1640625" style="1922" customWidth="1"/>
    <col min="2579" max="2579" width="43.6640625" style="1922" customWidth="1"/>
    <col min="2580" max="2580" width="193.33203125" style="1922" customWidth="1"/>
    <col min="2581" max="2583" width="47.33203125" style="1922" customWidth="1"/>
    <col min="2584" max="2584" width="43.6640625" style="1922" customWidth="1"/>
    <col min="2585" max="2587" width="47.33203125" style="1922" customWidth="1"/>
    <col min="2588" max="2588" width="44" style="1922" customWidth="1"/>
    <col min="2589" max="2591" width="47.33203125" style="1922" customWidth="1"/>
    <col min="2592" max="2592" width="43.6640625" style="1922" customWidth="1"/>
    <col min="2593" max="2595" width="47.33203125" style="1922" customWidth="1"/>
    <col min="2596" max="2596" width="43.6640625" style="1922" customWidth="1"/>
    <col min="2597" max="2599" width="47.33203125" style="1922" customWidth="1"/>
    <col min="2600" max="2600" width="43.6640625" style="1922" customWidth="1"/>
    <col min="2601" max="2601" width="193.33203125" style="1922" customWidth="1"/>
    <col min="2602" max="2617" width="56" style="1922" customWidth="1"/>
    <col min="2618" max="2618" width="59" style="1922" customWidth="1"/>
    <col min="2619" max="2619" width="46" style="1922" customWidth="1"/>
    <col min="2620" max="2814" width="9.33203125" style="1922"/>
    <col min="2815" max="2815" width="193.33203125" style="1922" customWidth="1"/>
    <col min="2816" max="2816" width="47.1640625" style="1922" customWidth="1"/>
    <col min="2817" max="2817" width="47.33203125" style="1922" customWidth="1"/>
    <col min="2818" max="2818" width="47.1640625" style="1922" customWidth="1"/>
    <col min="2819" max="2819" width="43.6640625" style="1922" customWidth="1"/>
    <col min="2820" max="2821" width="47.33203125" style="1922" customWidth="1"/>
    <col min="2822" max="2822" width="47.1640625" style="1922" customWidth="1"/>
    <col min="2823" max="2823" width="43.6640625" style="1922" customWidth="1"/>
    <col min="2824" max="2825" width="47.33203125" style="1922" customWidth="1"/>
    <col min="2826" max="2826" width="47.1640625" style="1922" customWidth="1"/>
    <col min="2827" max="2827" width="43.6640625" style="1922" customWidth="1"/>
    <col min="2828" max="2829" width="45" style="1922" customWidth="1"/>
    <col min="2830" max="2830" width="44.83203125" style="1922" customWidth="1"/>
    <col min="2831" max="2831" width="45" style="1922" customWidth="1"/>
    <col min="2832" max="2833" width="47.33203125" style="1922" customWidth="1"/>
    <col min="2834" max="2834" width="47.1640625" style="1922" customWidth="1"/>
    <col min="2835" max="2835" width="43.6640625" style="1922" customWidth="1"/>
    <col min="2836" max="2836" width="193.33203125" style="1922" customWidth="1"/>
    <col min="2837" max="2839" width="47.33203125" style="1922" customWidth="1"/>
    <col min="2840" max="2840" width="43.6640625" style="1922" customWidth="1"/>
    <col min="2841" max="2843" width="47.33203125" style="1922" customWidth="1"/>
    <col min="2844" max="2844" width="44" style="1922" customWidth="1"/>
    <col min="2845" max="2847" width="47.33203125" style="1922" customWidth="1"/>
    <col min="2848" max="2848" width="43.6640625" style="1922" customWidth="1"/>
    <col min="2849" max="2851" width="47.33203125" style="1922" customWidth="1"/>
    <col min="2852" max="2852" width="43.6640625" style="1922" customWidth="1"/>
    <col min="2853" max="2855" width="47.33203125" style="1922" customWidth="1"/>
    <col min="2856" max="2856" width="43.6640625" style="1922" customWidth="1"/>
    <col min="2857" max="2857" width="193.33203125" style="1922" customWidth="1"/>
    <col min="2858" max="2873" width="56" style="1922" customWidth="1"/>
    <col min="2874" max="2874" width="59" style="1922" customWidth="1"/>
    <col min="2875" max="2875" width="46" style="1922" customWidth="1"/>
    <col min="2876" max="3070" width="9.33203125" style="1922"/>
    <col min="3071" max="3071" width="193.33203125" style="1922" customWidth="1"/>
    <col min="3072" max="3072" width="47.1640625" style="1922" customWidth="1"/>
    <col min="3073" max="3073" width="47.33203125" style="1922" customWidth="1"/>
    <col min="3074" max="3074" width="47.1640625" style="1922" customWidth="1"/>
    <col min="3075" max="3075" width="43.6640625" style="1922" customWidth="1"/>
    <col min="3076" max="3077" width="47.33203125" style="1922" customWidth="1"/>
    <col min="3078" max="3078" width="47.1640625" style="1922" customWidth="1"/>
    <col min="3079" max="3079" width="43.6640625" style="1922" customWidth="1"/>
    <col min="3080" max="3081" width="47.33203125" style="1922" customWidth="1"/>
    <col min="3082" max="3082" width="47.1640625" style="1922" customWidth="1"/>
    <col min="3083" max="3083" width="43.6640625" style="1922" customWidth="1"/>
    <col min="3084" max="3085" width="45" style="1922" customWidth="1"/>
    <col min="3086" max="3086" width="44.83203125" style="1922" customWidth="1"/>
    <col min="3087" max="3087" width="45" style="1922" customWidth="1"/>
    <col min="3088" max="3089" width="47.33203125" style="1922" customWidth="1"/>
    <col min="3090" max="3090" width="47.1640625" style="1922" customWidth="1"/>
    <col min="3091" max="3091" width="43.6640625" style="1922" customWidth="1"/>
    <col min="3092" max="3092" width="193.33203125" style="1922" customWidth="1"/>
    <col min="3093" max="3095" width="47.33203125" style="1922" customWidth="1"/>
    <col min="3096" max="3096" width="43.6640625" style="1922" customWidth="1"/>
    <col min="3097" max="3099" width="47.33203125" style="1922" customWidth="1"/>
    <col min="3100" max="3100" width="44" style="1922" customWidth="1"/>
    <col min="3101" max="3103" width="47.33203125" style="1922" customWidth="1"/>
    <col min="3104" max="3104" width="43.6640625" style="1922" customWidth="1"/>
    <col min="3105" max="3107" width="47.33203125" style="1922" customWidth="1"/>
    <col min="3108" max="3108" width="43.6640625" style="1922" customWidth="1"/>
    <col min="3109" max="3111" width="47.33203125" style="1922" customWidth="1"/>
    <col min="3112" max="3112" width="43.6640625" style="1922" customWidth="1"/>
    <col min="3113" max="3113" width="193.33203125" style="1922" customWidth="1"/>
    <col min="3114" max="3129" width="56" style="1922" customWidth="1"/>
    <col min="3130" max="3130" width="59" style="1922" customWidth="1"/>
    <col min="3131" max="3131" width="46" style="1922" customWidth="1"/>
    <col min="3132" max="3326" width="9.33203125" style="1922"/>
    <col min="3327" max="3327" width="193.33203125" style="1922" customWidth="1"/>
    <col min="3328" max="3328" width="47.1640625" style="1922" customWidth="1"/>
    <col min="3329" max="3329" width="47.33203125" style="1922" customWidth="1"/>
    <col min="3330" max="3330" width="47.1640625" style="1922" customWidth="1"/>
    <col min="3331" max="3331" width="43.6640625" style="1922" customWidth="1"/>
    <col min="3332" max="3333" width="47.33203125" style="1922" customWidth="1"/>
    <col min="3334" max="3334" width="47.1640625" style="1922" customWidth="1"/>
    <col min="3335" max="3335" width="43.6640625" style="1922" customWidth="1"/>
    <col min="3336" max="3337" width="47.33203125" style="1922" customWidth="1"/>
    <col min="3338" max="3338" width="47.1640625" style="1922" customWidth="1"/>
    <col min="3339" max="3339" width="43.6640625" style="1922" customWidth="1"/>
    <col min="3340" max="3341" width="45" style="1922" customWidth="1"/>
    <col min="3342" max="3342" width="44.83203125" style="1922" customWidth="1"/>
    <col min="3343" max="3343" width="45" style="1922" customWidth="1"/>
    <col min="3344" max="3345" width="47.33203125" style="1922" customWidth="1"/>
    <col min="3346" max="3346" width="47.1640625" style="1922" customWidth="1"/>
    <col min="3347" max="3347" width="43.6640625" style="1922" customWidth="1"/>
    <col min="3348" max="3348" width="193.33203125" style="1922" customWidth="1"/>
    <col min="3349" max="3351" width="47.33203125" style="1922" customWidth="1"/>
    <col min="3352" max="3352" width="43.6640625" style="1922" customWidth="1"/>
    <col min="3353" max="3355" width="47.33203125" style="1922" customWidth="1"/>
    <col min="3356" max="3356" width="44" style="1922" customWidth="1"/>
    <col min="3357" max="3359" width="47.33203125" style="1922" customWidth="1"/>
    <col min="3360" max="3360" width="43.6640625" style="1922" customWidth="1"/>
    <col min="3361" max="3363" width="47.33203125" style="1922" customWidth="1"/>
    <col min="3364" max="3364" width="43.6640625" style="1922" customWidth="1"/>
    <col min="3365" max="3367" width="47.33203125" style="1922" customWidth="1"/>
    <col min="3368" max="3368" width="43.6640625" style="1922" customWidth="1"/>
    <col min="3369" max="3369" width="193.33203125" style="1922" customWidth="1"/>
    <col min="3370" max="3385" width="56" style="1922" customWidth="1"/>
    <col min="3386" max="3386" width="59" style="1922" customWidth="1"/>
    <col min="3387" max="3387" width="46" style="1922" customWidth="1"/>
    <col min="3388" max="3582" width="9.33203125" style="1922"/>
    <col min="3583" max="3583" width="193.33203125" style="1922" customWidth="1"/>
    <col min="3584" max="3584" width="47.1640625" style="1922" customWidth="1"/>
    <col min="3585" max="3585" width="47.33203125" style="1922" customWidth="1"/>
    <col min="3586" max="3586" width="47.1640625" style="1922" customWidth="1"/>
    <col min="3587" max="3587" width="43.6640625" style="1922" customWidth="1"/>
    <col min="3588" max="3589" width="47.33203125" style="1922" customWidth="1"/>
    <col min="3590" max="3590" width="47.1640625" style="1922" customWidth="1"/>
    <col min="3591" max="3591" width="43.6640625" style="1922" customWidth="1"/>
    <col min="3592" max="3593" width="47.33203125" style="1922" customWidth="1"/>
    <col min="3594" max="3594" width="47.1640625" style="1922" customWidth="1"/>
    <col min="3595" max="3595" width="43.6640625" style="1922" customWidth="1"/>
    <col min="3596" max="3597" width="45" style="1922" customWidth="1"/>
    <col min="3598" max="3598" width="44.83203125" style="1922" customWidth="1"/>
    <col min="3599" max="3599" width="45" style="1922" customWidth="1"/>
    <col min="3600" max="3601" width="47.33203125" style="1922" customWidth="1"/>
    <col min="3602" max="3602" width="47.1640625" style="1922" customWidth="1"/>
    <col min="3603" max="3603" width="43.6640625" style="1922" customWidth="1"/>
    <col min="3604" max="3604" width="193.33203125" style="1922" customWidth="1"/>
    <col min="3605" max="3607" width="47.33203125" style="1922" customWidth="1"/>
    <col min="3608" max="3608" width="43.6640625" style="1922" customWidth="1"/>
    <col min="3609" max="3611" width="47.33203125" style="1922" customWidth="1"/>
    <col min="3612" max="3612" width="44" style="1922" customWidth="1"/>
    <col min="3613" max="3615" width="47.33203125" style="1922" customWidth="1"/>
    <col min="3616" max="3616" width="43.6640625" style="1922" customWidth="1"/>
    <col min="3617" max="3619" width="47.33203125" style="1922" customWidth="1"/>
    <col min="3620" max="3620" width="43.6640625" style="1922" customWidth="1"/>
    <col min="3621" max="3623" width="47.33203125" style="1922" customWidth="1"/>
    <col min="3624" max="3624" width="43.6640625" style="1922" customWidth="1"/>
    <col min="3625" max="3625" width="193.33203125" style="1922" customWidth="1"/>
    <col min="3626" max="3641" width="56" style="1922" customWidth="1"/>
    <col min="3642" max="3642" width="59" style="1922" customWidth="1"/>
    <col min="3643" max="3643" width="46" style="1922" customWidth="1"/>
    <col min="3644" max="3838" width="9.33203125" style="1922"/>
    <col min="3839" max="3839" width="193.33203125" style="1922" customWidth="1"/>
    <col min="3840" max="3840" width="47.1640625" style="1922" customWidth="1"/>
    <col min="3841" max="3841" width="47.33203125" style="1922" customWidth="1"/>
    <col min="3842" max="3842" width="47.1640625" style="1922" customWidth="1"/>
    <col min="3843" max="3843" width="43.6640625" style="1922" customWidth="1"/>
    <col min="3844" max="3845" width="47.33203125" style="1922" customWidth="1"/>
    <col min="3846" max="3846" width="47.1640625" style="1922" customWidth="1"/>
    <col min="3847" max="3847" width="43.6640625" style="1922" customWidth="1"/>
    <col min="3848" max="3849" width="47.33203125" style="1922" customWidth="1"/>
    <col min="3850" max="3850" width="47.1640625" style="1922" customWidth="1"/>
    <col min="3851" max="3851" width="43.6640625" style="1922" customWidth="1"/>
    <col min="3852" max="3853" width="45" style="1922" customWidth="1"/>
    <col min="3854" max="3854" width="44.83203125" style="1922" customWidth="1"/>
    <col min="3855" max="3855" width="45" style="1922" customWidth="1"/>
    <col min="3856" max="3857" width="47.33203125" style="1922" customWidth="1"/>
    <col min="3858" max="3858" width="47.1640625" style="1922" customWidth="1"/>
    <col min="3859" max="3859" width="43.6640625" style="1922" customWidth="1"/>
    <col min="3860" max="3860" width="193.33203125" style="1922" customWidth="1"/>
    <col min="3861" max="3863" width="47.33203125" style="1922" customWidth="1"/>
    <col min="3864" max="3864" width="43.6640625" style="1922" customWidth="1"/>
    <col min="3865" max="3867" width="47.33203125" style="1922" customWidth="1"/>
    <col min="3868" max="3868" width="44" style="1922" customWidth="1"/>
    <col min="3869" max="3871" width="47.33203125" style="1922" customWidth="1"/>
    <col min="3872" max="3872" width="43.6640625" style="1922" customWidth="1"/>
    <col min="3873" max="3875" width="47.33203125" style="1922" customWidth="1"/>
    <col min="3876" max="3876" width="43.6640625" style="1922" customWidth="1"/>
    <col min="3877" max="3879" width="47.33203125" style="1922" customWidth="1"/>
    <col min="3880" max="3880" width="43.6640625" style="1922" customWidth="1"/>
    <col min="3881" max="3881" width="193.33203125" style="1922" customWidth="1"/>
    <col min="3882" max="3897" width="56" style="1922" customWidth="1"/>
    <col min="3898" max="3898" width="59" style="1922" customWidth="1"/>
    <col min="3899" max="3899" width="46" style="1922" customWidth="1"/>
    <col min="3900" max="4094" width="9.33203125" style="1922"/>
    <col min="4095" max="4095" width="193.33203125" style="1922" customWidth="1"/>
    <col min="4096" max="4096" width="47.1640625" style="1922" customWidth="1"/>
    <col min="4097" max="4097" width="47.33203125" style="1922" customWidth="1"/>
    <col min="4098" max="4098" width="47.1640625" style="1922" customWidth="1"/>
    <col min="4099" max="4099" width="43.6640625" style="1922" customWidth="1"/>
    <col min="4100" max="4101" width="47.33203125" style="1922" customWidth="1"/>
    <col min="4102" max="4102" width="47.1640625" style="1922" customWidth="1"/>
    <col min="4103" max="4103" width="43.6640625" style="1922" customWidth="1"/>
    <col min="4104" max="4105" width="47.33203125" style="1922" customWidth="1"/>
    <col min="4106" max="4106" width="47.1640625" style="1922" customWidth="1"/>
    <col min="4107" max="4107" width="43.6640625" style="1922" customWidth="1"/>
    <col min="4108" max="4109" width="45" style="1922" customWidth="1"/>
    <col min="4110" max="4110" width="44.83203125" style="1922" customWidth="1"/>
    <col min="4111" max="4111" width="45" style="1922" customWidth="1"/>
    <col min="4112" max="4113" width="47.33203125" style="1922" customWidth="1"/>
    <col min="4114" max="4114" width="47.1640625" style="1922" customWidth="1"/>
    <col min="4115" max="4115" width="43.6640625" style="1922" customWidth="1"/>
    <col min="4116" max="4116" width="193.33203125" style="1922" customWidth="1"/>
    <col min="4117" max="4119" width="47.33203125" style="1922" customWidth="1"/>
    <col min="4120" max="4120" width="43.6640625" style="1922" customWidth="1"/>
    <col min="4121" max="4123" width="47.33203125" style="1922" customWidth="1"/>
    <col min="4124" max="4124" width="44" style="1922" customWidth="1"/>
    <col min="4125" max="4127" width="47.33203125" style="1922" customWidth="1"/>
    <col min="4128" max="4128" width="43.6640625" style="1922" customWidth="1"/>
    <col min="4129" max="4131" width="47.33203125" style="1922" customWidth="1"/>
    <col min="4132" max="4132" width="43.6640625" style="1922" customWidth="1"/>
    <col min="4133" max="4135" width="47.33203125" style="1922" customWidth="1"/>
    <col min="4136" max="4136" width="43.6640625" style="1922" customWidth="1"/>
    <col min="4137" max="4137" width="193.33203125" style="1922" customWidth="1"/>
    <col min="4138" max="4153" width="56" style="1922" customWidth="1"/>
    <col min="4154" max="4154" width="59" style="1922" customWidth="1"/>
    <col min="4155" max="4155" width="46" style="1922" customWidth="1"/>
    <col min="4156" max="4350" width="9.33203125" style="1922"/>
    <col min="4351" max="4351" width="193.33203125" style="1922" customWidth="1"/>
    <col min="4352" max="4352" width="47.1640625" style="1922" customWidth="1"/>
    <col min="4353" max="4353" width="47.33203125" style="1922" customWidth="1"/>
    <col min="4354" max="4354" width="47.1640625" style="1922" customWidth="1"/>
    <col min="4355" max="4355" width="43.6640625" style="1922" customWidth="1"/>
    <col min="4356" max="4357" width="47.33203125" style="1922" customWidth="1"/>
    <col min="4358" max="4358" width="47.1640625" style="1922" customWidth="1"/>
    <col min="4359" max="4359" width="43.6640625" style="1922" customWidth="1"/>
    <col min="4360" max="4361" width="47.33203125" style="1922" customWidth="1"/>
    <col min="4362" max="4362" width="47.1640625" style="1922" customWidth="1"/>
    <col min="4363" max="4363" width="43.6640625" style="1922" customWidth="1"/>
    <col min="4364" max="4365" width="45" style="1922" customWidth="1"/>
    <col min="4366" max="4366" width="44.83203125" style="1922" customWidth="1"/>
    <col min="4367" max="4367" width="45" style="1922" customWidth="1"/>
    <col min="4368" max="4369" width="47.33203125" style="1922" customWidth="1"/>
    <col min="4370" max="4370" width="47.1640625" style="1922" customWidth="1"/>
    <col min="4371" max="4371" width="43.6640625" style="1922" customWidth="1"/>
    <col min="4372" max="4372" width="193.33203125" style="1922" customWidth="1"/>
    <col min="4373" max="4375" width="47.33203125" style="1922" customWidth="1"/>
    <col min="4376" max="4376" width="43.6640625" style="1922" customWidth="1"/>
    <col min="4377" max="4379" width="47.33203125" style="1922" customWidth="1"/>
    <col min="4380" max="4380" width="44" style="1922" customWidth="1"/>
    <col min="4381" max="4383" width="47.33203125" style="1922" customWidth="1"/>
    <col min="4384" max="4384" width="43.6640625" style="1922" customWidth="1"/>
    <col min="4385" max="4387" width="47.33203125" style="1922" customWidth="1"/>
    <col min="4388" max="4388" width="43.6640625" style="1922" customWidth="1"/>
    <col min="4389" max="4391" width="47.33203125" style="1922" customWidth="1"/>
    <col min="4392" max="4392" width="43.6640625" style="1922" customWidth="1"/>
    <col min="4393" max="4393" width="193.33203125" style="1922" customWidth="1"/>
    <col min="4394" max="4409" width="56" style="1922" customWidth="1"/>
    <col min="4410" max="4410" width="59" style="1922" customWidth="1"/>
    <col min="4411" max="4411" width="46" style="1922" customWidth="1"/>
    <col min="4412" max="4606" width="9.33203125" style="1922"/>
    <col min="4607" max="4607" width="193.33203125" style="1922" customWidth="1"/>
    <col min="4608" max="4608" width="47.1640625" style="1922" customWidth="1"/>
    <col min="4609" max="4609" width="47.33203125" style="1922" customWidth="1"/>
    <col min="4610" max="4610" width="47.1640625" style="1922" customWidth="1"/>
    <col min="4611" max="4611" width="43.6640625" style="1922" customWidth="1"/>
    <col min="4612" max="4613" width="47.33203125" style="1922" customWidth="1"/>
    <col min="4614" max="4614" width="47.1640625" style="1922" customWidth="1"/>
    <col min="4615" max="4615" width="43.6640625" style="1922" customWidth="1"/>
    <col min="4616" max="4617" width="47.33203125" style="1922" customWidth="1"/>
    <col min="4618" max="4618" width="47.1640625" style="1922" customWidth="1"/>
    <col min="4619" max="4619" width="43.6640625" style="1922" customWidth="1"/>
    <col min="4620" max="4621" width="45" style="1922" customWidth="1"/>
    <col min="4622" max="4622" width="44.83203125" style="1922" customWidth="1"/>
    <col min="4623" max="4623" width="45" style="1922" customWidth="1"/>
    <col min="4624" max="4625" width="47.33203125" style="1922" customWidth="1"/>
    <col min="4626" max="4626" width="47.1640625" style="1922" customWidth="1"/>
    <col min="4627" max="4627" width="43.6640625" style="1922" customWidth="1"/>
    <col min="4628" max="4628" width="193.33203125" style="1922" customWidth="1"/>
    <col min="4629" max="4631" width="47.33203125" style="1922" customWidth="1"/>
    <col min="4632" max="4632" width="43.6640625" style="1922" customWidth="1"/>
    <col min="4633" max="4635" width="47.33203125" style="1922" customWidth="1"/>
    <col min="4636" max="4636" width="44" style="1922" customWidth="1"/>
    <col min="4637" max="4639" width="47.33203125" style="1922" customWidth="1"/>
    <col min="4640" max="4640" width="43.6640625" style="1922" customWidth="1"/>
    <col min="4641" max="4643" width="47.33203125" style="1922" customWidth="1"/>
    <col min="4644" max="4644" width="43.6640625" style="1922" customWidth="1"/>
    <col min="4645" max="4647" width="47.33203125" style="1922" customWidth="1"/>
    <col min="4648" max="4648" width="43.6640625" style="1922" customWidth="1"/>
    <col min="4649" max="4649" width="193.33203125" style="1922" customWidth="1"/>
    <col min="4650" max="4665" width="56" style="1922" customWidth="1"/>
    <col min="4666" max="4666" width="59" style="1922" customWidth="1"/>
    <col min="4667" max="4667" width="46" style="1922" customWidth="1"/>
    <col min="4668" max="4862" width="9.33203125" style="1922"/>
    <col min="4863" max="4863" width="193.33203125" style="1922" customWidth="1"/>
    <col min="4864" max="4864" width="47.1640625" style="1922" customWidth="1"/>
    <col min="4865" max="4865" width="47.33203125" style="1922" customWidth="1"/>
    <col min="4866" max="4866" width="47.1640625" style="1922" customWidth="1"/>
    <col min="4867" max="4867" width="43.6640625" style="1922" customWidth="1"/>
    <col min="4868" max="4869" width="47.33203125" style="1922" customWidth="1"/>
    <col min="4870" max="4870" width="47.1640625" style="1922" customWidth="1"/>
    <col min="4871" max="4871" width="43.6640625" style="1922" customWidth="1"/>
    <col min="4872" max="4873" width="47.33203125" style="1922" customWidth="1"/>
    <col min="4874" max="4874" width="47.1640625" style="1922" customWidth="1"/>
    <col min="4875" max="4875" width="43.6640625" style="1922" customWidth="1"/>
    <col min="4876" max="4877" width="45" style="1922" customWidth="1"/>
    <col min="4878" max="4878" width="44.83203125" style="1922" customWidth="1"/>
    <col min="4879" max="4879" width="45" style="1922" customWidth="1"/>
    <col min="4880" max="4881" width="47.33203125" style="1922" customWidth="1"/>
    <col min="4882" max="4882" width="47.1640625" style="1922" customWidth="1"/>
    <col min="4883" max="4883" width="43.6640625" style="1922" customWidth="1"/>
    <col min="4884" max="4884" width="193.33203125" style="1922" customWidth="1"/>
    <col min="4885" max="4887" width="47.33203125" style="1922" customWidth="1"/>
    <col min="4888" max="4888" width="43.6640625" style="1922" customWidth="1"/>
    <col min="4889" max="4891" width="47.33203125" style="1922" customWidth="1"/>
    <col min="4892" max="4892" width="44" style="1922" customWidth="1"/>
    <col min="4893" max="4895" width="47.33203125" style="1922" customWidth="1"/>
    <col min="4896" max="4896" width="43.6640625" style="1922" customWidth="1"/>
    <col min="4897" max="4899" width="47.33203125" style="1922" customWidth="1"/>
    <col min="4900" max="4900" width="43.6640625" style="1922" customWidth="1"/>
    <col min="4901" max="4903" width="47.33203125" style="1922" customWidth="1"/>
    <col min="4904" max="4904" width="43.6640625" style="1922" customWidth="1"/>
    <col min="4905" max="4905" width="193.33203125" style="1922" customWidth="1"/>
    <col min="4906" max="4921" width="56" style="1922" customWidth="1"/>
    <col min="4922" max="4922" width="59" style="1922" customWidth="1"/>
    <col min="4923" max="4923" width="46" style="1922" customWidth="1"/>
    <col min="4924" max="5118" width="9.33203125" style="1922"/>
    <col min="5119" max="5119" width="193.33203125" style="1922" customWidth="1"/>
    <col min="5120" max="5120" width="47.1640625" style="1922" customWidth="1"/>
    <col min="5121" max="5121" width="47.33203125" style="1922" customWidth="1"/>
    <col min="5122" max="5122" width="47.1640625" style="1922" customWidth="1"/>
    <col min="5123" max="5123" width="43.6640625" style="1922" customWidth="1"/>
    <col min="5124" max="5125" width="47.33203125" style="1922" customWidth="1"/>
    <col min="5126" max="5126" width="47.1640625" style="1922" customWidth="1"/>
    <col min="5127" max="5127" width="43.6640625" style="1922" customWidth="1"/>
    <col min="5128" max="5129" width="47.33203125" style="1922" customWidth="1"/>
    <col min="5130" max="5130" width="47.1640625" style="1922" customWidth="1"/>
    <col min="5131" max="5131" width="43.6640625" style="1922" customWidth="1"/>
    <col min="5132" max="5133" width="45" style="1922" customWidth="1"/>
    <col min="5134" max="5134" width="44.83203125" style="1922" customWidth="1"/>
    <col min="5135" max="5135" width="45" style="1922" customWidth="1"/>
    <col min="5136" max="5137" width="47.33203125" style="1922" customWidth="1"/>
    <col min="5138" max="5138" width="47.1640625" style="1922" customWidth="1"/>
    <col min="5139" max="5139" width="43.6640625" style="1922" customWidth="1"/>
    <col min="5140" max="5140" width="193.33203125" style="1922" customWidth="1"/>
    <col min="5141" max="5143" width="47.33203125" style="1922" customWidth="1"/>
    <col min="5144" max="5144" width="43.6640625" style="1922" customWidth="1"/>
    <col min="5145" max="5147" width="47.33203125" style="1922" customWidth="1"/>
    <col min="5148" max="5148" width="44" style="1922" customWidth="1"/>
    <col min="5149" max="5151" width="47.33203125" style="1922" customWidth="1"/>
    <col min="5152" max="5152" width="43.6640625" style="1922" customWidth="1"/>
    <col min="5153" max="5155" width="47.33203125" style="1922" customWidth="1"/>
    <col min="5156" max="5156" width="43.6640625" style="1922" customWidth="1"/>
    <col min="5157" max="5159" width="47.33203125" style="1922" customWidth="1"/>
    <col min="5160" max="5160" width="43.6640625" style="1922" customWidth="1"/>
    <col min="5161" max="5161" width="193.33203125" style="1922" customWidth="1"/>
    <col min="5162" max="5177" width="56" style="1922" customWidth="1"/>
    <col min="5178" max="5178" width="59" style="1922" customWidth="1"/>
    <col min="5179" max="5179" width="46" style="1922" customWidth="1"/>
    <col min="5180" max="5374" width="9.33203125" style="1922"/>
    <col min="5375" max="5375" width="193.33203125" style="1922" customWidth="1"/>
    <col min="5376" max="5376" width="47.1640625" style="1922" customWidth="1"/>
    <col min="5377" max="5377" width="47.33203125" style="1922" customWidth="1"/>
    <col min="5378" max="5378" width="47.1640625" style="1922" customWidth="1"/>
    <col min="5379" max="5379" width="43.6640625" style="1922" customWidth="1"/>
    <col min="5380" max="5381" width="47.33203125" style="1922" customWidth="1"/>
    <col min="5382" max="5382" width="47.1640625" style="1922" customWidth="1"/>
    <col min="5383" max="5383" width="43.6640625" style="1922" customWidth="1"/>
    <col min="5384" max="5385" width="47.33203125" style="1922" customWidth="1"/>
    <col min="5386" max="5386" width="47.1640625" style="1922" customWidth="1"/>
    <col min="5387" max="5387" width="43.6640625" style="1922" customWidth="1"/>
    <col min="5388" max="5389" width="45" style="1922" customWidth="1"/>
    <col min="5390" max="5390" width="44.83203125" style="1922" customWidth="1"/>
    <col min="5391" max="5391" width="45" style="1922" customWidth="1"/>
    <col min="5392" max="5393" width="47.33203125" style="1922" customWidth="1"/>
    <col min="5394" max="5394" width="47.1640625" style="1922" customWidth="1"/>
    <col min="5395" max="5395" width="43.6640625" style="1922" customWidth="1"/>
    <col min="5396" max="5396" width="193.33203125" style="1922" customWidth="1"/>
    <col min="5397" max="5399" width="47.33203125" style="1922" customWidth="1"/>
    <col min="5400" max="5400" width="43.6640625" style="1922" customWidth="1"/>
    <col min="5401" max="5403" width="47.33203125" style="1922" customWidth="1"/>
    <col min="5404" max="5404" width="44" style="1922" customWidth="1"/>
    <col min="5405" max="5407" width="47.33203125" style="1922" customWidth="1"/>
    <col min="5408" max="5408" width="43.6640625" style="1922" customWidth="1"/>
    <col min="5409" max="5411" width="47.33203125" style="1922" customWidth="1"/>
    <col min="5412" max="5412" width="43.6640625" style="1922" customWidth="1"/>
    <col min="5413" max="5415" width="47.33203125" style="1922" customWidth="1"/>
    <col min="5416" max="5416" width="43.6640625" style="1922" customWidth="1"/>
    <col min="5417" max="5417" width="193.33203125" style="1922" customWidth="1"/>
    <col min="5418" max="5433" width="56" style="1922" customWidth="1"/>
    <col min="5434" max="5434" width="59" style="1922" customWidth="1"/>
    <col min="5435" max="5435" width="46" style="1922" customWidth="1"/>
    <col min="5436" max="5630" width="9.33203125" style="1922"/>
    <col min="5631" max="5631" width="193.33203125" style="1922" customWidth="1"/>
    <col min="5632" max="5632" width="47.1640625" style="1922" customWidth="1"/>
    <col min="5633" max="5633" width="47.33203125" style="1922" customWidth="1"/>
    <col min="5634" max="5634" width="47.1640625" style="1922" customWidth="1"/>
    <col min="5635" max="5635" width="43.6640625" style="1922" customWidth="1"/>
    <col min="5636" max="5637" width="47.33203125" style="1922" customWidth="1"/>
    <col min="5638" max="5638" width="47.1640625" style="1922" customWidth="1"/>
    <col min="5639" max="5639" width="43.6640625" style="1922" customWidth="1"/>
    <col min="5640" max="5641" width="47.33203125" style="1922" customWidth="1"/>
    <col min="5642" max="5642" width="47.1640625" style="1922" customWidth="1"/>
    <col min="5643" max="5643" width="43.6640625" style="1922" customWidth="1"/>
    <col min="5644" max="5645" width="45" style="1922" customWidth="1"/>
    <col min="5646" max="5646" width="44.83203125" style="1922" customWidth="1"/>
    <col min="5647" max="5647" width="45" style="1922" customWidth="1"/>
    <col min="5648" max="5649" width="47.33203125" style="1922" customWidth="1"/>
    <col min="5650" max="5650" width="47.1640625" style="1922" customWidth="1"/>
    <col min="5651" max="5651" width="43.6640625" style="1922" customWidth="1"/>
    <col min="5652" max="5652" width="193.33203125" style="1922" customWidth="1"/>
    <col min="5653" max="5655" width="47.33203125" style="1922" customWidth="1"/>
    <col min="5656" max="5656" width="43.6640625" style="1922" customWidth="1"/>
    <col min="5657" max="5659" width="47.33203125" style="1922" customWidth="1"/>
    <col min="5660" max="5660" width="44" style="1922" customWidth="1"/>
    <col min="5661" max="5663" width="47.33203125" style="1922" customWidth="1"/>
    <col min="5664" max="5664" width="43.6640625" style="1922" customWidth="1"/>
    <col min="5665" max="5667" width="47.33203125" style="1922" customWidth="1"/>
    <col min="5668" max="5668" width="43.6640625" style="1922" customWidth="1"/>
    <col min="5669" max="5671" width="47.33203125" style="1922" customWidth="1"/>
    <col min="5672" max="5672" width="43.6640625" style="1922" customWidth="1"/>
    <col min="5673" max="5673" width="193.33203125" style="1922" customWidth="1"/>
    <col min="5674" max="5689" width="56" style="1922" customWidth="1"/>
    <col min="5690" max="5690" width="59" style="1922" customWidth="1"/>
    <col min="5691" max="5691" width="46" style="1922" customWidth="1"/>
    <col min="5692" max="5886" width="9.33203125" style="1922"/>
    <col min="5887" max="5887" width="193.33203125" style="1922" customWidth="1"/>
    <col min="5888" max="5888" width="47.1640625" style="1922" customWidth="1"/>
    <col min="5889" max="5889" width="47.33203125" style="1922" customWidth="1"/>
    <col min="5890" max="5890" width="47.1640625" style="1922" customWidth="1"/>
    <col min="5891" max="5891" width="43.6640625" style="1922" customWidth="1"/>
    <col min="5892" max="5893" width="47.33203125" style="1922" customWidth="1"/>
    <col min="5894" max="5894" width="47.1640625" style="1922" customWidth="1"/>
    <col min="5895" max="5895" width="43.6640625" style="1922" customWidth="1"/>
    <col min="5896" max="5897" width="47.33203125" style="1922" customWidth="1"/>
    <col min="5898" max="5898" width="47.1640625" style="1922" customWidth="1"/>
    <col min="5899" max="5899" width="43.6640625" style="1922" customWidth="1"/>
    <col min="5900" max="5901" width="45" style="1922" customWidth="1"/>
    <col min="5902" max="5902" width="44.83203125" style="1922" customWidth="1"/>
    <col min="5903" max="5903" width="45" style="1922" customWidth="1"/>
    <col min="5904" max="5905" width="47.33203125" style="1922" customWidth="1"/>
    <col min="5906" max="5906" width="47.1640625" style="1922" customWidth="1"/>
    <col min="5907" max="5907" width="43.6640625" style="1922" customWidth="1"/>
    <col min="5908" max="5908" width="193.33203125" style="1922" customWidth="1"/>
    <col min="5909" max="5911" width="47.33203125" style="1922" customWidth="1"/>
    <col min="5912" max="5912" width="43.6640625" style="1922" customWidth="1"/>
    <col min="5913" max="5915" width="47.33203125" style="1922" customWidth="1"/>
    <col min="5916" max="5916" width="44" style="1922" customWidth="1"/>
    <col min="5917" max="5919" width="47.33203125" style="1922" customWidth="1"/>
    <col min="5920" max="5920" width="43.6640625" style="1922" customWidth="1"/>
    <col min="5921" max="5923" width="47.33203125" style="1922" customWidth="1"/>
    <col min="5924" max="5924" width="43.6640625" style="1922" customWidth="1"/>
    <col min="5925" max="5927" width="47.33203125" style="1922" customWidth="1"/>
    <col min="5928" max="5928" width="43.6640625" style="1922" customWidth="1"/>
    <col min="5929" max="5929" width="193.33203125" style="1922" customWidth="1"/>
    <col min="5930" max="5945" width="56" style="1922" customWidth="1"/>
    <col min="5946" max="5946" width="59" style="1922" customWidth="1"/>
    <col min="5947" max="5947" width="46" style="1922" customWidth="1"/>
    <col min="5948" max="6142" width="9.33203125" style="1922"/>
    <col min="6143" max="6143" width="193.33203125" style="1922" customWidth="1"/>
    <col min="6144" max="6144" width="47.1640625" style="1922" customWidth="1"/>
    <col min="6145" max="6145" width="47.33203125" style="1922" customWidth="1"/>
    <col min="6146" max="6146" width="47.1640625" style="1922" customWidth="1"/>
    <col min="6147" max="6147" width="43.6640625" style="1922" customWidth="1"/>
    <col min="6148" max="6149" width="47.33203125" style="1922" customWidth="1"/>
    <col min="6150" max="6150" width="47.1640625" style="1922" customWidth="1"/>
    <col min="6151" max="6151" width="43.6640625" style="1922" customWidth="1"/>
    <col min="6152" max="6153" width="47.33203125" style="1922" customWidth="1"/>
    <col min="6154" max="6154" width="47.1640625" style="1922" customWidth="1"/>
    <col min="6155" max="6155" width="43.6640625" style="1922" customWidth="1"/>
    <col min="6156" max="6157" width="45" style="1922" customWidth="1"/>
    <col min="6158" max="6158" width="44.83203125" style="1922" customWidth="1"/>
    <col min="6159" max="6159" width="45" style="1922" customWidth="1"/>
    <col min="6160" max="6161" width="47.33203125" style="1922" customWidth="1"/>
    <col min="6162" max="6162" width="47.1640625" style="1922" customWidth="1"/>
    <col min="6163" max="6163" width="43.6640625" style="1922" customWidth="1"/>
    <col min="6164" max="6164" width="193.33203125" style="1922" customWidth="1"/>
    <col min="6165" max="6167" width="47.33203125" style="1922" customWidth="1"/>
    <col min="6168" max="6168" width="43.6640625" style="1922" customWidth="1"/>
    <col min="6169" max="6171" width="47.33203125" style="1922" customWidth="1"/>
    <col min="6172" max="6172" width="44" style="1922" customWidth="1"/>
    <col min="6173" max="6175" width="47.33203125" style="1922" customWidth="1"/>
    <col min="6176" max="6176" width="43.6640625" style="1922" customWidth="1"/>
    <col min="6177" max="6179" width="47.33203125" style="1922" customWidth="1"/>
    <col min="6180" max="6180" width="43.6640625" style="1922" customWidth="1"/>
    <col min="6181" max="6183" width="47.33203125" style="1922" customWidth="1"/>
    <col min="6184" max="6184" width="43.6640625" style="1922" customWidth="1"/>
    <col min="6185" max="6185" width="193.33203125" style="1922" customWidth="1"/>
    <col min="6186" max="6201" width="56" style="1922" customWidth="1"/>
    <col min="6202" max="6202" width="59" style="1922" customWidth="1"/>
    <col min="6203" max="6203" width="46" style="1922" customWidth="1"/>
    <col min="6204" max="6398" width="9.33203125" style="1922"/>
    <col min="6399" max="6399" width="193.33203125" style="1922" customWidth="1"/>
    <col min="6400" max="6400" width="47.1640625" style="1922" customWidth="1"/>
    <col min="6401" max="6401" width="47.33203125" style="1922" customWidth="1"/>
    <col min="6402" max="6402" width="47.1640625" style="1922" customWidth="1"/>
    <col min="6403" max="6403" width="43.6640625" style="1922" customWidth="1"/>
    <col min="6404" max="6405" width="47.33203125" style="1922" customWidth="1"/>
    <col min="6406" max="6406" width="47.1640625" style="1922" customWidth="1"/>
    <col min="6407" max="6407" width="43.6640625" style="1922" customWidth="1"/>
    <col min="6408" max="6409" width="47.33203125" style="1922" customWidth="1"/>
    <col min="6410" max="6410" width="47.1640625" style="1922" customWidth="1"/>
    <col min="6411" max="6411" width="43.6640625" style="1922" customWidth="1"/>
    <col min="6412" max="6413" width="45" style="1922" customWidth="1"/>
    <col min="6414" max="6414" width="44.83203125" style="1922" customWidth="1"/>
    <col min="6415" max="6415" width="45" style="1922" customWidth="1"/>
    <col min="6416" max="6417" width="47.33203125" style="1922" customWidth="1"/>
    <col min="6418" max="6418" width="47.1640625" style="1922" customWidth="1"/>
    <col min="6419" max="6419" width="43.6640625" style="1922" customWidth="1"/>
    <col min="6420" max="6420" width="193.33203125" style="1922" customWidth="1"/>
    <col min="6421" max="6423" width="47.33203125" style="1922" customWidth="1"/>
    <col min="6424" max="6424" width="43.6640625" style="1922" customWidth="1"/>
    <col min="6425" max="6427" width="47.33203125" style="1922" customWidth="1"/>
    <col min="6428" max="6428" width="44" style="1922" customWidth="1"/>
    <col min="6429" max="6431" width="47.33203125" style="1922" customWidth="1"/>
    <col min="6432" max="6432" width="43.6640625" style="1922" customWidth="1"/>
    <col min="6433" max="6435" width="47.33203125" style="1922" customWidth="1"/>
    <col min="6436" max="6436" width="43.6640625" style="1922" customWidth="1"/>
    <col min="6437" max="6439" width="47.33203125" style="1922" customWidth="1"/>
    <col min="6440" max="6440" width="43.6640625" style="1922" customWidth="1"/>
    <col min="6441" max="6441" width="193.33203125" style="1922" customWidth="1"/>
    <col min="6442" max="6457" width="56" style="1922" customWidth="1"/>
    <col min="6458" max="6458" width="59" style="1922" customWidth="1"/>
    <col min="6459" max="6459" width="46" style="1922" customWidth="1"/>
    <col min="6460" max="6654" width="9.33203125" style="1922"/>
    <col min="6655" max="6655" width="193.33203125" style="1922" customWidth="1"/>
    <col min="6656" max="6656" width="47.1640625" style="1922" customWidth="1"/>
    <col min="6657" max="6657" width="47.33203125" style="1922" customWidth="1"/>
    <col min="6658" max="6658" width="47.1640625" style="1922" customWidth="1"/>
    <col min="6659" max="6659" width="43.6640625" style="1922" customWidth="1"/>
    <col min="6660" max="6661" width="47.33203125" style="1922" customWidth="1"/>
    <col min="6662" max="6662" width="47.1640625" style="1922" customWidth="1"/>
    <col min="6663" max="6663" width="43.6640625" style="1922" customWidth="1"/>
    <col min="6664" max="6665" width="47.33203125" style="1922" customWidth="1"/>
    <col min="6666" max="6666" width="47.1640625" style="1922" customWidth="1"/>
    <col min="6667" max="6667" width="43.6640625" style="1922" customWidth="1"/>
    <col min="6668" max="6669" width="45" style="1922" customWidth="1"/>
    <col min="6670" max="6670" width="44.83203125" style="1922" customWidth="1"/>
    <col min="6671" max="6671" width="45" style="1922" customWidth="1"/>
    <col min="6672" max="6673" width="47.33203125" style="1922" customWidth="1"/>
    <col min="6674" max="6674" width="47.1640625" style="1922" customWidth="1"/>
    <col min="6675" max="6675" width="43.6640625" style="1922" customWidth="1"/>
    <col min="6676" max="6676" width="193.33203125" style="1922" customWidth="1"/>
    <col min="6677" max="6679" width="47.33203125" style="1922" customWidth="1"/>
    <col min="6680" max="6680" width="43.6640625" style="1922" customWidth="1"/>
    <col min="6681" max="6683" width="47.33203125" style="1922" customWidth="1"/>
    <col min="6684" max="6684" width="44" style="1922" customWidth="1"/>
    <col min="6685" max="6687" width="47.33203125" style="1922" customWidth="1"/>
    <col min="6688" max="6688" width="43.6640625" style="1922" customWidth="1"/>
    <col min="6689" max="6691" width="47.33203125" style="1922" customWidth="1"/>
    <col min="6692" max="6692" width="43.6640625" style="1922" customWidth="1"/>
    <col min="6693" max="6695" width="47.33203125" style="1922" customWidth="1"/>
    <col min="6696" max="6696" width="43.6640625" style="1922" customWidth="1"/>
    <col min="6697" max="6697" width="193.33203125" style="1922" customWidth="1"/>
    <col min="6698" max="6713" width="56" style="1922" customWidth="1"/>
    <col min="6714" max="6714" width="59" style="1922" customWidth="1"/>
    <col min="6715" max="6715" width="46" style="1922" customWidth="1"/>
    <col min="6716" max="6910" width="9.33203125" style="1922"/>
    <col min="6911" max="6911" width="193.33203125" style="1922" customWidth="1"/>
    <col min="6912" max="6912" width="47.1640625" style="1922" customWidth="1"/>
    <col min="6913" max="6913" width="47.33203125" style="1922" customWidth="1"/>
    <col min="6914" max="6914" width="47.1640625" style="1922" customWidth="1"/>
    <col min="6915" max="6915" width="43.6640625" style="1922" customWidth="1"/>
    <col min="6916" max="6917" width="47.33203125" style="1922" customWidth="1"/>
    <col min="6918" max="6918" width="47.1640625" style="1922" customWidth="1"/>
    <col min="6919" max="6919" width="43.6640625" style="1922" customWidth="1"/>
    <col min="6920" max="6921" width="47.33203125" style="1922" customWidth="1"/>
    <col min="6922" max="6922" width="47.1640625" style="1922" customWidth="1"/>
    <col min="6923" max="6923" width="43.6640625" style="1922" customWidth="1"/>
    <col min="6924" max="6925" width="45" style="1922" customWidth="1"/>
    <col min="6926" max="6926" width="44.83203125" style="1922" customWidth="1"/>
    <col min="6927" max="6927" width="45" style="1922" customWidth="1"/>
    <col min="6928" max="6929" width="47.33203125" style="1922" customWidth="1"/>
    <col min="6930" max="6930" width="47.1640625" style="1922" customWidth="1"/>
    <col min="6931" max="6931" width="43.6640625" style="1922" customWidth="1"/>
    <col min="6932" max="6932" width="193.33203125" style="1922" customWidth="1"/>
    <col min="6933" max="6935" width="47.33203125" style="1922" customWidth="1"/>
    <col min="6936" max="6936" width="43.6640625" style="1922" customWidth="1"/>
    <col min="6937" max="6939" width="47.33203125" style="1922" customWidth="1"/>
    <col min="6940" max="6940" width="44" style="1922" customWidth="1"/>
    <col min="6941" max="6943" width="47.33203125" style="1922" customWidth="1"/>
    <col min="6944" max="6944" width="43.6640625" style="1922" customWidth="1"/>
    <col min="6945" max="6947" width="47.33203125" style="1922" customWidth="1"/>
    <col min="6948" max="6948" width="43.6640625" style="1922" customWidth="1"/>
    <col min="6949" max="6951" width="47.33203125" style="1922" customWidth="1"/>
    <col min="6952" max="6952" width="43.6640625" style="1922" customWidth="1"/>
    <col min="6953" max="6953" width="193.33203125" style="1922" customWidth="1"/>
    <col min="6954" max="6969" width="56" style="1922" customWidth="1"/>
    <col min="6970" max="6970" width="59" style="1922" customWidth="1"/>
    <col min="6971" max="6971" width="46" style="1922" customWidth="1"/>
    <col min="6972" max="7166" width="9.33203125" style="1922"/>
    <col min="7167" max="7167" width="193.33203125" style="1922" customWidth="1"/>
    <col min="7168" max="7168" width="47.1640625" style="1922" customWidth="1"/>
    <col min="7169" max="7169" width="47.33203125" style="1922" customWidth="1"/>
    <col min="7170" max="7170" width="47.1640625" style="1922" customWidth="1"/>
    <col min="7171" max="7171" width="43.6640625" style="1922" customWidth="1"/>
    <col min="7172" max="7173" width="47.33203125" style="1922" customWidth="1"/>
    <col min="7174" max="7174" width="47.1640625" style="1922" customWidth="1"/>
    <col min="7175" max="7175" width="43.6640625" style="1922" customWidth="1"/>
    <col min="7176" max="7177" width="47.33203125" style="1922" customWidth="1"/>
    <col min="7178" max="7178" width="47.1640625" style="1922" customWidth="1"/>
    <col min="7179" max="7179" width="43.6640625" style="1922" customWidth="1"/>
    <col min="7180" max="7181" width="45" style="1922" customWidth="1"/>
    <col min="7182" max="7182" width="44.83203125" style="1922" customWidth="1"/>
    <col min="7183" max="7183" width="45" style="1922" customWidth="1"/>
    <col min="7184" max="7185" width="47.33203125" style="1922" customWidth="1"/>
    <col min="7186" max="7186" width="47.1640625" style="1922" customWidth="1"/>
    <col min="7187" max="7187" width="43.6640625" style="1922" customWidth="1"/>
    <col min="7188" max="7188" width="193.33203125" style="1922" customWidth="1"/>
    <col min="7189" max="7191" width="47.33203125" style="1922" customWidth="1"/>
    <col min="7192" max="7192" width="43.6640625" style="1922" customWidth="1"/>
    <col min="7193" max="7195" width="47.33203125" style="1922" customWidth="1"/>
    <col min="7196" max="7196" width="44" style="1922" customWidth="1"/>
    <col min="7197" max="7199" width="47.33203125" style="1922" customWidth="1"/>
    <col min="7200" max="7200" width="43.6640625" style="1922" customWidth="1"/>
    <col min="7201" max="7203" width="47.33203125" style="1922" customWidth="1"/>
    <col min="7204" max="7204" width="43.6640625" style="1922" customWidth="1"/>
    <col min="7205" max="7207" width="47.33203125" style="1922" customWidth="1"/>
    <col min="7208" max="7208" width="43.6640625" style="1922" customWidth="1"/>
    <col min="7209" max="7209" width="193.33203125" style="1922" customWidth="1"/>
    <col min="7210" max="7225" width="56" style="1922" customWidth="1"/>
    <col min="7226" max="7226" width="59" style="1922" customWidth="1"/>
    <col min="7227" max="7227" width="46" style="1922" customWidth="1"/>
    <col min="7228" max="7422" width="9.33203125" style="1922"/>
    <col min="7423" max="7423" width="193.33203125" style="1922" customWidth="1"/>
    <col min="7424" max="7424" width="47.1640625" style="1922" customWidth="1"/>
    <col min="7425" max="7425" width="47.33203125" style="1922" customWidth="1"/>
    <col min="7426" max="7426" width="47.1640625" style="1922" customWidth="1"/>
    <col min="7427" max="7427" width="43.6640625" style="1922" customWidth="1"/>
    <col min="7428" max="7429" width="47.33203125" style="1922" customWidth="1"/>
    <col min="7430" max="7430" width="47.1640625" style="1922" customWidth="1"/>
    <col min="7431" max="7431" width="43.6640625" style="1922" customWidth="1"/>
    <col min="7432" max="7433" width="47.33203125" style="1922" customWidth="1"/>
    <col min="7434" max="7434" width="47.1640625" style="1922" customWidth="1"/>
    <col min="7435" max="7435" width="43.6640625" style="1922" customWidth="1"/>
    <col min="7436" max="7437" width="45" style="1922" customWidth="1"/>
    <col min="7438" max="7438" width="44.83203125" style="1922" customWidth="1"/>
    <col min="7439" max="7439" width="45" style="1922" customWidth="1"/>
    <col min="7440" max="7441" width="47.33203125" style="1922" customWidth="1"/>
    <col min="7442" max="7442" width="47.1640625" style="1922" customWidth="1"/>
    <col min="7443" max="7443" width="43.6640625" style="1922" customWidth="1"/>
    <col min="7444" max="7444" width="193.33203125" style="1922" customWidth="1"/>
    <col min="7445" max="7447" width="47.33203125" style="1922" customWidth="1"/>
    <col min="7448" max="7448" width="43.6640625" style="1922" customWidth="1"/>
    <col min="7449" max="7451" width="47.33203125" style="1922" customWidth="1"/>
    <col min="7452" max="7452" width="44" style="1922" customWidth="1"/>
    <col min="7453" max="7455" width="47.33203125" style="1922" customWidth="1"/>
    <col min="7456" max="7456" width="43.6640625" style="1922" customWidth="1"/>
    <col min="7457" max="7459" width="47.33203125" style="1922" customWidth="1"/>
    <col min="7460" max="7460" width="43.6640625" style="1922" customWidth="1"/>
    <col min="7461" max="7463" width="47.33203125" style="1922" customWidth="1"/>
    <col min="7464" max="7464" width="43.6640625" style="1922" customWidth="1"/>
    <col min="7465" max="7465" width="193.33203125" style="1922" customWidth="1"/>
    <col min="7466" max="7481" width="56" style="1922" customWidth="1"/>
    <col min="7482" max="7482" width="59" style="1922" customWidth="1"/>
    <col min="7483" max="7483" width="46" style="1922" customWidth="1"/>
    <col min="7484" max="7678" width="9.33203125" style="1922"/>
    <col min="7679" max="7679" width="193.33203125" style="1922" customWidth="1"/>
    <col min="7680" max="7680" width="47.1640625" style="1922" customWidth="1"/>
    <col min="7681" max="7681" width="47.33203125" style="1922" customWidth="1"/>
    <col min="7682" max="7682" width="47.1640625" style="1922" customWidth="1"/>
    <col min="7683" max="7683" width="43.6640625" style="1922" customWidth="1"/>
    <col min="7684" max="7685" width="47.33203125" style="1922" customWidth="1"/>
    <col min="7686" max="7686" width="47.1640625" style="1922" customWidth="1"/>
    <col min="7687" max="7687" width="43.6640625" style="1922" customWidth="1"/>
    <col min="7688" max="7689" width="47.33203125" style="1922" customWidth="1"/>
    <col min="7690" max="7690" width="47.1640625" style="1922" customWidth="1"/>
    <col min="7691" max="7691" width="43.6640625" style="1922" customWidth="1"/>
    <col min="7692" max="7693" width="45" style="1922" customWidth="1"/>
    <col min="7694" max="7694" width="44.83203125" style="1922" customWidth="1"/>
    <col min="7695" max="7695" width="45" style="1922" customWidth="1"/>
    <col min="7696" max="7697" width="47.33203125" style="1922" customWidth="1"/>
    <col min="7698" max="7698" width="47.1640625" style="1922" customWidth="1"/>
    <col min="7699" max="7699" width="43.6640625" style="1922" customWidth="1"/>
    <col min="7700" max="7700" width="193.33203125" style="1922" customWidth="1"/>
    <col min="7701" max="7703" width="47.33203125" style="1922" customWidth="1"/>
    <col min="7704" max="7704" width="43.6640625" style="1922" customWidth="1"/>
    <col min="7705" max="7707" width="47.33203125" style="1922" customWidth="1"/>
    <col min="7708" max="7708" width="44" style="1922" customWidth="1"/>
    <col min="7709" max="7711" width="47.33203125" style="1922" customWidth="1"/>
    <col min="7712" max="7712" width="43.6640625" style="1922" customWidth="1"/>
    <col min="7713" max="7715" width="47.33203125" style="1922" customWidth="1"/>
    <col min="7716" max="7716" width="43.6640625" style="1922" customWidth="1"/>
    <col min="7717" max="7719" width="47.33203125" style="1922" customWidth="1"/>
    <col min="7720" max="7720" width="43.6640625" style="1922" customWidth="1"/>
    <col min="7721" max="7721" width="193.33203125" style="1922" customWidth="1"/>
    <col min="7722" max="7737" width="56" style="1922" customWidth="1"/>
    <col min="7738" max="7738" width="59" style="1922" customWidth="1"/>
    <col min="7739" max="7739" width="46" style="1922" customWidth="1"/>
    <col min="7740" max="7934" width="9.33203125" style="1922"/>
    <col min="7935" max="7935" width="193.33203125" style="1922" customWidth="1"/>
    <col min="7936" max="7936" width="47.1640625" style="1922" customWidth="1"/>
    <col min="7937" max="7937" width="47.33203125" style="1922" customWidth="1"/>
    <col min="7938" max="7938" width="47.1640625" style="1922" customWidth="1"/>
    <col min="7939" max="7939" width="43.6640625" style="1922" customWidth="1"/>
    <col min="7940" max="7941" width="47.33203125" style="1922" customWidth="1"/>
    <col min="7942" max="7942" width="47.1640625" style="1922" customWidth="1"/>
    <col min="7943" max="7943" width="43.6640625" style="1922" customWidth="1"/>
    <col min="7944" max="7945" width="47.33203125" style="1922" customWidth="1"/>
    <col min="7946" max="7946" width="47.1640625" style="1922" customWidth="1"/>
    <col min="7947" max="7947" width="43.6640625" style="1922" customWidth="1"/>
    <col min="7948" max="7949" width="45" style="1922" customWidth="1"/>
    <col min="7950" max="7950" width="44.83203125" style="1922" customWidth="1"/>
    <col min="7951" max="7951" width="45" style="1922" customWidth="1"/>
    <col min="7952" max="7953" width="47.33203125" style="1922" customWidth="1"/>
    <col min="7954" max="7954" width="47.1640625" style="1922" customWidth="1"/>
    <col min="7955" max="7955" width="43.6640625" style="1922" customWidth="1"/>
    <col min="7956" max="7956" width="193.33203125" style="1922" customWidth="1"/>
    <col min="7957" max="7959" width="47.33203125" style="1922" customWidth="1"/>
    <col min="7960" max="7960" width="43.6640625" style="1922" customWidth="1"/>
    <col min="7961" max="7963" width="47.33203125" style="1922" customWidth="1"/>
    <col min="7964" max="7964" width="44" style="1922" customWidth="1"/>
    <col min="7965" max="7967" width="47.33203125" style="1922" customWidth="1"/>
    <col min="7968" max="7968" width="43.6640625" style="1922" customWidth="1"/>
    <col min="7969" max="7971" width="47.33203125" style="1922" customWidth="1"/>
    <col min="7972" max="7972" width="43.6640625" style="1922" customWidth="1"/>
    <col min="7973" max="7975" width="47.33203125" style="1922" customWidth="1"/>
    <col min="7976" max="7976" width="43.6640625" style="1922" customWidth="1"/>
    <col min="7977" max="7977" width="193.33203125" style="1922" customWidth="1"/>
    <col min="7978" max="7993" width="56" style="1922" customWidth="1"/>
    <col min="7994" max="7994" width="59" style="1922" customWidth="1"/>
    <col min="7995" max="7995" width="46" style="1922" customWidth="1"/>
    <col min="7996" max="8190" width="9.33203125" style="1922"/>
    <col min="8191" max="8191" width="193.33203125" style="1922" customWidth="1"/>
    <col min="8192" max="8192" width="47.1640625" style="1922" customWidth="1"/>
    <col min="8193" max="8193" width="47.33203125" style="1922" customWidth="1"/>
    <col min="8194" max="8194" width="47.1640625" style="1922" customWidth="1"/>
    <col min="8195" max="8195" width="43.6640625" style="1922" customWidth="1"/>
    <col min="8196" max="8197" width="47.33203125" style="1922" customWidth="1"/>
    <col min="8198" max="8198" width="47.1640625" style="1922" customWidth="1"/>
    <col min="8199" max="8199" width="43.6640625" style="1922" customWidth="1"/>
    <col min="8200" max="8201" width="47.33203125" style="1922" customWidth="1"/>
    <col min="8202" max="8202" width="47.1640625" style="1922" customWidth="1"/>
    <col min="8203" max="8203" width="43.6640625" style="1922" customWidth="1"/>
    <col min="8204" max="8205" width="45" style="1922" customWidth="1"/>
    <col min="8206" max="8206" width="44.83203125" style="1922" customWidth="1"/>
    <col min="8207" max="8207" width="45" style="1922" customWidth="1"/>
    <col min="8208" max="8209" width="47.33203125" style="1922" customWidth="1"/>
    <col min="8210" max="8210" width="47.1640625" style="1922" customWidth="1"/>
    <col min="8211" max="8211" width="43.6640625" style="1922" customWidth="1"/>
    <col min="8212" max="8212" width="193.33203125" style="1922" customWidth="1"/>
    <col min="8213" max="8215" width="47.33203125" style="1922" customWidth="1"/>
    <col min="8216" max="8216" width="43.6640625" style="1922" customWidth="1"/>
    <col min="8217" max="8219" width="47.33203125" style="1922" customWidth="1"/>
    <col min="8220" max="8220" width="44" style="1922" customWidth="1"/>
    <col min="8221" max="8223" width="47.33203125" style="1922" customWidth="1"/>
    <col min="8224" max="8224" width="43.6640625" style="1922" customWidth="1"/>
    <col min="8225" max="8227" width="47.33203125" style="1922" customWidth="1"/>
    <col min="8228" max="8228" width="43.6640625" style="1922" customWidth="1"/>
    <col min="8229" max="8231" width="47.33203125" style="1922" customWidth="1"/>
    <col min="8232" max="8232" width="43.6640625" style="1922" customWidth="1"/>
    <col min="8233" max="8233" width="193.33203125" style="1922" customWidth="1"/>
    <col min="8234" max="8249" width="56" style="1922" customWidth="1"/>
    <col min="8250" max="8250" width="59" style="1922" customWidth="1"/>
    <col min="8251" max="8251" width="46" style="1922" customWidth="1"/>
    <col min="8252" max="8446" width="9.33203125" style="1922"/>
    <col min="8447" max="8447" width="193.33203125" style="1922" customWidth="1"/>
    <col min="8448" max="8448" width="47.1640625" style="1922" customWidth="1"/>
    <col min="8449" max="8449" width="47.33203125" style="1922" customWidth="1"/>
    <col min="8450" max="8450" width="47.1640625" style="1922" customWidth="1"/>
    <col min="8451" max="8451" width="43.6640625" style="1922" customWidth="1"/>
    <col min="8452" max="8453" width="47.33203125" style="1922" customWidth="1"/>
    <col min="8454" max="8454" width="47.1640625" style="1922" customWidth="1"/>
    <col min="8455" max="8455" width="43.6640625" style="1922" customWidth="1"/>
    <col min="8456" max="8457" width="47.33203125" style="1922" customWidth="1"/>
    <col min="8458" max="8458" width="47.1640625" style="1922" customWidth="1"/>
    <col min="8459" max="8459" width="43.6640625" style="1922" customWidth="1"/>
    <col min="8460" max="8461" width="45" style="1922" customWidth="1"/>
    <col min="8462" max="8462" width="44.83203125" style="1922" customWidth="1"/>
    <col min="8463" max="8463" width="45" style="1922" customWidth="1"/>
    <col min="8464" max="8465" width="47.33203125" style="1922" customWidth="1"/>
    <col min="8466" max="8466" width="47.1640625" style="1922" customWidth="1"/>
    <col min="8467" max="8467" width="43.6640625" style="1922" customWidth="1"/>
    <col min="8468" max="8468" width="193.33203125" style="1922" customWidth="1"/>
    <col min="8469" max="8471" width="47.33203125" style="1922" customWidth="1"/>
    <col min="8472" max="8472" width="43.6640625" style="1922" customWidth="1"/>
    <col min="8473" max="8475" width="47.33203125" style="1922" customWidth="1"/>
    <col min="8476" max="8476" width="44" style="1922" customWidth="1"/>
    <col min="8477" max="8479" width="47.33203125" style="1922" customWidth="1"/>
    <col min="8480" max="8480" width="43.6640625" style="1922" customWidth="1"/>
    <col min="8481" max="8483" width="47.33203125" style="1922" customWidth="1"/>
    <col min="8484" max="8484" width="43.6640625" style="1922" customWidth="1"/>
    <col min="8485" max="8487" width="47.33203125" style="1922" customWidth="1"/>
    <col min="8488" max="8488" width="43.6640625" style="1922" customWidth="1"/>
    <col min="8489" max="8489" width="193.33203125" style="1922" customWidth="1"/>
    <col min="8490" max="8505" width="56" style="1922" customWidth="1"/>
    <col min="8506" max="8506" width="59" style="1922" customWidth="1"/>
    <col min="8507" max="8507" width="46" style="1922" customWidth="1"/>
    <col min="8508" max="8702" width="9.33203125" style="1922"/>
    <col min="8703" max="8703" width="193.33203125" style="1922" customWidth="1"/>
    <col min="8704" max="8704" width="47.1640625" style="1922" customWidth="1"/>
    <col min="8705" max="8705" width="47.33203125" style="1922" customWidth="1"/>
    <col min="8706" max="8706" width="47.1640625" style="1922" customWidth="1"/>
    <col min="8707" max="8707" width="43.6640625" style="1922" customWidth="1"/>
    <col min="8708" max="8709" width="47.33203125" style="1922" customWidth="1"/>
    <col min="8710" max="8710" width="47.1640625" style="1922" customWidth="1"/>
    <col min="8711" max="8711" width="43.6640625" style="1922" customWidth="1"/>
    <col min="8712" max="8713" width="47.33203125" style="1922" customWidth="1"/>
    <col min="8714" max="8714" width="47.1640625" style="1922" customWidth="1"/>
    <col min="8715" max="8715" width="43.6640625" style="1922" customWidth="1"/>
    <col min="8716" max="8717" width="45" style="1922" customWidth="1"/>
    <col min="8718" max="8718" width="44.83203125" style="1922" customWidth="1"/>
    <col min="8719" max="8719" width="45" style="1922" customWidth="1"/>
    <col min="8720" max="8721" width="47.33203125" style="1922" customWidth="1"/>
    <col min="8722" max="8722" width="47.1640625" style="1922" customWidth="1"/>
    <col min="8723" max="8723" width="43.6640625" style="1922" customWidth="1"/>
    <col min="8724" max="8724" width="193.33203125" style="1922" customWidth="1"/>
    <col min="8725" max="8727" width="47.33203125" style="1922" customWidth="1"/>
    <col min="8728" max="8728" width="43.6640625" style="1922" customWidth="1"/>
    <col min="8729" max="8731" width="47.33203125" style="1922" customWidth="1"/>
    <col min="8732" max="8732" width="44" style="1922" customWidth="1"/>
    <col min="8733" max="8735" width="47.33203125" style="1922" customWidth="1"/>
    <col min="8736" max="8736" width="43.6640625" style="1922" customWidth="1"/>
    <col min="8737" max="8739" width="47.33203125" style="1922" customWidth="1"/>
    <col min="8740" max="8740" width="43.6640625" style="1922" customWidth="1"/>
    <col min="8741" max="8743" width="47.33203125" style="1922" customWidth="1"/>
    <col min="8744" max="8744" width="43.6640625" style="1922" customWidth="1"/>
    <col min="8745" max="8745" width="193.33203125" style="1922" customWidth="1"/>
    <col min="8746" max="8761" width="56" style="1922" customWidth="1"/>
    <col min="8762" max="8762" width="59" style="1922" customWidth="1"/>
    <col min="8763" max="8763" width="46" style="1922" customWidth="1"/>
    <col min="8764" max="8958" width="9.33203125" style="1922"/>
    <col min="8959" max="8959" width="193.33203125" style="1922" customWidth="1"/>
    <col min="8960" max="8960" width="47.1640625" style="1922" customWidth="1"/>
    <col min="8961" max="8961" width="47.33203125" style="1922" customWidth="1"/>
    <col min="8962" max="8962" width="47.1640625" style="1922" customWidth="1"/>
    <col min="8963" max="8963" width="43.6640625" style="1922" customWidth="1"/>
    <col min="8964" max="8965" width="47.33203125" style="1922" customWidth="1"/>
    <col min="8966" max="8966" width="47.1640625" style="1922" customWidth="1"/>
    <col min="8967" max="8967" width="43.6640625" style="1922" customWidth="1"/>
    <col min="8968" max="8969" width="47.33203125" style="1922" customWidth="1"/>
    <col min="8970" max="8970" width="47.1640625" style="1922" customWidth="1"/>
    <col min="8971" max="8971" width="43.6640625" style="1922" customWidth="1"/>
    <col min="8972" max="8973" width="45" style="1922" customWidth="1"/>
    <col min="8974" max="8974" width="44.83203125" style="1922" customWidth="1"/>
    <col min="8975" max="8975" width="45" style="1922" customWidth="1"/>
    <col min="8976" max="8977" width="47.33203125" style="1922" customWidth="1"/>
    <col min="8978" max="8978" width="47.1640625" style="1922" customWidth="1"/>
    <col min="8979" max="8979" width="43.6640625" style="1922" customWidth="1"/>
    <col min="8980" max="8980" width="193.33203125" style="1922" customWidth="1"/>
    <col min="8981" max="8983" width="47.33203125" style="1922" customWidth="1"/>
    <col min="8984" max="8984" width="43.6640625" style="1922" customWidth="1"/>
    <col min="8985" max="8987" width="47.33203125" style="1922" customWidth="1"/>
    <col min="8988" max="8988" width="44" style="1922" customWidth="1"/>
    <col min="8989" max="8991" width="47.33203125" style="1922" customWidth="1"/>
    <col min="8992" max="8992" width="43.6640625" style="1922" customWidth="1"/>
    <col min="8993" max="8995" width="47.33203125" style="1922" customWidth="1"/>
    <col min="8996" max="8996" width="43.6640625" style="1922" customWidth="1"/>
    <col min="8997" max="8999" width="47.33203125" style="1922" customWidth="1"/>
    <col min="9000" max="9000" width="43.6640625" style="1922" customWidth="1"/>
    <col min="9001" max="9001" width="193.33203125" style="1922" customWidth="1"/>
    <col min="9002" max="9017" width="56" style="1922" customWidth="1"/>
    <col min="9018" max="9018" width="59" style="1922" customWidth="1"/>
    <col min="9019" max="9019" width="46" style="1922" customWidth="1"/>
    <col min="9020" max="9214" width="9.33203125" style="1922"/>
    <col min="9215" max="9215" width="193.33203125" style="1922" customWidth="1"/>
    <col min="9216" max="9216" width="47.1640625" style="1922" customWidth="1"/>
    <col min="9217" max="9217" width="47.33203125" style="1922" customWidth="1"/>
    <col min="9218" max="9218" width="47.1640625" style="1922" customWidth="1"/>
    <col min="9219" max="9219" width="43.6640625" style="1922" customWidth="1"/>
    <col min="9220" max="9221" width="47.33203125" style="1922" customWidth="1"/>
    <col min="9222" max="9222" width="47.1640625" style="1922" customWidth="1"/>
    <col min="9223" max="9223" width="43.6640625" style="1922" customWidth="1"/>
    <col min="9224" max="9225" width="47.33203125" style="1922" customWidth="1"/>
    <col min="9226" max="9226" width="47.1640625" style="1922" customWidth="1"/>
    <col min="9227" max="9227" width="43.6640625" style="1922" customWidth="1"/>
    <col min="9228" max="9229" width="45" style="1922" customWidth="1"/>
    <col min="9230" max="9230" width="44.83203125" style="1922" customWidth="1"/>
    <col min="9231" max="9231" width="45" style="1922" customWidth="1"/>
    <col min="9232" max="9233" width="47.33203125" style="1922" customWidth="1"/>
    <col min="9234" max="9234" width="47.1640625" style="1922" customWidth="1"/>
    <col min="9235" max="9235" width="43.6640625" style="1922" customWidth="1"/>
    <col min="9236" max="9236" width="193.33203125" style="1922" customWidth="1"/>
    <col min="9237" max="9239" width="47.33203125" style="1922" customWidth="1"/>
    <col min="9240" max="9240" width="43.6640625" style="1922" customWidth="1"/>
    <col min="9241" max="9243" width="47.33203125" style="1922" customWidth="1"/>
    <col min="9244" max="9244" width="44" style="1922" customWidth="1"/>
    <col min="9245" max="9247" width="47.33203125" style="1922" customWidth="1"/>
    <col min="9248" max="9248" width="43.6640625" style="1922" customWidth="1"/>
    <col min="9249" max="9251" width="47.33203125" style="1922" customWidth="1"/>
    <col min="9252" max="9252" width="43.6640625" style="1922" customWidth="1"/>
    <col min="9253" max="9255" width="47.33203125" style="1922" customWidth="1"/>
    <col min="9256" max="9256" width="43.6640625" style="1922" customWidth="1"/>
    <col min="9257" max="9257" width="193.33203125" style="1922" customWidth="1"/>
    <col min="9258" max="9273" width="56" style="1922" customWidth="1"/>
    <col min="9274" max="9274" width="59" style="1922" customWidth="1"/>
    <col min="9275" max="9275" width="46" style="1922" customWidth="1"/>
    <col min="9276" max="9470" width="9.33203125" style="1922"/>
    <col min="9471" max="9471" width="193.33203125" style="1922" customWidth="1"/>
    <col min="9472" max="9472" width="47.1640625" style="1922" customWidth="1"/>
    <col min="9473" max="9473" width="47.33203125" style="1922" customWidth="1"/>
    <col min="9474" max="9474" width="47.1640625" style="1922" customWidth="1"/>
    <col min="9475" max="9475" width="43.6640625" style="1922" customWidth="1"/>
    <col min="9476" max="9477" width="47.33203125" style="1922" customWidth="1"/>
    <col min="9478" max="9478" width="47.1640625" style="1922" customWidth="1"/>
    <col min="9479" max="9479" width="43.6640625" style="1922" customWidth="1"/>
    <col min="9480" max="9481" width="47.33203125" style="1922" customWidth="1"/>
    <col min="9482" max="9482" width="47.1640625" style="1922" customWidth="1"/>
    <col min="9483" max="9483" width="43.6640625" style="1922" customWidth="1"/>
    <col min="9484" max="9485" width="45" style="1922" customWidth="1"/>
    <col min="9486" max="9486" width="44.83203125" style="1922" customWidth="1"/>
    <col min="9487" max="9487" width="45" style="1922" customWidth="1"/>
    <col min="9488" max="9489" width="47.33203125" style="1922" customWidth="1"/>
    <col min="9490" max="9490" width="47.1640625" style="1922" customWidth="1"/>
    <col min="9491" max="9491" width="43.6640625" style="1922" customWidth="1"/>
    <col min="9492" max="9492" width="193.33203125" style="1922" customWidth="1"/>
    <col min="9493" max="9495" width="47.33203125" style="1922" customWidth="1"/>
    <col min="9496" max="9496" width="43.6640625" style="1922" customWidth="1"/>
    <col min="9497" max="9499" width="47.33203125" style="1922" customWidth="1"/>
    <col min="9500" max="9500" width="44" style="1922" customWidth="1"/>
    <col min="9501" max="9503" width="47.33203125" style="1922" customWidth="1"/>
    <col min="9504" max="9504" width="43.6640625" style="1922" customWidth="1"/>
    <col min="9505" max="9507" width="47.33203125" style="1922" customWidth="1"/>
    <col min="9508" max="9508" width="43.6640625" style="1922" customWidth="1"/>
    <col min="9509" max="9511" width="47.33203125" style="1922" customWidth="1"/>
    <col min="9512" max="9512" width="43.6640625" style="1922" customWidth="1"/>
    <col min="9513" max="9513" width="193.33203125" style="1922" customWidth="1"/>
    <col min="9514" max="9529" width="56" style="1922" customWidth="1"/>
    <col min="9530" max="9530" width="59" style="1922" customWidth="1"/>
    <col min="9531" max="9531" width="46" style="1922" customWidth="1"/>
    <col min="9532" max="9726" width="9.33203125" style="1922"/>
    <col min="9727" max="9727" width="193.33203125" style="1922" customWidth="1"/>
    <col min="9728" max="9728" width="47.1640625" style="1922" customWidth="1"/>
    <col min="9729" max="9729" width="47.33203125" style="1922" customWidth="1"/>
    <col min="9730" max="9730" width="47.1640625" style="1922" customWidth="1"/>
    <col min="9731" max="9731" width="43.6640625" style="1922" customWidth="1"/>
    <col min="9732" max="9733" width="47.33203125" style="1922" customWidth="1"/>
    <col min="9734" max="9734" width="47.1640625" style="1922" customWidth="1"/>
    <col min="9735" max="9735" width="43.6640625" style="1922" customWidth="1"/>
    <col min="9736" max="9737" width="47.33203125" style="1922" customWidth="1"/>
    <col min="9738" max="9738" width="47.1640625" style="1922" customWidth="1"/>
    <col min="9739" max="9739" width="43.6640625" style="1922" customWidth="1"/>
    <col min="9740" max="9741" width="45" style="1922" customWidth="1"/>
    <col min="9742" max="9742" width="44.83203125" style="1922" customWidth="1"/>
    <col min="9743" max="9743" width="45" style="1922" customWidth="1"/>
    <col min="9744" max="9745" width="47.33203125" style="1922" customWidth="1"/>
    <col min="9746" max="9746" width="47.1640625" style="1922" customWidth="1"/>
    <col min="9747" max="9747" width="43.6640625" style="1922" customWidth="1"/>
    <col min="9748" max="9748" width="193.33203125" style="1922" customWidth="1"/>
    <col min="9749" max="9751" width="47.33203125" style="1922" customWidth="1"/>
    <col min="9752" max="9752" width="43.6640625" style="1922" customWidth="1"/>
    <col min="9753" max="9755" width="47.33203125" style="1922" customWidth="1"/>
    <col min="9756" max="9756" width="44" style="1922" customWidth="1"/>
    <col min="9757" max="9759" width="47.33203125" style="1922" customWidth="1"/>
    <col min="9760" max="9760" width="43.6640625" style="1922" customWidth="1"/>
    <col min="9761" max="9763" width="47.33203125" style="1922" customWidth="1"/>
    <col min="9764" max="9764" width="43.6640625" style="1922" customWidth="1"/>
    <col min="9765" max="9767" width="47.33203125" style="1922" customWidth="1"/>
    <col min="9768" max="9768" width="43.6640625" style="1922" customWidth="1"/>
    <col min="9769" max="9769" width="193.33203125" style="1922" customWidth="1"/>
    <col min="9770" max="9785" width="56" style="1922" customWidth="1"/>
    <col min="9786" max="9786" width="59" style="1922" customWidth="1"/>
    <col min="9787" max="9787" width="46" style="1922" customWidth="1"/>
    <col min="9788" max="9982" width="9.33203125" style="1922"/>
    <col min="9983" max="9983" width="193.33203125" style="1922" customWidth="1"/>
    <col min="9984" max="9984" width="47.1640625" style="1922" customWidth="1"/>
    <col min="9985" max="9985" width="47.33203125" style="1922" customWidth="1"/>
    <col min="9986" max="9986" width="47.1640625" style="1922" customWidth="1"/>
    <col min="9987" max="9987" width="43.6640625" style="1922" customWidth="1"/>
    <col min="9988" max="9989" width="47.33203125" style="1922" customWidth="1"/>
    <col min="9990" max="9990" width="47.1640625" style="1922" customWidth="1"/>
    <col min="9991" max="9991" width="43.6640625" style="1922" customWidth="1"/>
    <col min="9992" max="9993" width="47.33203125" style="1922" customWidth="1"/>
    <col min="9994" max="9994" width="47.1640625" style="1922" customWidth="1"/>
    <col min="9995" max="9995" width="43.6640625" style="1922" customWidth="1"/>
    <col min="9996" max="9997" width="45" style="1922" customWidth="1"/>
    <col min="9998" max="9998" width="44.83203125" style="1922" customWidth="1"/>
    <col min="9999" max="9999" width="45" style="1922" customWidth="1"/>
    <col min="10000" max="10001" width="47.33203125" style="1922" customWidth="1"/>
    <col min="10002" max="10002" width="47.1640625" style="1922" customWidth="1"/>
    <col min="10003" max="10003" width="43.6640625" style="1922" customWidth="1"/>
    <col min="10004" max="10004" width="193.33203125" style="1922" customWidth="1"/>
    <col min="10005" max="10007" width="47.33203125" style="1922" customWidth="1"/>
    <col min="10008" max="10008" width="43.6640625" style="1922" customWidth="1"/>
    <col min="10009" max="10011" width="47.33203125" style="1922" customWidth="1"/>
    <col min="10012" max="10012" width="44" style="1922" customWidth="1"/>
    <col min="10013" max="10015" width="47.33203125" style="1922" customWidth="1"/>
    <col min="10016" max="10016" width="43.6640625" style="1922" customWidth="1"/>
    <col min="10017" max="10019" width="47.33203125" style="1922" customWidth="1"/>
    <col min="10020" max="10020" width="43.6640625" style="1922" customWidth="1"/>
    <col min="10021" max="10023" width="47.33203125" style="1922" customWidth="1"/>
    <col min="10024" max="10024" width="43.6640625" style="1922" customWidth="1"/>
    <col min="10025" max="10025" width="193.33203125" style="1922" customWidth="1"/>
    <col min="10026" max="10041" width="56" style="1922" customWidth="1"/>
    <col min="10042" max="10042" width="59" style="1922" customWidth="1"/>
    <col min="10043" max="10043" width="46" style="1922" customWidth="1"/>
    <col min="10044" max="10238" width="9.33203125" style="1922"/>
    <col min="10239" max="10239" width="193.33203125" style="1922" customWidth="1"/>
    <col min="10240" max="10240" width="47.1640625" style="1922" customWidth="1"/>
    <col min="10241" max="10241" width="47.33203125" style="1922" customWidth="1"/>
    <col min="10242" max="10242" width="47.1640625" style="1922" customWidth="1"/>
    <col min="10243" max="10243" width="43.6640625" style="1922" customWidth="1"/>
    <col min="10244" max="10245" width="47.33203125" style="1922" customWidth="1"/>
    <col min="10246" max="10246" width="47.1640625" style="1922" customWidth="1"/>
    <col min="10247" max="10247" width="43.6640625" style="1922" customWidth="1"/>
    <col min="10248" max="10249" width="47.33203125" style="1922" customWidth="1"/>
    <col min="10250" max="10250" width="47.1640625" style="1922" customWidth="1"/>
    <col min="10251" max="10251" width="43.6640625" style="1922" customWidth="1"/>
    <col min="10252" max="10253" width="45" style="1922" customWidth="1"/>
    <col min="10254" max="10254" width="44.83203125" style="1922" customWidth="1"/>
    <col min="10255" max="10255" width="45" style="1922" customWidth="1"/>
    <col min="10256" max="10257" width="47.33203125" style="1922" customWidth="1"/>
    <col min="10258" max="10258" width="47.1640625" style="1922" customWidth="1"/>
    <col min="10259" max="10259" width="43.6640625" style="1922" customWidth="1"/>
    <col min="10260" max="10260" width="193.33203125" style="1922" customWidth="1"/>
    <col min="10261" max="10263" width="47.33203125" style="1922" customWidth="1"/>
    <col min="10264" max="10264" width="43.6640625" style="1922" customWidth="1"/>
    <col min="10265" max="10267" width="47.33203125" style="1922" customWidth="1"/>
    <col min="10268" max="10268" width="44" style="1922" customWidth="1"/>
    <col min="10269" max="10271" width="47.33203125" style="1922" customWidth="1"/>
    <col min="10272" max="10272" width="43.6640625" style="1922" customWidth="1"/>
    <col min="10273" max="10275" width="47.33203125" style="1922" customWidth="1"/>
    <col min="10276" max="10276" width="43.6640625" style="1922" customWidth="1"/>
    <col min="10277" max="10279" width="47.33203125" style="1922" customWidth="1"/>
    <col min="10280" max="10280" width="43.6640625" style="1922" customWidth="1"/>
    <col min="10281" max="10281" width="193.33203125" style="1922" customWidth="1"/>
    <col min="10282" max="10297" width="56" style="1922" customWidth="1"/>
    <col min="10298" max="10298" width="59" style="1922" customWidth="1"/>
    <col min="10299" max="10299" width="46" style="1922" customWidth="1"/>
    <col min="10300" max="10494" width="9.33203125" style="1922"/>
    <col min="10495" max="10495" width="193.33203125" style="1922" customWidth="1"/>
    <col min="10496" max="10496" width="47.1640625" style="1922" customWidth="1"/>
    <col min="10497" max="10497" width="47.33203125" style="1922" customWidth="1"/>
    <col min="10498" max="10498" width="47.1640625" style="1922" customWidth="1"/>
    <col min="10499" max="10499" width="43.6640625" style="1922" customWidth="1"/>
    <col min="10500" max="10501" width="47.33203125" style="1922" customWidth="1"/>
    <col min="10502" max="10502" width="47.1640625" style="1922" customWidth="1"/>
    <col min="10503" max="10503" width="43.6640625" style="1922" customWidth="1"/>
    <col min="10504" max="10505" width="47.33203125" style="1922" customWidth="1"/>
    <col min="10506" max="10506" width="47.1640625" style="1922" customWidth="1"/>
    <col min="10507" max="10507" width="43.6640625" style="1922" customWidth="1"/>
    <col min="10508" max="10509" width="45" style="1922" customWidth="1"/>
    <col min="10510" max="10510" width="44.83203125" style="1922" customWidth="1"/>
    <col min="10511" max="10511" width="45" style="1922" customWidth="1"/>
    <col min="10512" max="10513" width="47.33203125" style="1922" customWidth="1"/>
    <col min="10514" max="10514" width="47.1640625" style="1922" customWidth="1"/>
    <col min="10515" max="10515" width="43.6640625" style="1922" customWidth="1"/>
    <col min="10516" max="10516" width="193.33203125" style="1922" customWidth="1"/>
    <col min="10517" max="10519" width="47.33203125" style="1922" customWidth="1"/>
    <col min="10520" max="10520" width="43.6640625" style="1922" customWidth="1"/>
    <col min="10521" max="10523" width="47.33203125" style="1922" customWidth="1"/>
    <col min="10524" max="10524" width="44" style="1922" customWidth="1"/>
    <col min="10525" max="10527" width="47.33203125" style="1922" customWidth="1"/>
    <col min="10528" max="10528" width="43.6640625" style="1922" customWidth="1"/>
    <col min="10529" max="10531" width="47.33203125" style="1922" customWidth="1"/>
    <col min="10532" max="10532" width="43.6640625" style="1922" customWidth="1"/>
    <col min="10533" max="10535" width="47.33203125" style="1922" customWidth="1"/>
    <col min="10536" max="10536" width="43.6640625" style="1922" customWidth="1"/>
    <col min="10537" max="10537" width="193.33203125" style="1922" customWidth="1"/>
    <col min="10538" max="10553" width="56" style="1922" customWidth="1"/>
    <col min="10554" max="10554" width="59" style="1922" customWidth="1"/>
    <col min="10555" max="10555" width="46" style="1922" customWidth="1"/>
    <col min="10556" max="10750" width="9.33203125" style="1922"/>
    <col min="10751" max="10751" width="193.33203125" style="1922" customWidth="1"/>
    <col min="10752" max="10752" width="47.1640625" style="1922" customWidth="1"/>
    <col min="10753" max="10753" width="47.33203125" style="1922" customWidth="1"/>
    <col min="10754" max="10754" width="47.1640625" style="1922" customWidth="1"/>
    <col min="10755" max="10755" width="43.6640625" style="1922" customWidth="1"/>
    <col min="10756" max="10757" width="47.33203125" style="1922" customWidth="1"/>
    <col min="10758" max="10758" width="47.1640625" style="1922" customWidth="1"/>
    <col min="10759" max="10759" width="43.6640625" style="1922" customWidth="1"/>
    <col min="10760" max="10761" width="47.33203125" style="1922" customWidth="1"/>
    <col min="10762" max="10762" width="47.1640625" style="1922" customWidth="1"/>
    <col min="10763" max="10763" width="43.6640625" style="1922" customWidth="1"/>
    <col min="10764" max="10765" width="45" style="1922" customWidth="1"/>
    <col min="10766" max="10766" width="44.83203125" style="1922" customWidth="1"/>
    <col min="10767" max="10767" width="45" style="1922" customWidth="1"/>
    <col min="10768" max="10769" width="47.33203125" style="1922" customWidth="1"/>
    <col min="10770" max="10770" width="47.1640625" style="1922" customWidth="1"/>
    <col min="10771" max="10771" width="43.6640625" style="1922" customWidth="1"/>
    <col min="10772" max="10772" width="193.33203125" style="1922" customWidth="1"/>
    <col min="10773" max="10775" width="47.33203125" style="1922" customWidth="1"/>
    <col min="10776" max="10776" width="43.6640625" style="1922" customWidth="1"/>
    <col min="10777" max="10779" width="47.33203125" style="1922" customWidth="1"/>
    <col min="10780" max="10780" width="44" style="1922" customWidth="1"/>
    <col min="10781" max="10783" width="47.33203125" style="1922" customWidth="1"/>
    <col min="10784" max="10784" width="43.6640625" style="1922" customWidth="1"/>
    <col min="10785" max="10787" width="47.33203125" style="1922" customWidth="1"/>
    <col min="10788" max="10788" width="43.6640625" style="1922" customWidth="1"/>
    <col min="10789" max="10791" width="47.33203125" style="1922" customWidth="1"/>
    <col min="10792" max="10792" width="43.6640625" style="1922" customWidth="1"/>
    <col min="10793" max="10793" width="193.33203125" style="1922" customWidth="1"/>
    <col min="10794" max="10809" width="56" style="1922" customWidth="1"/>
    <col min="10810" max="10810" width="59" style="1922" customWidth="1"/>
    <col min="10811" max="10811" width="46" style="1922" customWidth="1"/>
    <col min="10812" max="11006" width="9.33203125" style="1922"/>
    <col min="11007" max="11007" width="193.33203125" style="1922" customWidth="1"/>
    <col min="11008" max="11008" width="47.1640625" style="1922" customWidth="1"/>
    <col min="11009" max="11009" width="47.33203125" style="1922" customWidth="1"/>
    <col min="11010" max="11010" width="47.1640625" style="1922" customWidth="1"/>
    <col min="11011" max="11011" width="43.6640625" style="1922" customWidth="1"/>
    <col min="11012" max="11013" width="47.33203125" style="1922" customWidth="1"/>
    <col min="11014" max="11014" width="47.1640625" style="1922" customWidth="1"/>
    <col min="11015" max="11015" width="43.6640625" style="1922" customWidth="1"/>
    <col min="11016" max="11017" width="47.33203125" style="1922" customWidth="1"/>
    <col min="11018" max="11018" width="47.1640625" style="1922" customWidth="1"/>
    <col min="11019" max="11019" width="43.6640625" style="1922" customWidth="1"/>
    <col min="11020" max="11021" width="45" style="1922" customWidth="1"/>
    <col min="11022" max="11022" width="44.83203125" style="1922" customWidth="1"/>
    <col min="11023" max="11023" width="45" style="1922" customWidth="1"/>
    <col min="11024" max="11025" width="47.33203125" style="1922" customWidth="1"/>
    <col min="11026" max="11026" width="47.1640625" style="1922" customWidth="1"/>
    <col min="11027" max="11027" width="43.6640625" style="1922" customWidth="1"/>
    <col min="11028" max="11028" width="193.33203125" style="1922" customWidth="1"/>
    <col min="11029" max="11031" width="47.33203125" style="1922" customWidth="1"/>
    <col min="11032" max="11032" width="43.6640625" style="1922" customWidth="1"/>
    <col min="11033" max="11035" width="47.33203125" style="1922" customWidth="1"/>
    <col min="11036" max="11036" width="44" style="1922" customWidth="1"/>
    <col min="11037" max="11039" width="47.33203125" style="1922" customWidth="1"/>
    <col min="11040" max="11040" width="43.6640625" style="1922" customWidth="1"/>
    <col min="11041" max="11043" width="47.33203125" style="1922" customWidth="1"/>
    <col min="11044" max="11044" width="43.6640625" style="1922" customWidth="1"/>
    <col min="11045" max="11047" width="47.33203125" style="1922" customWidth="1"/>
    <col min="11048" max="11048" width="43.6640625" style="1922" customWidth="1"/>
    <col min="11049" max="11049" width="193.33203125" style="1922" customWidth="1"/>
    <col min="11050" max="11065" width="56" style="1922" customWidth="1"/>
    <col min="11066" max="11066" width="59" style="1922" customWidth="1"/>
    <col min="11067" max="11067" width="46" style="1922" customWidth="1"/>
    <col min="11068" max="11262" width="9.33203125" style="1922"/>
    <col min="11263" max="11263" width="193.33203125" style="1922" customWidth="1"/>
    <col min="11264" max="11264" width="47.1640625" style="1922" customWidth="1"/>
    <col min="11265" max="11265" width="47.33203125" style="1922" customWidth="1"/>
    <col min="11266" max="11266" width="47.1640625" style="1922" customWidth="1"/>
    <col min="11267" max="11267" width="43.6640625" style="1922" customWidth="1"/>
    <col min="11268" max="11269" width="47.33203125" style="1922" customWidth="1"/>
    <col min="11270" max="11270" width="47.1640625" style="1922" customWidth="1"/>
    <col min="11271" max="11271" width="43.6640625" style="1922" customWidth="1"/>
    <col min="11272" max="11273" width="47.33203125" style="1922" customWidth="1"/>
    <col min="11274" max="11274" width="47.1640625" style="1922" customWidth="1"/>
    <col min="11275" max="11275" width="43.6640625" style="1922" customWidth="1"/>
    <col min="11276" max="11277" width="45" style="1922" customWidth="1"/>
    <col min="11278" max="11278" width="44.83203125" style="1922" customWidth="1"/>
    <col min="11279" max="11279" width="45" style="1922" customWidth="1"/>
    <col min="11280" max="11281" width="47.33203125" style="1922" customWidth="1"/>
    <col min="11282" max="11282" width="47.1640625" style="1922" customWidth="1"/>
    <col min="11283" max="11283" width="43.6640625" style="1922" customWidth="1"/>
    <col min="11284" max="11284" width="193.33203125" style="1922" customWidth="1"/>
    <col min="11285" max="11287" width="47.33203125" style="1922" customWidth="1"/>
    <col min="11288" max="11288" width="43.6640625" style="1922" customWidth="1"/>
    <col min="11289" max="11291" width="47.33203125" style="1922" customWidth="1"/>
    <col min="11292" max="11292" width="44" style="1922" customWidth="1"/>
    <col min="11293" max="11295" width="47.33203125" style="1922" customWidth="1"/>
    <col min="11296" max="11296" width="43.6640625" style="1922" customWidth="1"/>
    <col min="11297" max="11299" width="47.33203125" style="1922" customWidth="1"/>
    <col min="11300" max="11300" width="43.6640625" style="1922" customWidth="1"/>
    <col min="11301" max="11303" width="47.33203125" style="1922" customWidth="1"/>
    <col min="11304" max="11304" width="43.6640625" style="1922" customWidth="1"/>
    <col min="11305" max="11305" width="193.33203125" style="1922" customWidth="1"/>
    <col min="11306" max="11321" width="56" style="1922" customWidth="1"/>
    <col min="11322" max="11322" width="59" style="1922" customWidth="1"/>
    <col min="11323" max="11323" width="46" style="1922" customWidth="1"/>
    <col min="11324" max="11518" width="9.33203125" style="1922"/>
    <col min="11519" max="11519" width="193.33203125" style="1922" customWidth="1"/>
    <col min="11520" max="11520" width="47.1640625" style="1922" customWidth="1"/>
    <col min="11521" max="11521" width="47.33203125" style="1922" customWidth="1"/>
    <col min="11522" max="11522" width="47.1640625" style="1922" customWidth="1"/>
    <col min="11523" max="11523" width="43.6640625" style="1922" customWidth="1"/>
    <col min="11524" max="11525" width="47.33203125" style="1922" customWidth="1"/>
    <col min="11526" max="11526" width="47.1640625" style="1922" customWidth="1"/>
    <col min="11527" max="11527" width="43.6640625" style="1922" customWidth="1"/>
    <col min="11528" max="11529" width="47.33203125" style="1922" customWidth="1"/>
    <col min="11530" max="11530" width="47.1640625" style="1922" customWidth="1"/>
    <col min="11531" max="11531" width="43.6640625" style="1922" customWidth="1"/>
    <col min="11532" max="11533" width="45" style="1922" customWidth="1"/>
    <col min="11534" max="11534" width="44.83203125" style="1922" customWidth="1"/>
    <col min="11535" max="11535" width="45" style="1922" customWidth="1"/>
    <col min="11536" max="11537" width="47.33203125" style="1922" customWidth="1"/>
    <col min="11538" max="11538" width="47.1640625" style="1922" customWidth="1"/>
    <col min="11539" max="11539" width="43.6640625" style="1922" customWidth="1"/>
    <col min="11540" max="11540" width="193.33203125" style="1922" customWidth="1"/>
    <col min="11541" max="11543" width="47.33203125" style="1922" customWidth="1"/>
    <col min="11544" max="11544" width="43.6640625" style="1922" customWidth="1"/>
    <col min="11545" max="11547" width="47.33203125" style="1922" customWidth="1"/>
    <col min="11548" max="11548" width="44" style="1922" customWidth="1"/>
    <col min="11549" max="11551" width="47.33203125" style="1922" customWidth="1"/>
    <col min="11552" max="11552" width="43.6640625" style="1922" customWidth="1"/>
    <col min="11553" max="11555" width="47.33203125" style="1922" customWidth="1"/>
    <col min="11556" max="11556" width="43.6640625" style="1922" customWidth="1"/>
    <col min="11557" max="11559" width="47.33203125" style="1922" customWidth="1"/>
    <col min="11560" max="11560" width="43.6640625" style="1922" customWidth="1"/>
    <col min="11561" max="11561" width="193.33203125" style="1922" customWidth="1"/>
    <col min="11562" max="11577" width="56" style="1922" customWidth="1"/>
    <col min="11578" max="11578" width="59" style="1922" customWidth="1"/>
    <col min="11579" max="11579" width="46" style="1922" customWidth="1"/>
    <col min="11580" max="11774" width="9.33203125" style="1922"/>
    <col min="11775" max="11775" width="193.33203125" style="1922" customWidth="1"/>
    <col min="11776" max="11776" width="47.1640625" style="1922" customWidth="1"/>
    <col min="11777" max="11777" width="47.33203125" style="1922" customWidth="1"/>
    <col min="11778" max="11778" width="47.1640625" style="1922" customWidth="1"/>
    <col min="11779" max="11779" width="43.6640625" style="1922" customWidth="1"/>
    <col min="11780" max="11781" width="47.33203125" style="1922" customWidth="1"/>
    <col min="11782" max="11782" width="47.1640625" style="1922" customWidth="1"/>
    <col min="11783" max="11783" width="43.6640625" style="1922" customWidth="1"/>
    <col min="11784" max="11785" width="47.33203125" style="1922" customWidth="1"/>
    <col min="11786" max="11786" width="47.1640625" style="1922" customWidth="1"/>
    <col min="11787" max="11787" width="43.6640625" style="1922" customWidth="1"/>
    <col min="11788" max="11789" width="45" style="1922" customWidth="1"/>
    <col min="11790" max="11790" width="44.83203125" style="1922" customWidth="1"/>
    <col min="11791" max="11791" width="45" style="1922" customWidth="1"/>
    <col min="11792" max="11793" width="47.33203125" style="1922" customWidth="1"/>
    <col min="11794" max="11794" width="47.1640625" style="1922" customWidth="1"/>
    <col min="11795" max="11795" width="43.6640625" style="1922" customWidth="1"/>
    <col min="11796" max="11796" width="193.33203125" style="1922" customWidth="1"/>
    <col min="11797" max="11799" width="47.33203125" style="1922" customWidth="1"/>
    <col min="11800" max="11800" width="43.6640625" style="1922" customWidth="1"/>
    <col min="11801" max="11803" width="47.33203125" style="1922" customWidth="1"/>
    <col min="11804" max="11804" width="44" style="1922" customWidth="1"/>
    <col min="11805" max="11807" width="47.33203125" style="1922" customWidth="1"/>
    <col min="11808" max="11808" width="43.6640625" style="1922" customWidth="1"/>
    <col min="11809" max="11811" width="47.33203125" style="1922" customWidth="1"/>
    <col min="11812" max="11812" width="43.6640625" style="1922" customWidth="1"/>
    <col min="11813" max="11815" width="47.33203125" style="1922" customWidth="1"/>
    <col min="11816" max="11816" width="43.6640625" style="1922" customWidth="1"/>
    <col min="11817" max="11817" width="193.33203125" style="1922" customWidth="1"/>
    <col min="11818" max="11833" width="56" style="1922" customWidth="1"/>
    <col min="11834" max="11834" width="59" style="1922" customWidth="1"/>
    <col min="11835" max="11835" width="46" style="1922" customWidth="1"/>
    <col min="11836" max="12030" width="9.33203125" style="1922"/>
    <col min="12031" max="12031" width="193.33203125" style="1922" customWidth="1"/>
    <col min="12032" max="12032" width="47.1640625" style="1922" customWidth="1"/>
    <col min="12033" max="12033" width="47.33203125" style="1922" customWidth="1"/>
    <col min="12034" max="12034" width="47.1640625" style="1922" customWidth="1"/>
    <col min="12035" max="12035" width="43.6640625" style="1922" customWidth="1"/>
    <col min="12036" max="12037" width="47.33203125" style="1922" customWidth="1"/>
    <col min="12038" max="12038" width="47.1640625" style="1922" customWidth="1"/>
    <col min="12039" max="12039" width="43.6640625" style="1922" customWidth="1"/>
    <col min="12040" max="12041" width="47.33203125" style="1922" customWidth="1"/>
    <col min="12042" max="12042" width="47.1640625" style="1922" customWidth="1"/>
    <col min="12043" max="12043" width="43.6640625" style="1922" customWidth="1"/>
    <col min="12044" max="12045" width="45" style="1922" customWidth="1"/>
    <col min="12046" max="12046" width="44.83203125" style="1922" customWidth="1"/>
    <col min="12047" max="12047" width="45" style="1922" customWidth="1"/>
    <col min="12048" max="12049" width="47.33203125" style="1922" customWidth="1"/>
    <col min="12050" max="12050" width="47.1640625" style="1922" customWidth="1"/>
    <col min="12051" max="12051" width="43.6640625" style="1922" customWidth="1"/>
    <col min="12052" max="12052" width="193.33203125" style="1922" customWidth="1"/>
    <col min="12053" max="12055" width="47.33203125" style="1922" customWidth="1"/>
    <col min="12056" max="12056" width="43.6640625" style="1922" customWidth="1"/>
    <col min="12057" max="12059" width="47.33203125" style="1922" customWidth="1"/>
    <col min="12060" max="12060" width="44" style="1922" customWidth="1"/>
    <col min="12061" max="12063" width="47.33203125" style="1922" customWidth="1"/>
    <col min="12064" max="12064" width="43.6640625" style="1922" customWidth="1"/>
    <col min="12065" max="12067" width="47.33203125" style="1922" customWidth="1"/>
    <col min="12068" max="12068" width="43.6640625" style="1922" customWidth="1"/>
    <col min="12069" max="12071" width="47.33203125" style="1922" customWidth="1"/>
    <col min="12072" max="12072" width="43.6640625" style="1922" customWidth="1"/>
    <col min="12073" max="12073" width="193.33203125" style="1922" customWidth="1"/>
    <col min="12074" max="12089" width="56" style="1922" customWidth="1"/>
    <col min="12090" max="12090" width="59" style="1922" customWidth="1"/>
    <col min="12091" max="12091" width="46" style="1922" customWidth="1"/>
    <col min="12092" max="12286" width="9.33203125" style="1922"/>
    <col min="12287" max="12287" width="193.33203125" style="1922" customWidth="1"/>
    <col min="12288" max="12288" width="47.1640625" style="1922" customWidth="1"/>
    <col min="12289" max="12289" width="47.33203125" style="1922" customWidth="1"/>
    <col min="12290" max="12290" width="47.1640625" style="1922" customWidth="1"/>
    <col min="12291" max="12291" width="43.6640625" style="1922" customWidth="1"/>
    <col min="12292" max="12293" width="47.33203125" style="1922" customWidth="1"/>
    <col min="12294" max="12294" width="47.1640625" style="1922" customWidth="1"/>
    <col min="12295" max="12295" width="43.6640625" style="1922" customWidth="1"/>
    <col min="12296" max="12297" width="47.33203125" style="1922" customWidth="1"/>
    <col min="12298" max="12298" width="47.1640625" style="1922" customWidth="1"/>
    <col min="12299" max="12299" width="43.6640625" style="1922" customWidth="1"/>
    <col min="12300" max="12301" width="45" style="1922" customWidth="1"/>
    <col min="12302" max="12302" width="44.83203125" style="1922" customWidth="1"/>
    <col min="12303" max="12303" width="45" style="1922" customWidth="1"/>
    <col min="12304" max="12305" width="47.33203125" style="1922" customWidth="1"/>
    <col min="12306" max="12306" width="47.1640625" style="1922" customWidth="1"/>
    <col min="12307" max="12307" width="43.6640625" style="1922" customWidth="1"/>
    <col min="12308" max="12308" width="193.33203125" style="1922" customWidth="1"/>
    <col min="12309" max="12311" width="47.33203125" style="1922" customWidth="1"/>
    <col min="12312" max="12312" width="43.6640625" style="1922" customWidth="1"/>
    <col min="12313" max="12315" width="47.33203125" style="1922" customWidth="1"/>
    <col min="12316" max="12316" width="44" style="1922" customWidth="1"/>
    <col min="12317" max="12319" width="47.33203125" style="1922" customWidth="1"/>
    <col min="12320" max="12320" width="43.6640625" style="1922" customWidth="1"/>
    <col min="12321" max="12323" width="47.33203125" style="1922" customWidth="1"/>
    <col min="12324" max="12324" width="43.6640625" style="1922" customWidth="1"/>
    <col min="12325" max="12327" width="47.33203125" style="1922" customWidth="1"/>
    <col min="12328" max="12328" width="43.6640625" style="1922" customWidth="1"/>
    <col min="12329" max="12329" width="193.33203125" style="1922" customWidth="1"/>
    <col min="12330" max="12345" width="56" style="1922" customWidth="1"/>
    <col min="12346" max="12346" width="59" style="1922" customWidth="1"/>
    <col min="12347" max="12347" width="46" style="1922" customWidth="1"/>
    <col min="12348" max="12542" width="9.33203125" style="1922"/>
    <col min="12543" max="12543" width="193.33203125" style="1922" customWidth="1"/>
    <col min="12544" max="12544" width="47.1640625" style="1922" customWidth="1"/>
    <col min="12545" max="12545" width="47.33203125" style="1922" customWidth="1"/>
    <col min="12546" max="12546" width="47.1640625" style="1922" customWidth="1"/>
    <col min="12547" max="12547" width="43.6640625" style="1922" customWidth="1"/>
    <col min="12548" max="12549" width="47.33203125" style="1922" customWidth="1"/>
    <col min="12550" max="12550" width="47.1640625" style="1922" customWidth="1"/>
    <col min="12551" max="12551" width="43.6640625" style="1922" customWidth="1"/>
    <col min="12552" max="12553" width="47.33203125" style="1922" customWidth="1"/>
    <col min="12554" max="12554" width="47.1640625" style="1922" customWidth="1"/>
    <col min="12555" max="12555" width="43.6640625" style="1922" customWidth="1"/>
    <col min="12556" max="12557" width="45" style="1922" customWidth="1"/>
    <col min="12558" max="12558" width="44.83203125" style="1922" customWidth="1"/>
    <col min="12559" max="12559" width="45" style="1922" customWidth="1"/>
    <col min="12560" max="12561" width="47.33203125" style="1922" customWidth="1"/>
    <col min="12562" max="12562" width="47.1640625" style="1922" customWidth="1"/>
    <col min="12563" max="12563" width="43.6640625" style="1922" customWidth="1"/>
    <col min="12564" max="12564" width="193.33203125" style="1922" customWidth="1"/>
    <col min="12565" max="12567" width="47.33203125" style="1922" customWidth="1"/>
    <col min="12568" max="12568" width="43.6640625" style="1922" customWidth="1"/>
    <col min="12569" max="12571" width="47.33203125" style="1922" customWidth="1"/>
    <col min="12572" max="12572" width="44" style="1922" customWidth="1"/>
    <col min="12573" max="12575" width="47.33203125" style="1922" customWidth="1"/>
    <col min="12576" max="12576" width="43.6640625" style="1922" customWidth="1"/>
    <col min="12577" max="12579" width="47.33203125" style="1922" customWidth="1"/>
    <col min="12580" max="12580" width="43.6640625" style="1922" customWidth="1"/>
    <col min="12581" max="12583" width="47.33203125" style="1922" customWidth="1"/>
    <col min="12584" max="12584" width="43.6640625" style="1922" customWidth="1"/>
    <col min="12585" max="12585" width="193.33203125" style="1922" customWidth="1"/>
    <col min="12586" max="12601" width="56" style="1922" customWidth="1"/>
    <col min="12602" max="12602" width="59" style="1922" customWidth="1"/>
    <col min="12603" max="12603" width="46" style="1922" customWidth="1"/>
    <col min="12604" max="12798" width="9.33203125" style="1922"/>
    <col min="12799" max="12799" width="193.33203125" style="1922" customWidth="1"/>
    <col min="12800" max="12800" width="47.1640625" style="1922" customWidth="1"/>
    <col min="12801" max="12801" width="47.33203125" style="1922" customWidth="1"/>
    <col min="12802" max="12802" width="47.1640625" style="1922" customWidth="1"/>
    <col min="12803" max="12803" width="43.6640625" style="1922" customWidth="1"/>
    <col min="12804" max="12805" width="47.33203125" style="1922" customWidth="1"/>
    <col min="12806" max="12806" width="47.1640625" style="1922" customWidth="1"/>
    <col min="12807" max="12807" width="43.6640625" style="1922" customWidth="1"/>
    <col min="12808" max="12809" width="47.33203125" style="1922" customWidth="1"/>
    <col min="12810" max="12810" width="47.1640625" style="1922" customWidth="1"/>
    <col min="12811" max="12811" width="43.6640625" style="1922" customWidth="1"/>
    <col min="12812" max="12813" width="45" style="1922" customWidth="1"/>
    <col min="12814" max="12814" width="44.83203125" style="1922" customWidth="1"/>
    <col min="12815" max="12815" width="45" style="1922" customWidth="1"/>
    <col min="12816" max="12817" width="47.33203125" style="1922" customWidth="1"/>
    <col min="12818" max="12818" width="47.1640625" style="1922" customWidth="1"/>
    <col min="12819" max="12819" width="43.6640625" style="1922" customWidth="1"/>
    <col min="12820" max="12820" width="193.33203125" style="1922" customWidth="1"/>
    <col min="12821" max="12823" width="47.33203125" style="1922" customWidth="1"/>
    <col min="12824" max="12824" width="43.6640625" style="1922" customWidth="1"/>
    <col min="12825" max="12827" width="47.33203125" style="1922" customWidth="1"/>
    <col min="12828" max="12828" width="44" style="1922" customWidth="1"/>
    <col min="12829" max="12831" width="47.33203125" style="1922" customWidth="1"/>
    <col min="12832" max="12832" width="43.6640625" style="1922" customWidth="1"/>
    <col min="12833" max="12835" width="47.33203125" style="1922" customWidth="1"/>
    <col min="12836" max="12836" width="43.6640625" style="1922" customWidth="1"/>
    <col min="12837" max="12839" width="47.33203125" style="1922" customWidth="1"/>
    <col min="12840" max="12840" width="43.6640625" style="1922" customWidth="1"/>
    <col min="12841" max="12841" width="193.33203125" style="1922" customWidth="1"/>
    <col min="12842" max="12857" width="56" style="1922" customWidth="1"/>
    <col min="12858" max="12858" width="59" style="1922" customWidth="1"/>
    <col min="12859" max="12859" width="46" style="1922" customWidth="1"/>
    <col min="12860" max="13054" width="9.33203125" style="1922"/>
    <col min="13055" max="13055" width="193.33203125" style="1922" customWidth="1"/>
    <col min="13056" max="13056" width="47.1640625" style="1922" customWidth="1"/>
    <col min="13057" max="13057" width="47.33203125" style="1922" customWidth="1"/>
    <col min="13058" max="13058" width="47.1640625" style="1922" customWidth="1"/>
    <col min="13059" max="13059" width="43.6640625" style="1922" customWidth="1"/>
    <col min="13060" max="13061" width="47.33203125" style="1922" customWidth="1"/>
    <col min="13062" max="13062" width="47.1640625" style="1922" customWidth="1"/>
    <col min="13063" max="13063" width="43.6640625" style="1922" customWidth="1"/>
    <col min="13064" max="13065" width="47.33203125" style="1922" customWidth="1"/>
    <col min="13066" max="13066" width="47.1640625" style="1922" customWidth="1"/>
    <col min="13067" max="13067" width="43.6640625" style="1922" customWidth="1"/>
    <col min="13068" max="13069" width="45" style="1922" customWidth="1"/>
    <col min="13070" max="13070" width="44.83203125" style="1922" customWidth="1"/>
    <col min="13071" max="13071" width="45" style="1922" customWidth="1"/>
    <col min="13072" max="13073" width="47.33203125" style="1922" customWidth="1"/>
    <col min="13074" max="13074" width="47.1640625" style="1922" customWidth="1"/>
    <col min="13075" max="13075" width="43.6640625" style="1922" customWidth="1"/>
    <col min="13076" max="13076" width="193.33203125" style="1922" customWidth="1"/>
    <col min="13077" max="13079" width="47.33203125" style="1922" customWidth="1"/>
    <col min="13080" max="13080" width="43.6640625" style="1922" customWidth="1"/>
    <col min="13081" max="13083" width="47.33203125" style="1922" customWidth="1"/>
    <col min="13084" max="13084" width="44" style="1922" customWidth="1"/>
    <col min="13085" max="13087" width="47.33203125" style="1922" customWidth="1"/>
    <col min="13088" max="13088" width="43.6640625" style="1922" customWidth="1"/>
    <col min="13089" max="13091" width="47.33203125" style="1922" customWidth="1"/>
    <col min="13092" max="13092" width="43.6640625" style="1922" customWidth="1"/>
    <col min="13093" max="13095" width="47.33203125" style="1922" customWidth="1"/>
    <col min="13096" max="13096" width="43.6640625" style="1922" customWidth="1"/>
    <col min="13097" max="13097" width="193.33203125" style="1922" customWidth="1"/>
    <col min="13098" max="13113" width="56" style="1922" customWidth="1"/>
    <col min="13114" max="13114" width="59" style="1922" customWidth="1"/>
    <col min="13115" max="13115" width="46" style="1922" customWidth="1"/>
    <col min="13116" max="13310" width="9.33203125" style="1922"/>
    <col min="13311" max="13311" width="193.33203125" style="1922" customWidth="1"/>
    <col min="13312" max="13312" width="47.1640625" style="1922" customWidth="1"/>
    <col min="13313" max="13313" width="47.33203125" style="1922" customWidth="1"/>
    <col min="13314" max="13314" width="47.1640625" style="1922" customWidth="1"/>
    <col min="13315" max="13315" width="43.6640625" style="1922" customWidth="1"/>
    <col min="13316" max="13317" width="47.33203125" style="1922" customWidth="1"/>
    <col min="13318" max="13318" width="47.1640625" style="1922" customWidth="1"/>
    <col min="13319" max="13319" width="43.6640625" style="1922" customWidth="1"/>
    <col min="13320" max="13321" width="47.33203125" style="1922" customWidth="1"/>
    <col min="13322" max="13322" width="47.1640625" style="1922" customWidth="1"/>
    <col min="13323" max="13323" width="43.6640625" style="1922" customWidth="1"/>
    <col min="13324" max="13325" width="45" style="1922" customWidth="1"/>
    <col min="13326" max="13326" width="44.83203125" style="1922" customWidth="1"/>
    <col min="13327" max="13327" width="45" style="1922" customWidth="1"/>
    <col min="13328" max="13329" width="47.33203125" style="1922" customWidth="1"/>
    <col min="13330" max="13330" width="47.1640625" style="1922" customWidth="1"/>
    <col min="13331" max="13331" width="43.6640625" style="1922" customWidth="1"/>
    <col min="13332" max="13332" width="193.33203125" style="1922" customWidth="1"/>
    <col min="13333" max="13335" width="47.33203125" style="1922" customWidth="1"/>
    <col min="13336" max="13336" width="43.6640625" style="1922" customWidth="1"/>
    <col min="13337" max="13339" width="47.33203125" style="1922" customWidth="1"/>
    <col min="13340" max="13340" width="44" style="1922" customWidth="1"/>
    <col min="13341" max="13343" width="47.33203125" style="1922" customWidth="1"/>
    <col min="13344" max="13344" width="43.6640625" style="1922" customWidth="1"/>
    <col min="13345" max="13347" width="47.33203125" style="1922" customWidth="1"/>
    <col min="13348" max="13348" width="43.6640625" style="1922" customWidth="1"/>
    <col min="13349" max="13351" width="47.33203125" style="1922" customWidth="1"/>
    <col min="13352" max="13352" width="43.6640625" style="1922" customWidth="1"/>
    <col min="13353" max="13353" width="193.33203125" style="1922" customWidth="1"/>
    <col min="13354" max="13369" width="56" style="1922" customWidth="1"/>
    <col min="13370" max="13370" width="59" style="1922" customWidth="1"/>
    <col min="13371" max="13371" width="46" style="1922" customWidth="1"/>
    <col min="13372" max="13566" width="9.33203125" style="1922"/>
    <col min="13567" max="13567" width="193.33203125" style="1922" customWidth="1"/>
    <col min="13568" max="13568" width="47.1640625" style="1922" customWidth="1"/>
    <col min="13569" max="13569" width="47.33203125" style="1922" customWidth="1"/>
    <col min="13570" max="13570" width="47.1640625" style="1922" customWidth="1"/>
    <col min="13571" max="13571" width="43.6640625" style="1922" customWidth="1"/>
    <col min="13572" max="13573" width="47.33203125" style="1922" customWidth="1"/>
    <col min="13574" max="13574" width="47.1640625" style="1922" customWidth="1"/>
    <col min="13575" max="13575" width="43.6640625" style="1922" customWidth="1"/>
    <col min="13576" max="13577" width="47.33203125" style="1922" customWidth="1"/>
    <col min="13578" max="13578" width="47.1640625" style="1922" customWidth="1"/>
    <col min="13579" max="13579" width="43.6640625" style="1922" customWidth="1"/>
    <col min="13580" max="13581" width="45" style="1922" customWidth="1"/>
    <col min="13582" max="13582" width="44.83203125" style="1922" customWidth="1"/>
    <col min="13583" max="13583" width="45" style="1922" customWidth="1"/>
    <col min="13584" max="13585" width="47.33203125" style="1922" customWidth="1"/>
    <col min="13586" max="13586" width="47.1640625" style="1922" customWidth="1"/>
    <col min="13587" max="13587" width="43.6640625" style="1922" customWidth="1"/>
    <col min="13588" max="13588" width="193.33203125" style="1922" customWidth="1"/>
    <col min="13589" max="13591" width="47.33203125" style="1922" customWidth="1"/>
    <col min="13592" max="13592" width="43.6640625" style="1922" customWidth="1"/>
    <col min="13593" max="13595" width="47.33203125" style="1922" customWidth="1"/>
    <col min="13596" max="13596" width="44" style="1922" customWidth="1"/>
    <col min="13597" max="13599" width="47.33203125" style="1922" customWidth="1"/>
    <col min="13600" max="13600" width="43.6640625" style="1922" customWidth="1"/>
    <col min="13601" max="13603" width="47.33203125" style="1922" customWidth="1"/>
    <col min="13604" max="13604" width="43.6640625" style="1922" customWidth="1"/>
    <col min="13605" max="13607" width="47.33203125" style="1922" customWidth="1"/>
    <col min="13608" max="13608" width="43.6640625" style="1922" customWidth="1"/>
    <col min="13609" max="13609" width="193.33203125" style="1922" customWidth="1"/>
    <col min="13610" max="13625" width="56" style="1922" customWidth="1"/>
    <col min="13626" max="13626" width="59" style="1922" customWidth="1"/>
    <col min="13627" max="13627" width="46" style="1922" customWidth="1"/>
    <col min="13628" max="13822" width="9.33203125" style="1922"/>
    <col min="13823" max="13823" width="193.33203125" style="1922" customWidth="1"/>
    <col min="13824" max="13824" width="47.1640625" style="1922" customWidth="1"/>
    <col min="13825" max="13825" width="47.33203125" style="1922" customWidth="1"/>
    <col min="13826" max="13826" width="47.1640625" style="1922" customWidth="1"/>
    <col min="13827" max="13827" width="43.6640625" style="1922" customWidth="1"/>
    <col min="13828" max="13829" width="47.33203125" style="1922" customWidth="1"/>
    <col min="13830" max="13830" width="47.1640625" style="1922" customWidth="1"/>
    <col min="13831" max="13831" width="43.6640625" style="1922" customWidth="1"/>
    <col min="13832" max="13833" width="47.33203125" style="1922" customWidth="1"/>
    <col min="13834" max="13834" width="47.1640625" style="1922" customWidth="1"/>
    <col min="13835" max="13835" width="43.6640625" style="1922" customWidth="1"/>
    <col min="13836" max="13837" width="45" style="1922" customWidth="1"/>
    <col min="13838" max="13838" width="44.83203125" style="1922" customWidth="1"/>
    <col min="13839" max="13839" width="45" style="1922" customWidth="1"/>
    <col min="13840" max="13841" width="47.33203125" style="1922" customWidth="1"/>
    <col min="13842" max="13842" width="47.1640625" style="1922" customWidth="1"/>
    <col min="13843" max="13843" width="43.6640625" style="1922" customWidth="1"/>
    <col min="13844" max="13844" width="193.33203125" style="1922" customWidth="1"/>
    <col min="13845" max="13847" width="47.33203125" style="1922" customWidth="1"/>
    <col min="13848" max="13848" width="43.6640625" style="1922" customWidth="1"/>
    <col min="13849" max="13851" width="47.33203125" style="1922" customWidth="1"/>
    <col min="13852" max="13852" width="44" style="1922" customWidth="1"/>
    <col min="13853" max="13855" width="47.33203125" style="1922" customWidth="1"/>
    <col min="13856" max="13856" width="43.6640625" style="1922" customWidth="1"/>
    <col min="13857" max="13859" width="47.33203125" style="1922" customWidth="1"/>
    <col min="13860" max="13860" width="43.6640625" style="1922" customWidth="1"/>
    <col min="13861" max="13863" width="47.33203125" style="1922" customWidth="1"/>
    <col min="13864" max="13864" width="43.6640625" style="1922" customWidth="1"/>
    <col min="13865" max="13865" width="193.33203125" style="1922" customWidth="1"/>
    <col min="13866" max="13881" width="56" style="1922" customWidth="1"/>
    <col min="13882" max="13882" width="59" style="1922" customWidth="1"/>
    <col min="13883" max="13883" width="46" style="1922" customWidth="1"/>
    <col min="13884" max="14078" width="9.33203125" style="1922"/>
    <col min="14079" max="14079" width="193.33203125" style="1922" customWidth="1"/>
    <col min="14080" max="14080" width="47.1640625" style="1922" customWidth="1"/>
    <col min="14081" max="14081" width="47.33203125" style="1922" customWidth="1"/>
    <col min="14082" max="14082" width="47.1640625" style="1922" customWidth="1"/>
    <col min="14083" max="14083" width="43.6640625" style="1922" customWidth="1"/>
    <col min="14084" max="14085" width="47.33203125" style="1922" customWidth="1"/>
    <col min="14086" max="14086" width="47.1640625" style="1922" customWidth="1"/>
    <col min="14087" max="14087" width="43.6640625" style="1922" customWidth="1"/>
    <col min="14088" max="14089" width="47.33203125" style="1922" customWidth="1"/>
    <col min="14090" max="14090" width="47.1640625" style="1922" customWidth="1"/>
    <col min="14091" max="14091" width="43.6640625" style="1922" customWidth="1"/>
    <col min="14092" max="14093" width="45" style="1922" customWidth="1"/>
    <col min="14094" max="14094" width="44.83203125" style="1922" customWidth="1"/>
    <col min="14095" max="14095" width="45" style="1922" customWidth="1"/>
    <col min="14096" max="14097" width="47.33203125" style="1922" customWidth="1"/>
    <col min="14098" max="14098" width="47.1640625" style="1922" customWidth="1"/>
    <col min="14099" max="14099" width="43.6640625" style="1922" customWidth="1"/>
    <col min="14100" max="14100" width="193.33203125" style="1922" customWidth="1"/>
    <col min="14101" max="14103" width="47.33203125" style="1922" customWidth="1"/>
    <col min="14104" max="14104" width="43.6640625" style="1922" customWidth="1"/>
    <col min="14105" max="14107" width="47.33203125" style="1922" customWidth="1"/>
    <col min="14108" max="14108" width="44" style="1922" customWidth="1"/>
    <col min="14109" max="14111" width="47.33203125" style="1922" customWidth="1"/>
    <col min="14112" max="14112" width="43.6640625" style="1922" customWidth="1"/>
    <col min="14113" max="14115" width="47.33203125" style="1922" customWidth="1"/>
    <col min="14116" max="14116" width="43.6640625" style="1922" customWidth="1"/>
    <col min="14117" max="14119" width="47.33203125" style="1922" customWidth="1"/>
    <col min="14120" max="14120" width="43.6640625" style="1922" customWidth="1"/>
    <col min="14121" max="14121" width="193.33203125" style="1922" customWidth="1"/>
    <col min="14122" max="14137" width="56" style="1922" customWidth="1"/>
    <col min="14138" max="14138" width="59" style="1922" customWidth="1"/>
    <col min="14139" max="14139" width="46" style="1922" customWidth="1"/>
    <col min="14140" max="14334" width="9.33203125" style="1922"/>
    <col min="14335" max="14335" width="193.33203125" style="1922" customWidth="1"/>
    <col min="14336" max="14336" width="47.1640625" style="1922" customWidth="1"/>
    <col min="14337" max="14337" width="47.33203125" style="1922" customWidth="1"/>
    <col min="14338" max="14338" width="47.1640625" style="1922" customWidth="1"/>
    <col min="14339" max="14339" width="43.6640625" style="1922" customWidth="1"/>
    <col min="14340" max="14341" width="47.33203125" style="1922" customWidth="1"/>
    <col min="14342" max="14342" width="47.1640625" style="1922" customWidth="1"/>
    <col min="14343" max="14343" width="43.6640625" style="1922" customWidth="1"/>
    <col min="14344" max="14345" width="47.33203125" style="1922" customWidth="1"/>
    <col min="14346" max="14346" width="47.1640625" style="1922" customWidth="1"/>
    <col min="14347" max="14347" width="43.6640625" style="1922" customWidth="1"/>
    <col min="14348" max="14349" width="45" style="1922" customWidth="1"/>
    <col min="14350" max="14350" width="44.83203125" style="1922" customWidth="1"/>
    <col min="14351" max="14351" width="45" style="1922" customWidth="1"/>
    <col min="14352" max="14353" width="47.33203125" style="1922" customWidth="1"/>
    <col min="14354" max="14354" width="47.1640625" style="1922" customWidth="1"/>
    <col min="14355" max="14355" width="43.6640625" style="1922" customWidth="1"/>
    <col min="14356" max="14356" width="193.33203125" style="1922" customWidth="1"/>
    <col min="14357" max="14359" width="47.33203125" style="1922" customWidth="1"/>
    <col min="14360" max="14360" width="43.6640625" style="1922" customWidth="1"/>
    <col min="14361" max="14363" width="47.33203125" style="1922" customWidth="1"/>
    <col min="14364" max="14364" width="44" style="1922" customWidth="1"/>
    <col min="14365" max="14367" width="47.33203125" style="1922" customWidth="1"/>
    <col min="14368" max="14368" width="43.6640625" style="1922" customWidth="1"/>
    <col min="14369" max="14371" width="47.33203125" style="1922" customWidth="1"/>
    <col min="14372" max="14372" width="43.6640625" style="1922" customWidth="1"/>
    <col min="14373" max="14375" width="47.33203125" style="1922" customWidth="1"/>
    <col min="14376" max="14376" width="43.6640625" style="1922" customWidth="1"/>
    <col min="14377" max="14377" width="193.33203125" style="1922" customWidth="1"/>
    <col min="14378" max="14393" width="56" style="1922" customWidth="1"/>
    <col min="14394" max="14394" width="59" style="1922" customWidth="1"/>
    <col min="14395" max="14395" width="46" style="1922" customWidth="1"/>
    <col min="14396" max="14590" width="9.33203125" style="1922"/>
    <col min="14591" max="14591" width="193.33203125" style="1922" customWidth="1"/>
    <col min="14592" max="14592" width="47.1640625" style="1922" customWidth="1"/>
    <col min="14593" max="14593" width="47.33203125" style="1922" customWidth="1"/>
    <col min="14594" max="14594" width="47.1640625" style="1922" customWidth="1"/>
    <col min="14595" max="14595" width="43.6640625" style="1922" customWidth="1"/>
    <col min="14596" max="14597" width="47.33203125" style="1922" customWidth="1"/>
    <col min="14598" max="14598" width="47.1640625" style="1922" customWidth="1"/>
    <col min="14599" max="14599" width="43.6640625" style="1922" customWidth="1"/>
    <col min="14600" max="14601" width="47.33203125" style="1922" customWidth="1"/>
    <col min="14602" max="14602" width="47.1640625" style="1922" customWidth="1"/>
    <col min="14603" max="14603" width="43.6640625" style="1922" customWidth="1"/>
    <col min="14604" max="14605" width="45" style="1922" customWidth="1"/>
    <col min="14606" max="14606" width="44.83203125" style="1922" customWidth="1"/>
    <col min="14607" max="14607" width="45" style="1922" customWidth="1"/>
    <col min="14608" max="14609" width="47.33203125" style="1922" customWidth="1"/>
    <col min="14610" max="14610" width="47.1640625" style="1922" customWidth="1"/>
    <col min="14611" max="14611" width="43.6640625" style="1922" customWidth="1"/>
    <col min="14612" max="14612" width="193.33203125" style="1922" customWidth="1"/>
    <col min="14613" max="14615" width="47.33203125" style="1922" customWidth="1"/>
    <col min="14616" max="14616" width="43.6640625" style="1922" customWidth="1"/>
    <col min="14617" max="14619" width="47.33203125" style="1922" customWidth="1"/>
    <col min="14620" max="14620" width="44" style="1922" customWidth="1"/>
    <col min="14621" max="14623" width="47.33203125" style="1922" customWidth="1"/>
    <col min="14624" max="14624" width="43.6640625" style="1922" customWidth="1"/>
    <col min="14625" max="14627" width="47.33203125" style="1922" customWidth="1"/>
    <col min="14628" max="14628" width="43.6640625" style="1922" customWidth="1"/>
    <col min="14629" max="14631" width="47.33203125" style="1922" customWidth="1"/>
    <col min="14632" max="14632" width="43.6640625" style="1922" customWidth="1"/>
    <col min="14633" max="14633" width="193.33203125" style="1922" customWidth="1"/>
    <col min="14634" max="14649" width="56" style="1922" customWidth="1"/>
    <col min="14650" max="14650" width="59" style="1922" customWidth="1"/>
    <col min="14651" max="14651" width="46" style="1922" customWidth="1"/>
    <col min="14652" max="14846" width="9.33203125" style="1922"/>
    <col min="14847" max="14847" width="193.33203125" style="1922" customWidth="1"/>
    <col min="14848" max="14848" width="47.1640625" style="1922" customWidth="1"/>
    <col min="14849" max="14849" width="47.33203125" style="1922" customWidth="1"/>
    <col min="14850" max="14850" width="47.1640625" style="1922" customWidth="1"/>
    <col min="14851" max="14851" width="43.6640625" style="1922" customWidth="1"/>
    <col min="14852" max="14853" width="47.33203125" style="1922" customWidth="1"/>
    <col min="14854" max="14854" width="47.1640625" style="1922" customWidth="1"/>
    <col min="14855" max="14855" width="43.6640625" style="1922" customWidth="1"/>
    <col min="14856" max="14857" width="47.33203125" style="1922" customWidth="1"/>
    <col min="14858" max="14858" width="47.1640625" style="1922" customWidth="1"/>
    <col min="14859" max="14859" width="43.6640625" style="1922" customWidth="1"/>
    <col min="14860" max="14861" width="45" style="1922" customWidth="1"/>
    <col min="14862" max="14862" width="44.83203125" style="1922" customWidth="1"/>
    <col min="14863" max="14863" width="45" style="1922" customWidth="1"/>
    <col min="14864" max="14865" width="47.33203125" style="1922" customWidth="1"/>
    <col min="14866" max="14866" width="47.1640625" style="1922" customWidth="1"/>
    <col min="14867" max="14867" width="43.6640625" style="1922" customWidth="1"/>
    <col min="14868" max="14868" width="193.33203125" style="1922" customWidth="1"/>
    <col min="14869" max="14871" width="47.33203125" style="1922" customWidth="1"/>
    <col min="14872" max="14872" width="43.6640625" style="1922" customWidth="1"/>
    <col min="14873" max="14875" width="47.33203125" style="1922" customWidth="1"/>
    <col min="14876" max="14876" width="44" style="1922" customWidth="1"/>
    <col min="14877" max="14879" width="47.33203125" style="1922" customWidth="1"/>
    <col min="14880" max="14880" width="43.6640625" style="1922" customWidth="1"/>
    <col min="14881" max="14883" width="47.33203125" style="1922" customWidth="1"/>
    <col min="14884" max="14884" width="43.6640625" style="1922" customWidth="1"/>
    <col min="14885" max="14887" width="47.33203125" style="1922" customWidth="1"/>
    <col min="14888" max="14888" width="43.6640625" style="1922" customWidth="1"/>
    <col min="14889" max="14889" width="193.33203125" style="1922" customWidth="1"/>
    <col min="14890" max="14905" width="56" style="1922" customWidth="1"/>
    <col min="14906" max="14906" width="59" style="1922" customWidth="1"/>
    <col min="14907" max="14907" width="46" style="1922" customWidth="1"/>
    <col min="14908" max="15102" width="9.33203125" style="1922"/>
    <col min="15103" max="15103" width="193.33203125" style="1922" customWidth="1"/>
    <col min="15104" max="15104" width="47.1640625" style="1922" customWidth="1"/>
    <col min="15105" max="15105" width="47.33203125" style="1922" customWidth="1"/>
    <col min="15106" max="15106" width="47.1640625" style="1922" customWidth="1"/>
    <col min="15107" max="15107" width="43.6640625" style="1922" customWidth="1"/>
    <col min="15108" max="15109" width="47.33203125" style="1922" customWidth="1"/>
    <col min="15110" max="15110" width="47.1640625" style="1922" customWidth="1"/>
    <col min="15111" max="15111" width="43.6640625" style="1922" customWidth="1"/>
    <col min="15112" max="15113" width="47.33203125" style="1922" customWidth="1"/>
    <col min="15114" max="15114" width="47.1640625" style="1922" customWidth="1"/>
    <col min="15115" max="15115" width="43.6640625" style="1922" customWidth="1"/>
    <col min="15116" max="15117" width="45" style="1922" customWidth="1"/>
    <col min="15118" max="15118" width="44.83203125" style="1922" customWidth="1"/>
    <col min="15119" max="15119" width="45" style="1922" customWidth="1"/>
    <col min="15120" max="15121" width="47.33203125" style="1922" customWidth="1"/>
    <col min="15122" max="15122" width="47.1640625" style="1922" customWidth="1"/>
    <col min="15123" max="15123" width="43.6640625" style="1922" customWidth="1"/>
    <col min="15124" max="15124" width="193.33203125" style="1922" customWidth="1"/>
    <col min="15125" max="15127" width="47.33203125" style="1922" customWidth="1"/>
    <col min="15128" max="15128" width="43.6640625" style="1922" customWidth="1"/>
    <col min="15129" max="15131" width="47.33203125" style="1922" customWidth="1"/>
    <col min="15132" max="15132" width="44" style="1922" customWidth="1"/>
    <col min="15133" max="15135" width="47.33203125" style="1922" customWidth="1"/>
    <col min="15136" max="15136" width="43.6640625" style="1922" customWidth="1"/>
    <col min="15137" max="15139" width="47.33203125" style="1922" customWidth="1"/>
    <col min="15140" max="15140" width="43.6640625" style="1922" customWidth="1"/>
    <col min="15141" max="15143" width="47.33203125" style="1922" customWidth="1"/>
    <col min="15144" max="15144" width="43.6640625" style="1922" customWidth="1"/>
    <col min="15145" max="15145" width="193.33203125" style="1922" customWidth="1"/>
    <col min="15146" max="15161" width="56" style="1922" customWidth="1"/>
    <col min="15162" max="15162" width="59" style="1922" customWidth="1"/>
    <col min="15163" max="15163" width="46" style="1922" customWidth="1"/>
    <col min="15164" max="15358" width="9.33203125" style="1922"/>
    <col min="15359" max="15359" width="193.33203125" style="1922" customWidth="1"/>
    <col min="15360" max="15360" width="47.1640625" style="1922" customWidth="1"/>
    <col min="15361" max="15361" width="47.33203125" style="1922" customWidth="1"/>
    <col min="15362" max="15362" width="47.1640625" style="1922" customWidth="1"/>
    <col min="15363" max="15363" width="43.6640625" style="1922" customWidth="1"/>
    <col min="15364" max="15365" width="47.33203125" style="1922" customWidth="1"/>
    <col min="15366" max="15366" width="47.1640625" style="1922" customWidth="1"/>
    <col min="15367" max="15367" width="43.6640625" style="1922" customWidth="1"/>
    <col min="15368" max="15369" width="47.33203125" style="1922" customWidth="1"/>
    <col min="15370" max="15370" width="47.1640625" style="1922" customWidth="1"/>
    <col min="15371" max="15371" width="43.6640625" style="1922" customWidth="1"/>
    <col min="15372" max="15373" width="45" style="1922" customWidth="1"/>
    <col min="15374" max="15374" width="44.83203125" style="1922" customWidth="1"/>
    <col min="15375" max="15375" width="45" style="1922" customWidth="1"/>
    <col min="15376" max="15377" width="47.33203125" style="1922" customWidth="1"/>
    <col min="15378" max="15378" width="47.1640625" style="1922" customWidth="1"/>
    <col min="15379" max="15379" width="43.6640625" style="1922" customWidth="1"/>
    <col min="15380" max="15380" width="193.33203125" style="1922" customWidth="1"/>
    <col min="15381" max="15383" width="47.33203125" style="1922" customWidth="1"/>
    <col min="15384" max="15384" width="43.6640625" style="1922" customWidth="1"/>
    <col min="15385" max="15387" width="47.33203125" style="1922" customWidth="1"/>
    <col min="15388" max="15388" width="44" style="1922" customWidth="1"/>
    <col min="15389" max="15391" width="47.33203125" style="1922" customWidth="1"/>
    <col min="15392" max="15392" width="43.6640625" style="1922" customWidth="1"/>
    <col min="15393" max="15395" width="47.33203125" style="1922" customWidth="1"/>
    <col min="15396" max="15396" width="43.6640625" style="1922" customWidth="1"/>
    <col min="15397" max="15399" width="47.33203125" style="1922" customWidth="1"/>
    <col min="15400" max="15400" width="43.6640625" style="1922" customWidth="1"/>
    <col min="15401" max="15401" width="193.33203125" style="1922" customWidth="1"/>
    <col min="15402" max="15417" width="56" style="1922" customWidth="1"/>
    <col min="15418" max="15418" width="59" style="1922" customWidth="1"/>
    <col min="15419" max="15419" width="46" style="1922" customWidth="1"/>
    <col min="15420" max="15614" width="9.33203125" style="1922"/>
    <col min="15615" max="15615" width="193.33203125" style="1922" customWidth="1"/>
    <col min="15616" max="15616" width="47.1640625" style="1922" customWidth="1"/>
    <col min="15617" max="15617" width="47.33203125" style="1922" customWidth="1"/>
    <col min="15618" max="15618" width="47.1640625" style="1922" customWidth="1"/>
    <col min="15619" max="15619" width="43.6640625" style="1922" customWidth="1"/>
    <col min="15620" max="15621" width="47.33203125" style="1922" customWidth="1"/>
    <col min="15622" max="15622" width="47.1640625" style="1922" customWidth="1"/>
    <col min="15623" max="15623" width="43.6640625" style="1922" customWidth="1"/>
    <col min="15624" max="15625" width="47.33203125" style="1922" customWidth="1"/>
    <col min="15626" max="15626" width="47.1640625" style="1922" customWidth="1"/>
    <col min="15627" max="15627" width="43.6640625" style="1922" customWidth="1"/>
    <col min="15628" max="15629" width="45" style="1922" customWidth="1"/>
    <col min="15630" max="15630" width="44.83203125" style="1922" customWidth="1"/>
    <col min="15631" max="15631" width="45" style="1922" customWidth="1"/>
    <col min="15632" max="15633" width="47.33203125" style="1922" customWidth="1"/>
    <col min="15634" max="15634" width="47.1640625" style="1922" customWidth="1"/>
    <col min="15635" max="15635" width="43.6640625" style="1922" customWidth="1"/>
    <col min="15636" max="15636" width="193.33203125" style="1922" customWidth="1"/>
    <col min="15637" max="15639" width="47.33203125" style="1922" customWidth="1"/>
    <col min="15640" max="15640" width="43.6640625" style="1922" customWidth="1"/>
    <col min="15641" max="15643" width="47.33203125" style="1922" customWidth="1"/>
    <col min="15644" max="15644" width="44" style="1922" customWidth="1"/>
    <col min="15645" max="15647" width="47.33203125" style="1922" customWidth="1"/>
    <col min="15648" max="15648" width="43.6640625" style="1922" customWidth="1"/>
    <col min="15649" max="15651" width="47.33203125" style="1922" customWidth="1"/>
    <col min="15652" max="15652" width="43.6640625" style="1922" customWidth="1"/>
    <col min="15653" max="15655" width="47.33203125" style="1922" customWidth="1"/>
    <col min="15656" max="15656" width="43.6640625" style="1922" customWidth="1"/>
    <col min="15657" max="15657" width="193.33203125" style="1922" customWidth="1"/>
    <col min="15658" max="15673" width="56" style="1922" customWidth="1"/>
    <col min="15674" max="15674" width="59" style="1922" customWidth="1"/>
    <col min="15675" max="15675" width="46" style="1922" customWidth="1"/>
    <col min="15676" max="15870" width="9.33203125" style="1922"/>
    <col min="15871" max="15871" width="193.33203125" style="1922" customWidth="1"/>
    <col min="15872" max="15872" width="47.1640625" style="1922" customWidth="1"/>
    <col min="15873" max="15873" width="47.33203125" style="1922" customWidth="1"/>
    <col min="15874" max="15874" width="47.1640625" style="1922" customWidth="1"/>
    <col min="15875" max="15875" width="43.6640625" style="1922" customWidth="1"/>
    <col min="15876" max="15877" width="47.33203125" style="1922" customWidth="1"/>
    <col min="15878" max="15878" width="47.1640625" style="1922" customWidth="1"/>
    <col min="15879" max="15879" width="43.6640625" style="1922" customWidth="1"/>
    <col min="15880" max="15881" width="47.33203125" style="1922" customWidth="1"/>
    <col min="15882" max="15882" width="47.1640625" style="1922" customWidth="1"/>
    <col min="15883" max="15883" width="43.6640625" style="1922" customWidth="1"/>
    <col min="15884" max="15885" width="45" style="1922" customWidth="1"/>
    <col min="15886" max="15886" width="44.83203125" style="1922" customWidth="1"/>
    <col min="15887" max="15887" width="45" style="1922" customWidth="1"/>
    <col min="15888" max="15889" width="47.33203125" style="1922" customWidth="1"/>
    <col min="15890" max="15890" width="47.1640625" style="1922" customWidth="1"/>
    <col min="15891" max="15891" width="43.6640625" style="1922" customWidth="1"/>
    <col min="15892" max="15892" width="193.33203125" style="1922" customWidth="1"/>
    <col min="15893" max="15895" width="47.33203125" style="1922" customWidth="1"/>
    <col min="15896" max="15896" width="43.6640625" style="1922" customWidth="1"/>
    <col min="15897" max="15899" width="47.33203125" style="1922" customWidth="1"/>
    <col min="15900" max="15900" width="44" style="1922" customWidth="1"/>
    <col min="15901" max="15903" width="47.33203125" style="1922" customWidth="1"/>
    <col min="15904" max="15904" width="43.6640625" style="1922" customWidth="1"/>
    <col min="15905" max="15907" width="47.33203125" style="1922" customWidth="1"/>
    <col min="15908" max="15908" width="43.6640625" style="1922" customWidth="1"/>
    <col min="15909" max="15911" width="47.33203125" style="1922" customWidth="1"/>
    <col min="15912" max="15912" width="43.6640625" style="1922" customWidth="1"/>
    <col min="15913" max="15913" width="193.33203125" style="1922" customWidth="1"/>
    <col min="15914" max="15929" width="56" style="1922" customWidth="1"/>
    <col min="15930" max="15930" width="59" style="1922" customWidth="1"/>
    <col min="15931" max="15931" width="46" style="1922" customWidth="1"/>
    <col min="15932" max="16126" width="9.33203125" style="1922"/>
    <col min="16127" max="16127" width="193.33203125" style="1922" customWidth="1"/>
    <col min="16128" max="16128" width="47.1640625" style="1922" customWidth="1"/>
    <col min="16129" max="16129" width="47.33203125" style="1922" customWidth="1"/>
    <col min="16130" max="16130" width="47.1640625" style="1922" customWidth="1"/>
    <col min="16131" max="16131" width="43.6640625" style="1922" customWidth="1"/>
    <col min="16132" max="16133" width="47.33203125" style="1922" customWidth="1"/>
    <col min="16134" max="16134" width="47.1640625" style="1922" customWidth="1"/>
    <col min="16135" max="16135" width="43.6640625" style="1922" customWidth="1"/>
    <col min="16136" max="16137" width="47.33203125" style="1922" customWidth="1"/>
    <col min="16138" max="16138" width="47.1640625" style="1922" customWidth="1"/>
    <col min="16139" max="16139" width="43.6640625" style="1922" customWidth="1"/>
    <col min="16140" max="16141" width="45" style="1922" customWidth="1"/>
    <col min="16142" max="16142" width="44.83203125" style="1922" customWidth="1"/>
    <col min="16143" max="16143" width="45" style="1922" customWidth="1"/>
    <col min="16144" max="16145" width="47.33203125" style="1922" customWidth="1"/>
    <col min="16146" max="16146" width="47.1640625" style="1922" customWidth="1"/>
    <col min="16147" max="16147" width="43.6640625" style="1922" customWidth="1"/>
    <col min="16148" max="16148" width="193.33203125" style="1922" customWidth="1"/>
    <col min="16149" max="16151" width="47.33203125" style="1922" customWidth="1"/>
    <col min="16152" max="16152" width="43.6640625" style="1922" customWidth="1"/>
    <col min="16153" max="16155" width="47.33203125" style="1922" customWidth="1"/>
    <col min="16156" max="16156" width="44" style="1922" customWidth="1"/>
    <col min="16157" max="16159" width="47.33203125" style="1922" customWidth="1"/>
    <col min="16160" max="16160" width="43.6640625" style="1922" customWidth="1"/>
    <col min="16161" max="16163" width="47.33203125" style="1922" customWidth="1"/>
    <col min="16164" max="16164" width="43.6640625" style="1922" customWidth="1"/>
    <col min="16165" max="16167" width="47.33203125" style="1922" customWidth="1"/>
    <col min="16168" max="16168" width="43.6640625" style="1922" customWidth="1"/>
    <col min="16169" max="16169" width="193.33203125" style="1922" customWidth="1"/>
    <col min="16170" max="16185" width="56" style="1922" customWidth="1"/>
    <col min="16186" max="16186" width="59" style="1922" customWidth="1"/>
    <col min="16187" max="16187" width="46" style="1922" customWidth="1"/>
    <col min="16188" max="16384" width="9.33203125" style="1922"/>
  </cols>
  <sheetData>
    <row r="1" spans="1:65" ht="51.75" customHeight="1" x14ac:dyDescent="0.6"/>
    <row r="2" spans="1:65" ht="51.75" customHeight="1" x14ac:dyDescent="0.6"/>
    <row r="3" spans="1:65" s="1923" customFormat="1" ht="54" customHeight="1" x14ac:dyDescent="0.75">
      <c r="A3" s="2573" t="s">
        <v>702</v>
      </c>
      <c r="B3" s="2573"/>
      <c r="C3" s="2573"/>
      <c r="D3" s="2573"/>
      <c r="E3" s="2573"/>
      <c r="F3" s="2573"/>
      <c r="G3" s="2573"/>
      <c r="H3" s="2573"/>
      <c r="I3" s="2573"/>
      <c r="J3" s="2573"/>
      <c r="K3" s="2573"/>
      <c r="L3" s="2573"/>
      <c r="M3" s="2573"/>
      <c r="N3" s="2573"/>
      <c r="O3" s="2573"/>
      <c r="P3" s="2573"/>
      <c r="Q3" s="2573"/>
      <c r="R3" s="2573"/>
      <c r="S3" s="2573"/>
      <c r="T3" s="2573"/>
      <c r="U3" s="2573"/>
      <c r="V3" s="2574" t="s">
        <v>702</v>
      </c>
      <c r="W3" s="2574"/>
      <c r="X3" s="2574"/>
      <c r="Y3" s="2574"/>
      <c r="Z3" s="2574"/>
      <c r="AA3" s="2574"/>
      <c r="AB3" s="2574"/>
      <c r="AC3" s="2574"/>
      <c r="AD3" s="2574"/>
      <c r="AE3" s="2574"/>
      <c r="AF3" s="2574"/>
      <c r="AG3" s="2574"/>
      <c r="AH3" s="2574"/>
      <c r="AI3" s="2574"/>
      <c r="AJ3" s="2574"/>
      <c r="AK3" s="2574"/>
      <c r="AL3" s="2574"/>
      <c r="AM3" s="2574"/>
      <c r="AN3" s="2574"/>
      <c r="AO3" s="2574"/>
      <c r="AP3" s="2574"/>
      <c r="AQ3" s="2574" t="s">
        <v>702</v>
      </c>
      <c r="AR3" s="2574"/>
      <c r="AS3" s="2574"/>
      <c r="AT3" s="2574"/>
      <c r="AU3" s="2574"/>
      <c r="AV3" s="2574"/>
      <c r="AW3" s="2574"/>
      <c r="AX3" s="2574"/>
      <c r="AY3" s="2574"/>
      <c r="AZ3" s="2574"/>
      <c r="BA3" s="2574"/>
      <c r="BB3" s="2574"/>
      <c r="BC3" s="2574"/>
      <c r="BD3" s="2574"/>
      <c r="BE3" s="2574"/>
      <c r="BF3" s="2574"/>
      <c r="BG3" s="2574"/>
      <c r="BH3" s="2574"/>
      <c r="BI3" s="2574"/>
      <c r="BJ3" s="2574"/>
      <c r="BK3" s="2574"/>
      <c r="BL3" s="2574"/>
      <c r="BM3" s="2574"/>
    </row>
    <row r="4" spans="1:65" s="1923" customFormat="1" ht="54" customHeight="1" x14ac:dyDescent="0.75">
      <c r="A4" s="2573" t="s">
        <v>1335</v>
      </c>
      <c r="B4" s="2573"/>
      <c r="C4" s="2573"/>
      <c r="D4" s="2573"/>
      <c r="E4" s="2573"/>
      <c r="F4" s="2573"/>
      <c r="G4" s="2573"/>
      <c r="H4" s="2573"/>
      <c r="I4" s="2573"/>
      <c r="J4" s="2573"/>
      <c r="K4" s="2573"/>
      <c r="L4" s="2573"/>
      <c r="M4" s="2573"/>
      <c r="N4" s="2573"/>
      <c r="O4" s="2573"/>
      <c r="P4" s="2573"/>
      <c r="Q4" s="2573"/>
      <c r="R4" s="2573"/>
      <c r="S4" s="2573"/>
      <c r="T4" s="2573"/>
      <c r="U4" s="2573"/>
      <c r="V4" s="2575" t="s">
        <v>1335</v>
      </c>
      <c r="W4" s="2575"/>
      <c r="X4" s="2575"/>
      <c r="Y4" s="2575"/>
      <c r="Z4" s="2575"/>
      <c r="AA4" s="2575"/>
      <c r="AB4" s="2575"/>
      <c r="AC4" s="2575"/>
      <c r="AD4" s="2575"/>
      <c r="AE4" s="2575"/>
      <c r="AF4" s="2575"/>
      <c r="AG4" s="2575"/>
      <c r="AH4" s="2575"/>
      <c r="AI4" s="2575"/>
      <c r="AJ4" s="2575"/>
      <c r="AK4" s="2575"/>
      <c r="AL4" s="2575"/>
      <c r="AM4" s="2575"/>
      <c r="AN4" s="2575"/>
      <c r="AO4" s="2575"/>
      <c r="AP4" s="2575"/>
      <c r="AQ4" s="2574" t="s">
        <v>1335</v>
      </c>
      <c r="AR4" s="2574"/>
      <c r="AS4" s="2574"/>
      <c r="AT4" s="2574"/>
      <c r="AU4" s="2574"/>
      <c r="AV4" s="2574"/>
      <c r="AW4" s="2574"/>
      <c r="AX4" s="2574"/>
      <c r="AY4" s="2574"/>
      <c r="AZ4" s="2574"/>
      <c r="BA4" s="2574"/>
      <c r="BB4" s="2574"/>
      <c r="BC4" s="2574"/>
      <c r="BD4" s="2574"/>
      <c r="BE4" s="2574"/>
      <c r="BF4" s="2574"/>
      <c r="BG4" s="2574"/>
      <c r="BH4" s="2574"/>
      <c r="BI4" s="2574"/>
      <c r="BJ4" s="2574"/>
      <c r="BK4" s="2574"/>
      <c r="BL4" s="2574"/>
      <c r="BM4" s="2574"/>
    </row>
    <row r="5" spans="1:65" ht="42.75" customHeight="1" thickBot="1" x14ac:dyDescent="0.65"/>
    <row r="6" spans="1:65" s="1925" customFormat="1" ht="54.75" customHeight="1" thickBot="1" x14ac:dyDescent="0.65">
      <c r="A6" s="1924"/>
      <c r="B6" s="2567" t="s">
        <v>1336</v>
      </c>
      <c r="C6" s="2568"/>
      <c r="D6" s="2568"/>
      <c r="E6" s="2569"/>
      <c r="F6" s="2576" t="s">
        <v>1250</v>
      </c>
      <c r="G6" s="2577"/>
      <c r="H6" s="2577"/>
      <c r="I6" s="2578"/>
      <c r="J6" s="2567" t="s">
        <v>1337</v>
      </c>
      <c r="K6" s="2568"/>
      <c r="L6" s="2568"/>
      <c r="M6" s="2569"/>
      <c r="N6" s="2567" t="s">
        <v>155</v>
      </c>
      <c r="O6" s="2568"/>
      <c r="P6" s="2568"/>
      <c r="Q6" s="2569"/>
      <c r="R6" s="2576" t="s">
        <v>1265</v>
      </c>
      <c r="S6" s="2577"/>
      <c r="T6" s="2577"/>
      <c r="U6" s="2578"/>
      <c r="V6" s="2025"/>
      <c r="W6" s="2567" t="s">
        <v>302</v>
      </c>
      <c r="X6" s="2568"/>
      <c r="Y6" s="2568"/>
      <c r="Z6" s="2569"/>
      <c r="AA6" s="2576" t="s">
        <v>297</v>
      </c>
      <c r="AB6" s="2577"/>
      <c r="AC6" s="2577"/>
      <c r="AD6" s="2578"/>
      <c r="AE6" s="2567" t="s">
        <v>1273</v>
      </c>
      <c r="AF6" s="2568"/>
      <c r="AG6" s="2568"/>
      <c r="AH6" s="2569"/>
      <c r="AI6" s="2576" t="s">
        <v>1276</v>
      </c>
      <c r="AJ6" s="2577"/>
      <c r="AK6" s="2577"/>
      <c r="AL6" s="2578"/>
      <c r="AM6" s="2585" t="s">
        <v>1338</v>
      </c>
      <c r="AN6" s="2586"/>
      <c r="AO6" s="2586"/>
      <c r="AP6" s="2587"/>
      <c r="AQ6" s="2025"/>
      <c r="AR6" s="2582" t="s">
        <v>1339</v>
      </c>
      <c r="AS6" s="2583"/>
      <c r="AT6" s="2583"/>
      <c r="AU6" s="2583"/>
      <c r="AV6" s="2583"/>
      <c r="AW6" s="2583"/>
      <c r="AX6" s="2583"/>
      <c r="AY6" s="2584"/>
      <c r="AZ6" s="2576" t="s">
        <v>1340</v>
      </c>
      <c r="BA6" s="2577"/>
      <c r="BB6" s="2577"/>
      <c r="BC6" s="2578"/>
      <c r="BD6" s="2567" t="s">
        <v>1341</v>
      </c>
      <c r="BE6" s="2568"/>
      <c r="BF6" s="2568"/>
      <c r="BG6" s="2569"/>
    </row>
    <row r="7" spans="1:65" s="1927" customFormat="1" ht="54.75" customHeight="1" thickBot="1" x14ac:dyDescent="0.65">
      <c r="A7" s="1926" t="s">
        <v>1138</v>
      </c>
      <c r="B7" s="2570"/>
      <c r="C7" s="2571"/>
      <c r="D7" s="2571"/>
      <c r="E7" s="2572"/>
      <c r="F7" s="2579"/>
      <c r="G7" s="2580"/>
      <c r="H7" s="2580"/>
      <c r="I7" s="2581"/>
      <c r="J7" s="2570"/>
      <c r="K7" s="2571"/>
      <c r="L7" s="2571"/>
      <c r="M7" s="2572"/>
      <c r="N7" s="2570"/>
      <c r="O7" s="2571"/>
      <c r="P7" s="2571"/>
      <c r="Q7" s="2572"/>
      <c r="R7" s="2579"/>
      <c r="S7" s="2580"/>
      <c r="T7" s="2580"/>
      <c r="U7" s="2581"/>
      <c r="V7" s="2026" t="s">
        <v>1138</v>
      </c>
      <c r="W7" s="2570"/>
      <c r="X7" s="2571"/>
      <c r="Y7" s="2571"/>
      <c r="Z7" s="2572"/>
      <c r="AA7" s="2579"/>
      <c r="AB7" s="2580"/>
      <c r="AC7" s="2580"/>
      <c r="AD7" s="2581"/>
      <c r="AE7" s="2570"/>
      <c r="AF7" s="2571"/>
      <c r="AG7" s="2571"/>
      <c r="AH7" s="2572"/>
      <c r="AI7" s="2579"/>
      <c r="AJ7" s="2580"/>
      <c r="AK7" s="2580"/>
      <c r="AL7" s="2581"/>
      <c r="AM7" s="2588"/>
      <c r="AN7" s="2589"/>
      <c r="AO7" s="2589"/>
      <c r="AP7" s="2590"/>
      <c r="AQ7" s="2026" t="s">
        <v>1138</v>
      </c>
      <c r="AR7" s="2582" t="s">
        <v>1342</v>
      </c>
      <c r="AS7" s="2583"/>
      <c r="AT7" s="2583"/>
      <c r="AU7" s="2584"/>
      <c r="AV7" s="2582" t="s">
        <v>1343</v>
      </c>
      <c r="AW7" s="2583"/>
      <c r="AX7" s="2583"/>
      <c r="AY7" s="2584"/>
      <c r="AZ7" s="2579"/>
      <c r="BA7" s="2580"/>
      <c r="BB7" s="2580"/>
      <c r="BC7" s="2581"/>
      <c r="BD7" s="2570"/>
      <c r="BE7" s="2571"/>
      <c r="BF7" s="2571"/>
      <c r="BG7" s="2572"/>
    </row>
    <row r="8" spans="1:65" s="1925" customFormat="1" ht="171.75" customHeight="1" thickBot="1" x14ac:dyDescent="0.65">
      <c r="A8" s="1928">
        <v>2017</v>
      </c>
      <c r="B8" s="2028" t="s">
        <v>1344</v>
      </c>
      <c r="C8" s="2028" t="s">
        <v>1345</v>
      </c>
      <c r="D8" s="2028" t="s">
        <v>178</v>
      </c>
      <c r="E8" s="2028" t="s">
        <v>1346</v>
      </c>
      <c r="F8" s="2028" t="s">
        <v>1344</v>
      </c>
      <c r="G8" s="2028" t="s">
        <v>1347</v>
      </c>
      <c r="H8" s="2028" t="s">
        <v>178</v>
      </c>
      <c r="I8" s="2028" t="s">
        <v>1346</v>
      </c>
      <c r="J8" s="2028" t="s">
        <v>1344</v>
      </c>
      <c r="K8" s="2028" t="s">
        <v>1348</v>
      </c>
      <c r="L8" s="2028" t="s">
        <v>178</v>
      </c>
      <c r="M8" s="2028" t="s">
        <v>1346</v>
      </c>
      <c r="N8" s="2028" t="s">
        <v>1344</v>
      </c>
      <c r="O8" s="2028" t="s">
        <v>1349</v>
      </c>
      <c r="P8" s="2028" t="s">
        <v>178</v>
      </c>
      <c r="Q8" s="2028" t="s">
        <v>1346</v>
      </c>
      <c r="R8" s="2028" t="s">
        <v>1344</v>
      </c>
      <c r="S8" s="2028" t="s">
        <v>1349</v>
      </c>
      <c r="T8" s="2028" t="s">
        <v>178</v>
      </c>
      <c r="U8" s="2028" t="s">
        <v>1346</v>
      </c>
      <c r="V8" s="2027">
        <v>2017</v>
      </c>
      <c r="W8" s="2028" t="s">
        <v>1344</v>
      </c>
      <c r="X8" s="2028" t="s">
        <v>1350</v>
      </c>
      <c r="Y8" s="2028" t="s">
        <v>178</v>
      </c>
      <c r="Z8" s="2028" t="s">
        <v>1346</v>
      </c>
      <c r="AA8" s="2028" t="s">
        <v>1344</v>
      </c>
      <c r="AB8" s="2028" t="s">
        <v>1351</v>
      </c>
      <c r="AC8" s="2028" t="s">
        <v>178</v>
      </c>
      <c r="AD8" s="2028" t="s">
        <v>1346</v>
      </c>
      <c r="AE8" s="2028" t="s">
        <v>1344</v>
      </c>
      <c r="AF8" s="2028" t="s">
        <v>1349</v>
      </c>
      <c r="AG8" s="2028" t="s">
        <v>178</v>
      </c>
      <c r="AH8" s="2028" t="s">
        <v>1346</v>
      </c>
      <c r="AI8" s="2028" t="s">
        <v>1344</v>
      </c>
      <c r="AJ8" s="2028" t="s">
        <v>1349</v>
      </c>
      <c r="AK8" s="2028" t="s">
        <v>178</v>
      </c>
      <c r="AL8" s="2028" t="s">
        <v>1346</v>
      </c>
      <c r="AM8" s="2028" t="s">
        <v>1344</v>
      </c>
      <c r="AN8" s="2028" t="s">
        <v>1352</v>
      </c>
      <c r="AO8" s="2028" t="s">
        <v>178</v>
      </c>
      <c r="AP8" s="2028" t="s">
        <v>1346</v>
      </c>
      <c r="AQ8" s="2027">
        <v>2017</v>
      </c>
      <c r="AR8" s="2028" t="s">
        <v>1344</v>
      </c>
      <c r="AS8" s="2028" t="s">
        <v>1349</v>
      </c>
      <c r="AT8" s="2028" t="s">
        <v>178</v>
      </c>
      <c r="AU8" s="2028" t="s">
        <v>1346</v>
      </c>
      <c r="AV8" s="2028" t="s">
        <v>1344</v>
      </c>
      <c r="AW8" s="2028" t="s">
        <v>1349</v>
      </c>
      <c r="AX8" s="2028" t="s">
        <v>178</v>
      </c>
      <c r="AY8" s="2028" t="s">
        <v>1346</v>
      </c>
      <c r="AZ8" s="2028" t="s">
        <v>1344</v>
      </c>
      <c r="BA8" s="2028" t="s">
        <v>1349</v>
      </c>
      <c r="BB8" s="2028" t="s">
        <v>178</v>
      </c>
      <c r="BC8" s="2028" t="s">
        <v>1346</v>
      </c>
      <c r="BD8" s="2028" t="s">
        <v>1344</v>
      </c>
      <c r="BE8" s="2028" t="s">
        <v>1349</v>
      </c>
      <c r="BF8" s="2028" t="s">
        <v>178</v>
      </c>
      <c r="BG8" s="2028" t="s">
        <v>1346</v>
      </c>
    </row>
    <row r="9" spans="1:65" s="1931" customFormat="1" ht="45.75" customHeight="1" x14ac:dyDescent="0.6">
      <c r="A9" s="1930" t="s">
        <v>1141</v>
      </c>
      <c r="B9" s="2030"/>
      <c r="C9" s="2030"/>
      <c r="D9" s="2030"/>
      <c r="E9" s="2030"/>
      <c r="F9" s="2030"/>
      <c r="G9" s="2030"/>
      <c r="H9" s="2030"/>
      <c r="I9" s="2030"/>
      <c r="J9" s="2030"/>
      <c r="K9" s="2030"/>
      <c r="L9" s="2030"/>
      <c r="M9" s="2030"/>
      <c r="N9" s="2030"/>
      <c r="O9" s="2030"/>
      <c r="P9" s="2030"/>
      <c r="Q9" s="2030"/>
      <c r="R9" s="2030"/>
      <c r="S9" s="2030"/>
      <c r="T9" s="2030"/>
      <c r="U9" s="2030"/>
      <c r="V9" s="2029" t="s">
        <v>1141</v>
      </c>
      <c r="W9" s="2030"/>
      <c r="X9" s="2030"/>
      <c r="Y9" s="2030"/>
      <c r="Z9" s="2030"/>
      <c r="AA9" s="2030"/>
      <c r="AB9" s="2030"/>
      <c r="AC9" s="2030"/>
      <c r="AD9" s="2030"/>
      <c r="AE9" s="2030"/>
      <c r="AF9" s="2030"/>
      <c r="AG9" s="2030"/>
      <c r="AH9" s="2030"/>
      <c r="AI9" s="2030"/>
      <c r="AJ9" s="2030"/>
      <c r="AK9" s="2030"/>
      <c r="AL9" s="2030"/>
      <c r="AM9" s="2029"/>
      <c r="AN9" s="2029"/>
      <c r="AO9" s="2029"/>
      <c r="AP9" s="2029"/>
      <c r="AQ9" s="2029" t="s">
        <v>1141</v>
      </c>
      <c r="AR9" s="2029"/>
      <c r="AS9" s="2029"/>
      <c r="AT9" s="2029"/>
      <c r="AU9" s="2029"/>
      <c r="AV9" s="2029"/>
      <c r="AW9" s="2029"/>
      <c r="AX9" s="2029"/>
      <c r="AY9" s="2029"/>
      <c r="AZ9" s="2029"/>
      <c r="BA9" s="2029"/>
      <c r="BB9" s="2062"/>
      <c r="BC9" s="2062"/>
      <c r="BD9" s="2062"/>
      <c r="BE9" s="2062"/>
      <c r="BF9" s="2030"/>
      <c r="BG9" s="2030"/>
    </row>
    <row r="10" spans="1:65" ht="57" customHeight="1" x14ac:dyDescent="0.6">
      <c r="A10" s="1932" t="s">
        <v>1145</v>
      </c>
      <c r="B10" s="2032">
        <v>1176</v>
      </c>
      <c r="C10" s="2032">
        <v>3037</v>
      </c>
      <c r="D10" s="2032">
        <v>3035</v>
      </c>
      <c r="E10" s="2033">
        <f t="shared" ref="E10:E30" si="0">D10/C10</f>
        <v>0.9993414553836022</v>
      </c>
      <c r="F10" s="2032">
        <v>0</v>
      </c>
      <c r="G10" s="2032">
        <v>0</v>
      </c>
      <c r="H10" s="2032"/>
      <c r="I10" s="2033"/>
      <c r="J10" s="2032">
        <v>0</v>
      </c>
      <c r="K10" s="2032">
        <v>0</v>
      </c>
      <c r="L10" s="2032"/>
      <c r="M10" s="2033"/>
      <c r="N10" s="2032">
        <v>0</v>
      </c>
      <c r="O10" s="2032">
        <v>0</v>
      </c>
      <c r="P10" s="2032"/>
      <c r="Q10" s="2033"/>
      <c r="R10" s="2032">
        <f t="shared" ref="R10:S27" si="1">B10+F10+J10+N10</f>
        <v>1176</v>
      </c>
      <c r="S10" s="2032">
        <f t="shared" si="1"/>
        <v>3037</v>
      </c>
      <c r="T10" s="2032">
        <v>3035</v>
      </c>
      <c r="U10" s="2033">
        <f t="shared" ref="U10:U30" si="2">T10/S10</f>
        <v>0.9993414553836022</v>
      </c>
      <c r="V10" s="2031" t="s">
        <v>1145</v>
      </c>
      <c r="W10" s="2032">
        <v>0</v>
      </c>
      <c r="X10" s="2032">
        <v>0</v>
      </c>
      <c r="Y10" s="2032"/>
      <c r="Z10" s="2033"/>
      <c r="AA10" s="2032">
        <v>0</v>
      </c>
      <c r="AB10" s="2032">
        <v>0</v>
      </c>
      <c r="AC10" s="2032"/>
      <c r="AD10" s="2033"/>
      <c r="AE10" s="2032">
        <v>0</v>
      </c>
      <c r="AF10" s="2032">
        <v>0</v>
      </c>
      <c r="AG10" s="2032"/>
      <c r="AH10" s="2033"/>
      <c r="AI10" s="2032">
        <f t="shared" ref="AI10:AK27" si="3">W10+AA10+AE10</f>
        <v>0</v>
      </c>
      <c r="AJ10" s="2032">
        <f t="shared" si="3"/>
        <v>0</v>
      </c>
      <c r="AK10" s="2032">
        <f t="shared" si="3"/>
        <v>0</v>
      </c>
      <c r="AL10" s="2033"/>
      <c r="AM10" s="2032"/>
      <c r="AN10" s="2032">
        <v>231</v>
      </c>
      <c r="AO10" s="2032">
        <v>231</v>
      </c>
      <c r="AP10" s="2033">
        <f t="shared" ref="AP10:AP30" si="4">AO10/AN10</f>
        <v>1</v>
      </c>
      <c r="AQ10" s="2031" t="s">
        <v>1145</v>
      </c>
      <c r="AR10" s="2032">
        <v>146883</v>
      </c>
      <c r="AS10" s="2032">
        <v>151508</v>
      </c>
      <c r="AT10" s="2032">
        <v>142346</v>
      </c>
      <c r="AU10" s="2033">
        <f t="shared" ref="AU10:AU30" si="5">AT10/AS10</f>
        <v>0.93952794571903797</v>
      </c>
      <c r="AV10" s="2032">
        <v>0</v>
      </c>
      <c r="AW10" s="2032">
        <v>4186</v>
      </c>
      <c r="AX10" s="2032">
        <v>4186</v>
      </c>
      <c r="AY10" s="2033">
        <f t="shared" ref="AY10:AY26" si="6">AX10/AW10</f>
        <v>1</v>
      </c>
      <c r="AZ10" s="2032">
        <f t="shared" ref="AZ10:BB27" si="7">AR10+AV10</f>
        <v>146883</v>
      </c>
      <c r="BA10" s="2032">
        <f t="shared" si="7"/>
        <v>155694</v>
      </c>
      <c r="BB10" s="2032">
        <f t="shared" si="7"/>
        <v>146532</v>
      </c>
      <c r="BC10" s="2033">
        <f t="shared" ref="BC10:BC30" si="8">BB10/BA10</f>
        <v>0.94115380168792628</v>
      </c>
      <c r="BD10" s="2032">
        <f t="shared" ref="BD10:BF27" si="9">R10+AI10+AM10+AZ10</f>
        <v>148059</v>
      </c>
      <c r="BE10" s="2032">
        <f t="shared" si="9"/>
        <v>158962</v>
      </c>
      <c r="BF10" s="2032">
        <f t="shared" si="9"/>
        <v>149798</v>
      </c>
      <c r="BG10" s="2033">
        <f t="shared" ref="BG10:BG30" si="10">BF10/BE10</f>
        <v>0.9423510021262943</v>
      </c>
    </row>
    <row r="11" spans="1:65" ht="57" customHeight="1" x14ac:dyDescent="0.6">
      <c r="A11" s="1932" t="s">
        <v>1353</v>
      </c>
      <c r="B11" s="2032">
        <v>924</v>
      </c>
      <c r="C11" s="2032">
        <v>1698</v>
      </c>
      <c r="D11" s="2032">
        <v>1698</v>
      </c>
      <c r="E11" s="2033">
        <f t="shared" si="0"/>
        <v>1</v>
      </c>
      <c r="F11" s="2032">
        <v>0</v>
      </c>
      <c r="G11" s="2032">
        <v>0</v>
      </c>
      <c r="H11" s="2032"/>
      <c r="I11" s="2033"/>
      <c r="J11" s="2032">
        <v>0</v>
      </c>
      <c r="K11" s="2032">
        <v>0</v>
      </c>
      <c r="L11" s="2032"/>
      <c r="M11" s="2033"/>
      <c r="N11" s="2032">
        <v>0</v>
      </c>
      <c r="O11" s="2032">
        <v>0</v>
      </c>
      <c r="P11" s="2032"/>
      <c r="Q11" s="2033"/>
      <c r="R11" s="2032">
        <f t="shared" si="1"/>
        <v>924</v>
      </c>
      <c r="S11" s="2032">
        <f t="shared" si="1"/>
        <v>1698</v>
      </c>
      <c r="T11" s="2032">
        <v>1698</v>
      </c>
      <c r="U11" s="2033">
        <f t="shared" si="2"/>
        <v>1</v>
      </c>
      <c r="V11" s="2031" t="s">
        <v>1353</v>
      </c>
      <c r="W11" s="2032">
        <v>0</v>
      </c>
      <c r="X11" s="2032">
        <v>0</v>
      </c>
      <c r="Y11" s="2032"/>
      <c r="Z11" s="2033"/>
      <c r="AA11" s="2032">
        <v>0</v>
      </c>
      <c r="AB11" s="2032">
        <v>0</v>
      </c>
      <c r="AC11" s="2032"/>
      <c r="AD11" s="2033"/>
      <c r="AE11" s="2032">
        <v>0</v>
      </c>
      <c r="AF11" s="2032">
        <v>0</v>
      </c>
      <c r="AG11" s="2032"/>
      <c r="AH11" s="2033"/>
      <c r="AI11" s="2032">
        <f t="shared" si="3"/>
        <v>0</v>
      </c>
      <c r="AJ11" s="2032">
        <f t="shared" si="3"/>
        <v>0</v>
      </c>
      <c r="AK11" s="2032">
        <f t="shared" si="3"/>
        <v>0</v>
      </c>
      <c r="AL11" s="2033"/>
      <c r="AM11" s="2032"/>
      <c r="AN11" s="2032">
        <v>745</v>
      </c>
      <c r="AO11" s="2032">
        <v>745</v>
      </c>
      <c r="AP11" s="2033">
        <f t="shared" si="4"/>
        <v>1</v>
      </c>
      <c r="AQ11" s="2031" t="s">
        <v>1353</v>
      </c>
      <c r="AR11" s="2032">
        <v>95632</v>
      </c>
      <c r="AS11" s="2032">
        <v>98969</v>
      </c>
      <c r="AT11" s="2032">
        <v>95945</v>
      </c>
      <c r="AU11" s="2033">
        <f t="shared" si="5"/>
        <v>0.96944497772029625</v>
      </c>
      <c r="AV11" s="2032">
        <v>0</v>
      </c>
      <c r="AW11" s="2032">
        <v>1467</v>
      </c>
      <c r="AX11" s="2032">
        <v>1466</v>
      </c>
      <c r="AY11" s="2033">
        <f t="shared" si="6"/>
        <v>0.9993183367416496</v>
      </c>
      <c r="AZ11" s="2032">
        <f t="shared" si="7"/>
        <v>95632</v>
      </c>
      <c r="BA11" s="2032">
        <f t="shared" si="7"/>
        <v>100436</v>
      </c>
      <c r="BB11" s="2032">
        <f t="shared" si="7"/>
        <v>97411</v>
      </c>
      <c r="BC11" s="2033">
        <f t="shared" si="8"/>
        <v>0.96988131745589234</v>
      </c>
      <c r="BD11" s="2032">
        <f t="shared" si="9"/>
        <v>96556</v>
      </c>
      <c r="BE11" s="2032">
        <f t="shared" si="9"/>
        <v>102879</v>
      </c>
      <c r="BF11" s="2032">
        <f t="shared" si="9"/>
        <v>99854</v>
      </c>
      <c r="BG11" s="2033">
        <f t="shared" si="10"/>
        <v>0.97059652601599933</v>
      </c>
    </row>
    <row r="12" spans="1:65" ht="57" customHeight="1" x14ac:dyDescent="0.6">
      <c r="A12" s="1932" t="s">
        <v>1354</v>
      </c>
      <c r="B12" s="2032">
        <v>1512</v>
      </c>
      <c r="C12" s="2032">
        <v>2107</v>
      </c>
      <c r="D12" s="2032">
        <v>2106</v>
      </c>
      <c r="E12" s="2033">
        <f t="shared" si="0"/>
        <v>0.99952539155196962</v>
      </c>
      <c r="F12" s="2032">
        <v>0</v>
      </c>
      <c r="G12" s="2032">
        <v>200</v>
      </c>
      <c r="H12" s="2032">
        <v>200</v>
      </c>
      <c r="I12" s="2033">
        <f>H12/G12</f>
        <v>1</v>
      </c>
      <c r="J12" s="2032">
        <v>0</v>
      </c>
      <c r="K12" s="2032">
        <v>0</v>
      </c>
      <c r="L12" s="2032"/>
      <c r="M12" s="2033"/>
      <c r="N12" s="2032">
        <v>0</v>
      </c>
      <c r="O12" s="2032">
        <v>0</v>
      </c>
      <c r="P12" s="2032"/>
      <c r="Q12" s="2033"/>
      <c r="R12" s="2032">
        <f t="shared" si="1"/>
        <v>1512</v>
      </c>
      <c r="S12" s="2032">
        <f t="shared" si="1"/>
        <v>2307</v>
      </c>
      <c r="T12" s="2032">
        <v>2306</v>
      </c>
      <c r="U12" s="2033">
        <f t="shared" si="2"/>
        <v>0.99956653662765493</v>
      </c>
      <c r="V12" s="2031" t="s">
        <v>1354</v>
      </c>
      <c r="W12" s="2032">
        <v>0</v>
      </c>
      <c r="X12" s="2032">
        <v>0</v>
      </c>
      <c r="Y12" s="2032"/>
      <c r="Z12" s="2033"/>
      <c r="AA12" s="2032">
        <v>0</v>
      </c>
      <c r="AB12" s="2032">
        <v>0</v>
      </c>
      <c r="AC12" s="2032"/>
      <c r="AD12" s="2033"/>
      <c r="AE12" s="2032">
        <v>0</v>
      </c>
      <c r="AF12" s="2032">
        <v>0</v>
      </c>
      <c r="AG12" s="2032"/>
      <c r="AH12" s="2033"/>
      <c r="AI12" s="2032">
        <f t="shared" si="3"/>
        <v>0</v>
      </c>
      <c r="AJ12" s="2032">
        <f t="shared" si="3"/>
        <v>0</v>
      </c>
      <c r="AK12" s="2032">
        <f t="shared" si="3"/>
        <v>0</v>
      </c>
      <c r="AL12" s="2033"/>
      <c r="AM12" s="2032"/>
      <c r="AN12" s="2032">
        <v>270</v>
      </c>
      <c r="AO12" s="2032">
        <v>270</v>
      </c>
      <c r="AP12" s="2033">
        <f t="shared" si="4"/>
        <v>1</v>
      </c>
      <c r="AQ12" s="2031" t="s">
        <v>1354</v>
      </c>
      <c r="AR12" s="2032">
        <v>90978</v>
      </c>
      <c r="AS12" s="2032">
        <v>92516</v>
      </c>
      <c r="AT12" s="2032">
        <v>87682</v>
      </c>
      <c r="AU12" s="2033">
        <f t="shared" si="5"/>
        <v>0.94774957845129493</v>
      </c>
      <c r="AV12" s="2032">
        <v>0</v>
      </c>
      <c r="AW12" s="2032">
        <v>2985</v>
      </c>
      <c r="AX12" s="2032">
        <v>2984</v>
      </c>
      <c r="AY12" s="2033">
        <f t="shared" si="6"/>
        <v>0.99966499162479061</v>
      </c>
      <c r="AZ12" s="2032">
        <f t="shared" si="7"/>
        <v>90978</v>
      </c>
      <c r="BA12" s="2032">
        <f t="shared" si="7"/>
        <v>95501</v>
      </c>
      <c r="BB12" s="2032">
        <f t="shared" si="7"/>
        <v>90666</v>
      </c>
      <c r="BC12" s="2033">
        <f t="shared" si="8"/>
        <v>0.94937225788211643</v>
      </c>
      <c r="BD12" s="2032">
        <f t="shared" si="9"/>
        <v>92490</v>
      </c>
      <c r="BE12" s="2032">
        <f t="shared" si="9"/>
        <v>98078</v>
      </c>
      <c r="BF12" s="2032">
        <f t="shared" si="9"/>
        <v>93242</v>
      </c>
      <c r="BG12" s="2033">
        <f t="shared" si="10"/>
        <v>0.95069230612369748</v>
      </c>
    </row>
    <row r="13" spans="1:65" ht="57" customHeight="1" x14ac:dyDescent="0.6">
      <c r="A13" s="1932" t="s">
        <v>1355</v>
      </c>
      <c r="B13" s="2032">
        <v>700</v>
      </c>
      <c r="C13" s="2032">
        <v>1980</v>
      </c>
      <c r="D13" s="2032">
        <v>1978</v>
      </c>
      <c r="E13" s="2033">
        <f t="shared" si="0"/>
        <v>0.99898989898989898</v>
      </c>
      <c r="F13" s="2032">
        <v>0</v>
      </c>
      <c r="G13" s="2032">
        <v>0</v>
      </c>
      <c r="H13" s="2032"/>
      <c r="I13" s="2033"/>
      <c r="J13" s="2032">
        <v>0</v>
      </c>
      <c r="K13" s="2032">
        <v>0</v>
      </c>
      <c r="L13" s="2032"/>
      <c r="M13" s="2033"/>
      <c r="N13" s="2032">
        <v>0</v>
      </c>
      <c r="O13" s="2032">
        <v>0</v>
      </c>
      <c r="P13" s="2032"/>
      <c r="Q13" s="2033"/>
      <c r="R13" s="2032">
        <f t="shared" si="1"/>
        <v>700</v>
      </c>
      <c r="S13" s="2032">
        <f t="shared" si="1"/>
        <v>1980</v>
      </c>
      <c r="T13" s="2032">
        <v>1978</v>
      </c>
      <c r="U13" s="2033">
        <f t="shared" si="2"/>
        <v>0.99898989898989898</v>
      </c>
      <c r="V13" s="2031" t="s">
        <v>1355</v>
      </c>
      <c r="W13" s="2032">
        <v>0</v>
      </c>
      <c r="X13" s="2032">
        <v>0</v>
      </c>
      <c r="Y13" s="2032"/>
      <c r="Z13" s="2033"/>
      <c r="AA13" s="2032">
        <v>0</v>
      </c>
      <c r="AB13" s="2032">
        <v>0</v>
      </c>
      <c r="AC13" s="2032"/>
      <c r="AD13" s="2033"/>
      <c r="AE13" s="2032">
        <v>0</v>
      </c>
      <c r="AF13" s="2032">
        <v>0</v>
      </c>
      <c r="AG13" s="2032"/>
      <c r="AH13" s="2033"/>
      <c r="AI13" s="2032">
        <f t="shared" si="3"/>
        <v>0</v>
      </c>
      <c r="AJ13" s="2032">
        <f t="shared" si="3"/>
        <v>0</v>
      </c>
      <c r="AK13" s="2032">
        <f t="shared" si="3"/>
        <v>0</v>
      </c>
      <c r="AL13" s="2033"/>
      <c r="AM13" s="2032"/>
      <c r="AN13" s="2032">
        <v>396</v>
      </c>
      <c r="AO13" s="2032">
        <v>396</v>
      </c>
      <c r="AP13" s="2033">
        <f t="shared" si="4"/>
        <v>1</v>
      </c>
      <c r="AQ13" s="2031" t="s">
        <v>1355</v>
      </c>
      <c r="AR13" s="2032">
        <v>122454</v>
      </c>
      <c r="AS13" s="2032">
        <v>123461</v>
      </c>
      <c r="AT13" s="2032">
        <v>120585</v>
      </c>
      <c r="AU13" s="2033">
        <f t="shared" si="5"/>
        <v>0.97670519435287262</v>
      </c>
      <c r="AV13" s="2032">
        <v>0</v>
      </c>
      <c r="AW13" s="2032">
        <v>3189</v>
      </c>
      <c r="AX13" s="2032">
        <v>3189</v>
      </c>
      <c r="AY13" s="2033">
        <f t="shared" si="6"/>
        <v>1</v>
      </c>
      <c r="AZ13" s="2032">
        <f t="shared" si="7"/>
        <v>122454</v>
      </c>
      <c r="BA13" s="2032">
        <f t="shared" si="7"/>
        <v>126650</v>
      </c>
      <c r="BB13" s="2032">
        <f t="shared" si="7"/>
        <v>123774</v>
      </c>
      <c r="BC13" s="2033">
        <f t="shared" si="8"/>
        <v>0.97729174891433079</v>
      </c>
      <c r="BD13" s="2032">
        <f t="shared" si="9"/>
        <v>123154</v>
      </c>
      <c r="BE13" s="2032">
        <f t="shared" si="9"/>
        <v>129026</v>
      </c>
      <c r="BF13" s="2032">
        <f t="shared" si="9"/>
        <v>126148</v>
      </c>
      <c r="BG13" s="2033">
        <f t="shared" si="10"/>
        <v>0.97769441817928171</v>
      </c>
    </row>
    <row r="14" spans="1:65" ht="57" customHeight="1" x14ac:dyDescent="0.6">
      <c r="A14" s="1932" t="s">
        <v>1356</v>
      </c>
      <c r="B14" s="2032">
        <v>1036</v>
      </c>
      <c r="C14" s="2032">
        <v>2353</v>
      </c>
      <c r="D14" s="2032">
        <v>2351</v>
      </c>
      <c r="E14" s="2033">
        <f t="shared" si="0"/>
        <v>0.99915002124946872</v>
      </c>
      <c r="F14" s="2032">
        <v>0</v>
      </c>
      <c r="G14" s="2032">
        <v>0</v>
      </c>
      <c r="H14" s="2032"/>
      <c r="I14" s="2033"/>
      <c r="J14" s="2032">
        <v>0</v>
      </c>
      <c r="K14" s="2032">
        <v>946</v>
      </c>
      <c r="L14" s="2032">
        <v>945</v>
      </c>
      <c r="M14" s="2033">
        <f>L14/K14</f>
        <v>0.9989429175475687</v>
      </c>
      <c r="N14" s="2032">
        <v>0</v>
      </c>
      <c r="O14" s="2032">
        <v>0</v>
      </c>
      <c r="P14" s="2032"/>
      <c r="Q14" s="2033"/>
      <c r="R14" s="2032">
        <f t="shared" si="1"/>
        <v>1036</v>
      </c>
      <c r="S14" s="2032">
        <f t="shared" si="1"/>
        <v>3299</v>
      </c>
      <c r="T14" s="2032">
        <v>3296</v>
      </c>
      <c r="U14" s="2033">
        <f t="shared" si="2"/>
        <v>0.99909063352531069</v>
      </c>
      <c r="V14" s="2031" t="s">
        <v>1356</v>
      </c>
      <c r="W14" s="2032">
        <v>0</v>
      </c>
      <c r="X14" s="2032">
        <v>0</v>
      </c>
      <c r="Y14" s="2032"/>
      <c r="Z14" s="2033"/>
      <c r="AA14" s="2032">
        <v>0</v>
      </c>
      <c r="AB14" s="2032">
        <v>0</v>
      </c>
      <c r="AC14" s="2032"/>
      <c r="AD14" s="2033"/>
      <c r="AE14" s="2032">
        <v>0</v>
      </c>
      <c r="AF14" s="2032">
        <v>0</v>
      </c>
      <c r="AG14" s="2032"/>
      <c r="AH14" s="2033"/>
      <c r="AI14" s="2032">
        <f t="shared" si="3"/>
        <v>0</v>
      </c>
      <c r="AJ14" s="2032">
        <f t="shared" si="3"/>
        <v>0</v>
      </c>
      <c r="AK14" s="2032">
        <f t="shared" si="3"/>
        <v>0</v>
      </c>
      <c r="AL14" s="2033"/>
      <c r="AM14" s="2032"/>
      <c r="AN14" s="2032">
        <v>1178</v>
      </c>
      <c r="AO14" s="2032">
        <v>1178</v>
      </c>
      <c r="AP14" s="2033">
        <f t="shared" si="4"/>
        <v>1</v>
      </c>
      <c r="AQ14" s="2031" t="s">
        <v>1356</v>
      </c>
      <c r="AR14" s="2032">
        <v>105279</v>
      </c>
      <c r="AS14" s="2032">
        <v>108087</v>
      </c>
      <c r="AT14" s="2032">
        <v>103392</v>
      </c>
      <c r="AU14" s="2033">
        <f t="shared" si="5"/>
        <v>0.95656276888062397</v>
      </c>
      <c r="AV14" s="2032">
        <v>0</v>
      </c>
      <c r="AW14" s="2032">
        <v>1639</v>
      </c>
      <c r="AX14" s="2032">
        <v>1639</v>
      </c>
      <c r="AY14" s="2033">
        <f t="shared" si="6"/>
        <v>1</v>
      </c>
      <c r="AZ14" s="2032">
        <f t="shared" si="7"/>
        <v>105279</v>
      </c>
      <c r="BA14" s="2032">
        <f t="shared" si="7"/>
        <v>109726</v>
      </c>
      <c r="BB14" s="2032">
        <f t="shared" si="7"/>
        <v>105031</v>
      </c>
      <c r="BC14" s="2033">
        <f t="shared" si="8"/>
        <v>0.95721159980314607</v>
      </c>
      <c r="BD14" s="2032">
        <f t="shared" si="9"/>
        <v>106315</v>
      </c>
      <c r="BE14" s="2032">
        <f t="shared" si="9"/>
        <v>114203</v>
      </c>
      <c r="BF14" s="2032">
        <f t="shared" si="9"/>
        <v>109505</v>
      </c>
      <c r="BG14" s="2033">
        <f t="shared" si="10"/>
        <v>0.95886272689859287</v>
      </c>
    </row>
    <row r="15" spans="1:65" ht="57" customHeight="1" x14ac:dyDescent="0.6">
      <c r="A15" s="1932" t="s">
        <v>1357</v>
      </c>
      <c r="B15" s="2032">
        <v>756</v>
      </c>
      <c r="C15" s="2032">
        <v>1237</v>
      </c>
      <c r="D15" s="2032">
        <v>1235</v>
      </c>
      <c r="E15" s="2033">
        <f t="shared" si="0"/>
        <v>0.99838318512530311</v>
      </c>
      <c r="F15" s="2032">
        <v>0</v>
      </c>
      <c r="G15" s="2032">
        <v>0</v>
      </c>
      <c r="H15" s="2032"/>
      <c r="I15" s="2033"/>
      <c r="J15" s="2032">
        <v>0</v>
      </c>
      <c r="K15" s="2032">
        <v>611</v>
      </c>
      <c r="L15" s="2032">
        <v>610</v>
      </c>
      <c r="M15" s="2033">
        <f>L15/K15</f>
        <v>0.99836333878887074</v>
      </c>
      <c r="N15" s="2032">
        <v>0</v>
      </c>
      <c r="O15" s="2032">
        <v>0</v>
      </c>
      <c r="P15" s="2032"/>
      <c r="Q15" s="2033"/>
      <c r="R15" s="2032">
        <f t="shared" si="1"/>
        <v>756</v>
      </c>
      <c r="S15" s="2032">
        <f t="shared" si="1"/>
        <v>1848</v>
      </c>
      <c r="T15" s="2032">
        <v>1845</v>
      </c>
      <c r="U15" s="2033">
        <f t="shared" si="2"/>
        <v>0.99837662337662336</v>
      </c>
      <c r="V15" s="2031" t="s">
        <v>1357</v>
      </c>
      <c r="W15" s="2032">
        <v>0</v>
      </c>
      <c r="X15" s="2032">
        <v>0</v>
      </c>
      <c r="Y15" s="2032"/>
      <c r="Z15" s="2033"/>
      <c r="AA15" s="2032">
        <v>0</v>
      </c>
      <c r="AB15" s="2032">
        <v>0</v>
      </c>
      <c r="AC15" s="2032"/>
      <c r="AD15" s="2033"/>
      <c r="AE15" s="2032">
        <v>0</v>
      </c>
      <c r="AF15" s="2032">
        <v>0</v>
      </c>
      <c r="AG15" s="2032"/>
      <c r="AH15" s="2033"/>
      <c r="AI15" s="2032">
        <f t="shared" si="3"/>
        <v>0</v>
      </c>
      <c r="AJ15" s="2032">
        <f t="shared" si="3"/>
        <v>0</v>
      </c>
      <c r="AK15" s="2032">
        <f t="shared" si="3"/>
        <v>0</v>
      </c>
      <c r="AL15" s="2033"/>
      <c r="AM15" s="2032"/>
      <c r="AN15" s="2032">
        <v>366</v>
      </c>
      <c r="AO15" s="2032">
        <v>366</v>
      </c>
      <c r="AP15" s="2033">
        <f t="shared" si="4"/>
        <v>1</v>
      </c>
      <c r="AQ15" s="2031" t="s">
        <v>1357</v>
      </c>
      <c r="AR15" s="2032">
        <v>92803</v>
      </c>
      <c r="AS15" s="2032">
        <v>97886</v>
      </c>
      <c r="AT15" s="2032">
        <v>94069</v>
      </c>
      <c r="AU15" s="2033">
        <f t="shared" si="5"/>
        <v>0.96100565964489304</v>
      </c>
      <c r="AV15" s="2032">
        <v>0</v>
      </c>
      <c r="AW15" s="2032">
        <v>2272</v>
      </c>
      <c r="AX15" s="2032">
        <v>2272</v>
      </c>
      <c r="AY15" s="2033">
        <f t="shared" si="6"/>
        <v>1</v>
      </c>
      <c r="AZ15" s="2032">
        <f t="shared" si="7"/>
        <v>92803</v>
      </c>
      <c r="BA15" s="2032">
        <f t="shared" si="7"/>
        <v>100158</v>
      </c>
      <c r="BB15" s="2032">
        <f t="shared" si="7"/>
        <v>96341</v>
      </c>
      <c r="BC15" s="2033">
        <f t="shared" si="8"/>
        <v>0.96189021346272885</v>
      </c>
      <c r="BD15" s="2032">
        <f t="shared" si="9"/>
        <v>93559</v>
      </c>
      <c r="BE15" s="2032">
        <f t="shared" si="9"/>
        <v>102372</v>
      </c>
      <c r="BF15" s="2032">
        <f t="shared" si="9"/>
        <v>98552</v>
      </c>
      <c r="BG15" s="2033">
        <f t="shared" si="10"/>
        <v>0.96268510920954953</v>
      </c>
    </row>
    <row r="16" spans="1:65" ht="57" customHeight="1" x14ac:dyDescent="0.6">
      <c r="A16" s="1932" t="s">
        <v>1358</v>
      </c>
      <c r="B16" s="2032">
        <v>560</v>
      </c>
      <c r="C16" s="2032">
        <v>1202</v>
      </c>
      <c r="D16" s="2032">
        <v>1201</v>
      </c>
      <c r="E16" s="2033">
        <f t="shared" si="0"/>
        <v>0.99916805324459235</v>
      </c>
      <c r="F16" s="2032">
        <v>0</v>
      </c>
      <c r="G16" s="2032">
        <v>0</v>
      </c>
      <c r="H16" s="2032"/>
      <c r="I16" s="2033"/>
      <c r="J16" s="2032">
        <v>0</v>
      </c>
      <c r="K16" s="2032">
        <v>0</v>
      </c>
      <c r="L16" s="2032"/>
      <c r="M16" s="2033"/>
      <c r="N16" s="2032">
        <v>0</v>
      </c>
      <c r="O16" s="2032">
        <v>0</v>
      </c>
      <c r="P16" s="2032"/>
      <c r="Q16" s="2033"/>
      <c r="R16" s="2032">
        <f t="shared" si="1"/>
        <v>560</v>
      </c>
      <c r="S16" s="2032">
        <f t="shared" si="1"/>
        <v>1202</v>
      </c>
      <c r="T16" s="2032">
        <v>1201</v>
      </c>
      <c r="U16" s="2033">
        <f t="shared" si="2"/>
        <v>0.99916805324459235</v>
      </c>
      <c r="V16" s="2031" t="s">
        <v>1358</v>
      </c>
      <c r="W16" s="2032">
        <v>0</v>
      </c>
      <c r="X16" s="2032">
        <v>0</v>
      </c>
      <c r="Y16" s="2032"/>
      <c r="Z16" s="2033"/>
      <c r="AA16" s="2032">
        <v>0</v>
      </c>
      <c r="AB16" s="2032">
        <v>0</v>
      </c>
      <c r="AC16" s="2032"/>
      <c r="AD16" s="2033"/>
      <c r="AE16" s="2032">
        <v>0</v>
      </c>
      <c r="AF16" s="2032">
        <v>0</v>
      </c>
      <c r="AG16" s="2032"/>
      <c r="AH16" s="2033"/>
      <c r="AI16" s="2032">
        <f t="shared" si="3"/>
        <v>0</v>
      </c>
      <c r="AJ16" s="2032">
        <f t="shared" si="3"/>
        <v>0</v>
      </c>
      <c r="AK16" s="2032">
        <f t="shared" si="3"/>
        <v>0</v>
      </c>
      <c r="AL16" s="2033"/>
      <c r="AM16" s="2032"/>
      <c r="AN16" s="2032">
        <v>133</v>
      </c>
      <c r="AO16" s="2032">
        <v>133</v>
      </c>
      <c r="AP16" s="2033">
        <f t="shared" si="4"/>
        <v>1</v>
      </c>
      <c r="AQ16" s="2031" t="s">
        <v>1358</v>
      </c>
      <c r="AR16" s="2032">
        <v>77410</v>
      </c>
      <c r="AS16" s="2032">
        <v>78903</v>
      </c>
      <c r="AT16" s="2032">
        <v>78082</v>
      </c>
      <c r="AU16" s="2033">
        <f t="shared" si="5"/>
        <v>0.9895948189549193</v>
      </c>
      <c r="AV16" s="2032">
        <v>0</v>
      </c>
      <c r="AW16" s="2032">
        <v>5441</v>
      </c>
      <c r="AX16" s="2032">
        <v>5439</v>
      </c>
      <c r="AY16" s="2033">
        <f t="shared" si="6"/>
        <v>0.99963242051093548</v>
      </c>
      <c r="AZ16" s="2032">
        <f t="shared" si="7"/>
        <v>77410</v>
      </c>
      <c r="BA16" s="2032">
        <f t="shared" si="7"/>
        <v>84344</v>
      </c>
      <c r="BB16" s="2032">
        <f t="shared" si="7"/>
        <v>83521</v>
      </c>
      <c r="BC16" s="2033">
        <f t="shared" si="8"/>
        <v>0.99024234088968988</v>
      </c>
      <c r="BD16" s="2032">
        <f t="shared" si="9"/>
        <v>77970</v>
      </c>
      <c r="BE16" s="2032">
        <f t="shared" si="9"/>
        <v>85679</v>
      </c>
      <c r="BF16" s="2032">
        <f t="shared" si="9"/>
        <v>84855</v>
      </c>
      <c r="BG16" s="2033">
        <f t="shared" si="10"/>
        <v>0.99038270754794056</v>
      </c>
    </row>
    <row r="17" spans="1:59" ht="57" customHeight="1" x14ac:dyDescent="0.6">
      <c r="A17" s="1932" t="s">
        <v>1359</v>
      </c>
      <c r="B17" s="2032">
        <v>644</v>
      </c>
      <c r="C17" s="2032">
        <v>1290</v>
      </c>
      <c r="D17" s="2032">
        <v>1288</v>
      </c>
      <c r="E17" s="2033">
        <f t="shared" si="0"/>
        <v>0.99844961240310082</v>
      </c>
      <c r="F17" s="2032">
        <v>0</v>
      </c>
      <c r="G17" s="2032">
        <v>0</v>
      </c>
      <c r="H17" s="2032"/>
      <c r="I17" s="2033"/>
      <c r="J17" s="2032">
        <v>0</v>
      </c>
      <c r="K17" s="2032">
        <v>0</v>
      </c>
      <c r="L17" s="2032"/>
      <c r="M17" s="2033"/>
      <c r="N17" s="2032">
        <v>0</v>
      </c>
      <c r="O17" s="2032">
        <v>0</v>
      </c>
      <c r="P17" s="2032"/>
      <c r="Q17" s="2033"/>
      <c r="R17" s="2032">
        <f t="shared" si="1"/>
        <v>644</v>
      </c>
      <c r="S17" s="2032">
        <f t="shared" si="1"/>
        <v>1290</v>
      </c>
      <c r="T17" s="2032">
        <v>1288</v>
      </c>
      <c r="U17" s="2033">
        <f t="shared" si="2"/>
        <v>0.99844961240310082</v>
      </c>
      <c r="V17" s="2031" t="s">
        <v>1359</v>
      </c>
      <c r="W17" s="2032">
        <v>0</v>
      </c>
      <c r="X17" s="2032">
        <v>0</v>
      </c>
      <c r="Y17" s="2032"/>
      <c r="Z17" s="2033"/>
      <c r="AA17" s="2032">
        <v>0</v>
      </c>
      <c r="AB17" s="2032">
        <v>0</v>
      </c>
      <c r="AC17" s="2032"/>
      <c r="AD17" s="2033"/>
      <c r="AE17" s="2032">
        <v>0</v>
      </c>
      <c r="AF17" s="2032">
        <v>0</v>
      </c>
      <c r="AG17" s="2032"/>
      <c r="AH17" s="2033"/>
      <c r="AI17" s="2032">
        <f t="shared" si="3"/>
        <v>0</v>
      </c>
      <c r="AJ17" s="2032">
        <f t="shared" si="3"/>
        <v>0</v>
      </c>
      <c r="AK17" s="2032">
        <f t="shared" si="3"/>
        <v>0</v>
      </c>
      <c r="AL17" s="2033"/>
      <c r="AM17" s="2032"/>
      <c r="AN17" s="2032">
        <v>147</v>
      </c>
      <c r="AO17" s="2032">
        <v>147</v>
      </c>
      <c r="AP17" s="2033">
        <f t="shared" si="4"/>
        <v>1</v>
      </c>
      <c r="AQ17" s="2031" t="s">
        <v>1359</v>
      </c>
      <c r="AR17" s="2032">
        <v>78945</v>
      </c>
      <c r="AS17" s="2032">
        <v>79354</v>
      </c>
      <c r="AT17" s="2032">
        <v>79354</v>
      </c>
      <c r="AU17" s="2033">
        <f t="shared" si="5"/>
        <v>1</v>
      </c>
      <c r="AV17" s="2032">
        <v>0</v>
      </c>
      <c r="AW17" s="2032">
        <v>21845</v>
      </c>
      <c r="AX17" s="2032">
        <v>19009</v>
      </c>
      <c r="AY17" s="2033">
        <f t="shared" si="6"/>
        <v>0.87017624170290686</v>
      </c>
      <c r="AZ17" s="2032">
        <f t="shared" si="7"/>
        <v>78945</v>
      </c>
      <c r="BA17" s="2032">
        <f t="shared" si="7"/>
        <v>101199</v>
      </c>
      <c r="BB17" s="2032">
        <f t="shared" si="7"/>
        <v>98363</v>
      </c>
      <c r="BC17" s="2033">
        <f t="shared" si="8"/>
        <v>0.97197600766805992</v>
      </c>
      <c r="BD17" s="2032">
        <f t="shared" si="9"/>
        <v>79589</v>
      </c>
      <c r="BE17" s="2032">
        <f t="shared" si="9"/>
        <v>102636</v>
      </c>
      <c r="BF17" s="2032">
        <f t="shared" si="9"/>
        <v>99798</v>
      </c>
      <c r="BG17" s="2033">
        <f t="shared" si="10"/>
        <v>0.97234888343271364</v>
      </c>
    </row>
    <row r="18" spans="1:59" ht="57" customHeight="1" x14ac:dyDescent="0.6">
      <c r="A18" s="1932" t="s">
        <v>1360</v>
      </c>
      <c r="B18" s="2032">
        <v>588</v>
      </c>
      <c r="C18" s="2032">
        <v>1616</v>
      </c>
      <c r="D18" s="2032">
        <v>1613</v>
      </c>
      <c r="E18" s="2033">
        <f t="shared" si="0"/>
        <v>0.9981435643564357</v>
      </c>
      <c r="F18" s="2032">
        <v>0</v>
      </c>
      <c r="G18" s="2032">
        <v>0</v>
      </c>
      <c r="H18" s="2032"/>
      <c r="I18" s="2033"/>
      <c r="J18" s="2032">
        <v>0</v>
      </c>
      <c r="K18" s="2032">
        <v>0</v>
      </c>
      <c r="L18" s="2032"/>
      <c r="M18" s="2033"/>
      <c r="N18" s="2032">
        <v>0</v>
      </c>
      <c r="O18" s="2032">
        <v>0</v>
      </c>
      <c r="P18" s="2032"/>
      <c r="Q18" s="2033"/>
      <c r="R18" s="2032">
        <f t="shared" si="1"/>
        <v>588</v>
      </c>
      <c r="S18" s="2032">
        <f t="shared" si="1"/>
        <v>1616</v>
      </c>
      <c r="T18" s="2032">
        <v>1613</v>
      </c>
      <c r="U18" s="2033">
        <f t="shared" si="2"/>
        <v>0.9981435643564357</v>
      </c>
      <c r="V18" s="2031" t="s">
        <v>1360</v>
      </c>
      <c r="W18" s="2032">
        <v>0</v>
      </c>
      <c r="X18" s="2032">
        <v>0</v>
      </c>
      <c r="Y18" s="2032"/>
      <c r="Z18" s="2033"/>
      <c r="AA18" s="2032">
        <v>0</v>
      </c>
      <c r="AB18" s="2032">
        <v>0</v>
      </c>
      <c r="AC18" s="2032"/>
      <c r="AD18" s="2033"/>
      <c r="AE18" s="2032">
        <v>0</v>
      </c>
      <c r="AF18" s="2032">
        <v>0</v>
      </c>
      <c r="AG18" s="2032"/>
      <c r="AH18" s="2033"/>
      <c r="AI18" s="2032">
        <f t="shared" si="3"/>
        <v>0</v>
      </c>
      <c r="AJ18" s="2032">
        <f t="shared" si="3"/>
        <v>0</v>
      </c>
      <c r="AK18" s="2032">
        <f t="shared" si="3"/>
        <v>0</v>
      </c>
      <c r="AL18" s="2033"/>
      <c r="AM18" s="2032"/>
      <c r="AN18" s="2032">
        <v>321</v>
      </c>
      <c r="AO18" s="2032">
        <v>321</v>
      </c>
      <c r="AP18" s="2033">
        <f t="shared" si="4"/>
        <v>1</v>
      </c>
      <c r="AQ18" s="2031" t="s">
        <v>1360</v>
      </c>
      <c r="AR18" s="2032">
        <v>114085</v>
      </c>
      <c r="AS18" s="2032">
        <v>118565</v>
      </c>
      <c r="AT18" s="2032">
        <v>112939</v>
      </c>
      <c r="AU18" s="2033">
        <f t="shared" si="5"/>
        <v>0.95254923459705643</v>
      </c>
      <c r="AV18" s="2032">
        <v>0</v>
      </c>
      <c r="AW18" s="2032">
        <v>658</v>
      </c>
      <c r="AX18" s="2032">
        <v>657</v>
      </c>
      <c r="AY18" s="2033">
        <f t="shared" si="6"/>
        <v>0.99848024316109418</v>
      </c>
      <c r="AZ18" s="2032">
        <f t="shared" si="7"/>
        <v>114085</v>
      </c>
      <c r="BA18" s="2032">
        <f t="shared" si="7"/>
        <v>119223</v>
      </c>
      <c r="BB18" s="2032">
        <f t="shared" si="7"/>
        <v>113596</v>
      </c>
      <c r="BC18" s="2033">
        <f t="shared" si="8"/>
        <v>0.95280273101666624</v>
      </c>
      <c r="BD18" s="2032">
        <f t="shared" si="9"/>
        <v>114673</v>
      </c>
      <c r="BE18" s="2032">
        <f t="shared" si="9"/>
        <v>121160</v>
      </c>
      <c r="BF18" s="2032">
        <f t="shared" si="9"/>
        <v>115530</v>
      </c>
      <c r="BG18" s="2033">
        <f t="shared" si="10"/>
        <v>0.95353251898316271</v>
      </c>
    </row>
    <row r="19" spans="1:59" ht="57" customHeight="1" x14ac:dyDescent="0.6">
      <c r="A19" s="1932" t="s">
        <v>1361</v>
      </c>
      <c r="B19" s="2032">
        <v>1232</v>
      </c>
      <c r="C19" s="2032">
        <v>3283</v>
      </c>
      <c r="D19" s="2032">
        <v>3282</v>
      </c>
      <c r="E19" s="2033">
        <f t="shared" si="0"/>
        <v>0.99969540054827899</v>
      </c>
      <c r="F19" s="2032">
        <v>0</v>
      </c>
      <c r="G19" s="2032">
        <v>0</v>
      </c>
      <c r="H19" s="2032"/>
      <c r="I19" s="2033"/>
      <c r="J19" s="2032">
        <v>0</v>
      </c>
      <c r="K19" s="2032">
        <v>0</v>
      </c>
      <c r="L19" s="2032"/>
      <c r="M19" s="2033"/>
      <c r="N19" s="2032">
        <v>0</v>
      </c>
      <c r="O19" s="2032">
        <v>0</v>
      </c>
      <c r="P19" s="2032"/>
      <c r="Q19" s="2033"/>
      <c r="R19" s="2032">
        <f t="shared" si="1"/>
        <v>1232</v>
      </c>
      <c r="S19" s="2032">
        <f t="shared" si="1"/>
        <v>3283</v>
      </c>
      <c r="T19" s="2032">
        <v>3282</v>
      </c>
      <c r="U19" s="2033">
        <f t="shared" si="2"/>
        <v>0.99969540054827899</v>
      </c>
      <c r="V19" s="2031" t="s">
        <v>1361</v>
      </c>
      <c r="W19" s="2032">
        <v>0</v>
      </c>
      <c r="X19" s="2032">
        <v>0</v>
      </c>
      <c r="Y19" s="2032"/>
      <c r="Z19" s="2033"/>
      <c r="AA19" s="2032">
        <v>0</v>
      </c>
      <c r="AB19" s="2032">
        <v>0</v>
      </c>
      <c r="AC19" s="2032"/>
      <c r="AD19" s="2033"/>
      <c r="AE19" s="2032">
        <v>0</v>
      </c>
      <c r="AF19" s="2032">
        <v>0</v>
      </c>
      <c r="AG19" s="2032"/>
      <c r="AH19" s="2033"/>
      <c r="AI19" s="2032">
        <f t="shared" si="3"/>
        <v>0</v>
      </c>
      <c r="AJ19" s="2032">
        <f t="shared" si="3"/>
        <v>0</v>
      </c>
      <c r="AK19" s="2032">
        <f t="shared" si="3"/>
        <v>0</v>
      </c>
      <c r="AL19" s="2033"/>
      <c r="AM19" s="2032"/>
      <c r="AN19" s="2032">
        <v>336</v>
      </c>
      <c r="AO19" s="2032">
        <v>336</v>
      </c>
      <c r="AP19" s="2033">
        <f t="shared" si="4"/>
        <v>1</v>
      </c>
      <c r="AQ19" s="2031" t="s">
        <v>1361</v>
      </c>
      <c r="AR19" s="2032">
        <v>128686</v>
      </c>
      <c r="AS19" s="2032">
        <v>140479</v>
      </c>
      <c r="AT19" s="2032">
        <v>138230</v>
      </c>
      <c r="AU19" s="2033">
        <f t="shared" si="5"/>
        <v>0.98399048968173175</v>
      </c>
      <c r="AV19" s="2032">
        <v>0</v>
      </c>
      <c r="AW19" s="2032">
        <v>11075</v>
      </c>
      <c r="AX19" s="2032">
        <v>11074</v>
      </c>
      <c r="AY19" s="2033">
        <f t="shared" si="6"/>
        <v>0.99990970654627542</v>
      </c>
      <c r="AZ19" s="2032">
        <f t="shared" si="7"/>
        <v>128686</v>
      </c>
      <c r="BA19" s="2032">
        <f t="shared" si="7"/>
        <v>151554</v>
      </c>
      <c r="BB19" s="2032">
        <f t="shared" si="7"/>
        <v>149304</v>
      </c>
      <c r="BC19" s="2033">
        <f t="shared" si="8"/>
        <v>0.98515380656399698</v>
      </c>
      <c r="BD19" s="2032">
        <f t="shared" si="9"/>
        <v>129918</v>
      </c>
      <c r="BE19" s="2032">
        <f t="shared" si="9"/>
        <v>155173</v>
      </c>
      <c r="BF19" s="2032">
        <f t="shared" si="9"/>
        <v>152922</v>
      </c>
      <c r="BG19" s="2033">
        <f t="shared" si="10"/>
        <v>0.98549361035747196</v>
      </c>
    </row>
    <row r="20" spans="1:59" ht="57" customHeight="1" x14ac:dyDescent="0.6">
      <c r="A20" s="1932" t="s">
        <v>1362</v>
      </c>
      <c r="B20" s="2032">
        <v>504</v>
      </c>
      <c r="C20" s="2032">
        <v>868</v>
      </c>
      <c r="D20" s="2032">
        <v>867</v>
      </c>
      <c r="E20" s="2033">
        <f t="shared" si="0"/>
        <v>0.99884792626728114</v>
      </c>
      <c r="F20" s="2032">
        <v>0</v>
      </c>
      <c r="G20" s="2032">
        <v>0</v>
      </c>
      <c r="H20" s="2032"/>
      <c r="I20" s="2033"/>
      <c r="J20" s="2032">
        <v>0</v>
      </c>
      <c r="K20" s="2032">
        <v>154</v>
      </c>
      <c r="L20" s="2032">
        <v>153</v>
      </c>
      <c r="M20" s="2033">
        <f>L20/K20</f>
        <v>0.99350649350649356</v>
      </c>
      <c r="N20" s="2032">
        <v>0</v>
      </c>
      <c r="O20" s="2032">
        <v>0</v>
      </c>
      <c r="P20" s="2032"/>
      <c r="Q20" s="2033"/>
      <c r="R20" s="2032">
        <f t="shared" si="1"/>
        <v>504</v>
      </c>
      <c r="S20" s="2032">
        <f t="shared" si="1"/>
        <v>1022</v>
      </c>
      <c r="T20" s="2032">
        <v>1020</v>
      </c>
      <c r="U20" s="2033">
        <f t="shared" si="2"/>
        <v>0.99804305283757333</v>
      </c>
      <c r="V20" s="2031" t="s">
        <v>1362</v>
      </c>
      <c r="W20" s="2032">
        <v>0</v>
      </c>
      <c r="X20" s="2032">
        <v>0</v>
      </c>
      <c r="Y20" s="2032"/>
      <c r="Z20" s="2033"/>
      <c r="AA20" s="2032">
        <v>0</v>
      </c>
      <c r="AB20" s="2032">
        <v>0</v>
      </c>
      <c r="AC20" s="2032"/>
      <c r="AD20" s="2033"/>
      <c r="AE20" s="2032">
        <v>0</v>
      </c>
      <c r="AF20" s="2032">
        <v>0</v>
      </c>
      <c r="AG20" s="2032"/>
      <c r="AH20" s="2033"/>
      <c r="AI20" s="2032">
        <f t="shared" si="3"/>
        <v>0</v>
      </c>
      <c r="AJ20" s="2032">
        <f t="shared" si="3"/>
        <v>0</v>
      </c>
      <c r="AK20" s="2032">
        <f t="shared" si="3"/>
        <v>0</v>
      </c>
      <c r="AL20" s="2033"/>
      <c r="AM20" s="2032"/>
      <c r="AN20" s="2032">
        <v>160</v>
      </c>
      <c r="AO20" s="2032">
        <v>160</v>
      </c>
      <c r="AP20" s="2033">
        <f t="shared" si="4"/>
        <v>1</v>
      </c>
      <c r="AQ20" s="2031" t="s">
        <v>1362</v>
      </c>
      <c r="AR20" s="2032">
        <v>62720</v>
      </c>
      <c r="AS20" s="2032">
        <v>64770</v>
      </c>
      <c r="AT20" s="2032">
        <v>63689</v>
      </c>
      <c r="AU20" s="2033">
        <f t="shared" si="5"/>
        <v>0.98331017446348623</v>
      </c>
      <c r="AV20" s="2032">
        <v>0</v>
      </c>
      <c r="AW20" s="2032">
        <v>787</v>
      </c>
      <c r="AX20" s="2032">
        <v>787</v>
      </c>
      <c r="AY20" s="2033">
        <f t="shared" si="6"/>
        <v>1</v>
      </c>
      <c r="AZ20" s="2032">
        <f t="shared" si="7"/>
        <v>62720</v>
      </c>
      <c r="BA20" s="2032">
        <f t="shared" si="7"/>
        <v>65557</v>
      </c>
      <c r="BB20" s="2032">
        <f t="shared" si="7"/>
        <v>64476</v>
      </c>
      <c r="BC20" s="2033">
        <f t="shared" si="8"/>
        <v>0.98351053281876843</v>
      </c>
      <c r="BD20" s="2032">
        <f t="shared" si="9"/>
        <v>63224</v>
      </c>
      <c r="BE20" s="2032">
        <f t="shared" si="9"/>
        <v>66739</v>
      </c>
      <c r="BF20" s="2032">
        <f t="shared" si="9"/>
        <v>65656</v>
      </c>
      <c r="BG20" s="2033">
        <f t="shared" si="10"/>
        <v>0.98377260672170697</v>
      </c>
    </row>
    <row r="21" spans="1:59" ht="57" customHeight="1" x14ac:dyDescent="0.6">
      <c r="A21" s="1932" t="s">
        <v>1152</v>
      </c>
      <c r="B21" s="2032">
        <v>728</v>
      </c>
      <c r="C21" s="2032">
        <v>1396</v>
      </c>
      <c r="D21" s="2032">
        <v>1394</v>
      </c>
      <c r="E21" s="2033">
        <f t="shared" si="0"/>
        <v>0.99856733524355301</v>
      </c>
      <c r="F21" s="2032">
        <v>0</v>
      </c>
      <c r="G21" s="2032">
        <v>0</v>
      </c>
      <c r="H21" s="2032"/>
      <c r="I21" s="2033"/>
      <c r="J21" s="2032">
        <v>0</v>
      </c>
      <c r="K21" s="2032">
        <v>98</v>
      </c>
      <c r="L21" s="2032">
        <v>98</v>
      </c>
      <c r="M21" s="2033">
        <f>L21/K21</f>
        <v>1</v>
      </c>
      <c r="N21" s="2032">
        <v>0</v>
      </c>
      <c r="O21" s="2032">
        <v>0</v>
      </c>
      <c r="P21" s="2032"/>
      <c r="Q21" s="2033"/>
      <c r="R21" s="2032">
        <f t="shared" si="1"/>
        <v>728</v>
      </c>
      <c r="S21" s="2032">
        <f t="shared" si="1"/>
        <v>1494</v>
      </c>
      <c r="T21" s="2032">
        <v>1492</v>
      </c>
      <c r="U21" s="2033">
        <f t="shared" si="2"/>
        <v>0.99866131191432395</v>
      </c>
      <c r="V21" s="2031" t="s">
        <v>1152</v>
      </c>
      <c r="W21" s="2032">
        <v>0</v>
      </c>
      <c r="X21" s="2032">
        <v>0</v>
      </c>
      <c r="Y21" s="2032"/>
      <c r="Z21" s="2033"/>
      <c r="AA21" s="2032">
        <v>0</v>
      </c>
      <c r="AB21" s="2032">
        <v>0</v>
      </c>
      <c r="AC21" s="2032"/>
      <c r="AD21" s="2033"/>
      <c r="AE21" s="2032">
        <v>0</v>
      </c>
      <c r="AF21" s="2032">
        <v>0</v>
      </c>
      <c r="AG21" s="2032"/>
      <c r="AH21" s="2033"/>
      <c r="AI21" s="2032">
        <f t="shared" si="3"/>
        <v>0</v>
      </c>
      <c r="AJ21" s="2032">
        <f t="shared" si="3"/>
        <v>0</v>
      </c>
      <c r="AK21" s="2032">
        <f t="shared" si="3"/>
        <v>0</v>
      </c>
      <c r="AL21" s="2033"/>
      <c r="AM21" s="2032"/>
      <c r="AN21" s="2032">
        <v>280</v>
      </c>
      <c r="AO21" s="2032">
        <v>280</v>
      </c>
      <c r="AP21" s="2033">
        <f t="shared" si="4"/>
        <v>1</v>
      </c>
      <c r="AQ21" s="2031" t="s">
        <v>1152</v>
      </c>
      <c r="AR21" s="2032">
        <v>53769</v>
      </c>
      <c r="AS21" s="2032">
        <v>55232</v>
      </c>
      <c r="AT21" s="2032">
        <v>52220</v>
      </c>
      <c r="AU21" s="2033">
        <f t="shared" si="5"/>
        <v>0.94546639629200468</v>
      </c>
      <c r="AV21" s="2032">
        <v>0</v>
      </c>
      <c r="AW21" s="2032">
        <v>3962</v>
      </c>
      <c r="AX21" s="2032">
        <v>3962</v>
      </c>
      <c r="AY21" s="2033">
        <f t="shared" si="6"/>
        <v>1</v>
      </c>
      <c r="AZ21" s="2032">
        <f t="shared" si="7"/>
        <v>53769</v>
      </c>
      <c r="BA21" s="2032">
        <f t="shared" si="7"/>
        <v>59194</v>
      </c>
      <c r="BB21" s="2032">
        <f t="shared" si="7"/>
        <v>56182</v>
      </c>
      <c r="BC21" s="2033">
        <f t="shared" si="8"/>
        <v>0.94911646450653786</v>
      </c>
      <c r="BD21" s="2032">
        <f t="shared" si="9"/>
        <v>54497</v>
      </c>
      <c r="BE21" s="2032">
        <f t="shared" si="9"/>
        <v>60968</v>
      </c>
      <c r="BF21" s="2032">
        <f t="shared" si="9"/>
        <v>57954</v>
      </c>
      <c r="BG21" s="2033">
        <f t="shared" si="10"/>
        <v>0.95056423041595595</v>
      </c>
    </row>
    <row r="22" spans="1:59" ht="57" customHeight="1" x14ac:dyDescent="0.6">
      <c r="A22" s="1932" t="s">
        <v>1363</v>
      </c>
      <c r="B22" s="2032">
        <v>0</v>
      </c>
      <c r="C22" s="2032">
        <v>575</v>
      </c>
      <c r="D22" s="2032">
        <v>575</v>
      </c>
      <c r="E22" s="2033">
        <f t="shared" si="0"/>
        <v>1</v>
      </c>
      <c r="F22" s="2032">
        <v>0</v>
      </c>
      <c r="G22" s="2032">
        <v>0</v>
      </c>
      <c r="H22" s="2032"/>
      <c r="I22" s="2033"/>
      <c r="J22" s="2032">
        <v>0</v>
      </c>
      <c r="K22" s="2032">
        <v>0</v>
      </c>
      <c r="L22" s="2032"/>
      <c r="M22" s="2033"/>
      <c r="N22" s="2032">
        <v>0</v>
      </c>
      <c r="O22" s="2032">
        <v>0</v>
      </c>
      <c r="P22" s="2032"/>
      <c r="Q22" s="2033"/>
      <c r="R22" s="2032">
        <f t="shared" si="1"/>
        <v>0</v>
      </c>
      <c r="S22" s="2032">
        <f t="shared" si="1"/>
        <v>575</v>
      </c>
      <c r="T22" s="2032">
        <v>575</v>
      </c>
      <c r="U22" s="2033">
        <f t="shared" si="2"/>
        <v>1</v>
      </c>
      <c r="V22" s="2031" t="s">
        <v>1363</v>
      </c>
      <c r="W22" s="2032">
        <v>0</v>
      </c>
      <c r="X22" s="2032">
        <v>0</v>
      </c>
      <c r="Y22" s="2032"/>
      <c r="Z22" s="2033"/>
      <c r="AA22" s="2032">
        <v>0</v>
      </c>
      <c r="AB22" s="2032">
        <v>0</v>
      </c>
      <c r="AC22" s="2032"/>
      <c r="AD22" s="2033"/>
      <c r="AE22" s="2032">
        <v>0</v>
      </c>
      <c r="AF22" s="2032">
        <v>0</v>
      </c>
      <c r="AG22" s="2032"/>
      <c r="AH22" s="2033"/>
      <c r="AI22" s="2032">
        <f t="shared" si="3"/>
        <v>0</v>
      </c>
      <c r="AJ22" s="2032">
        <f t="shared" si="3"/>
        <v>0</v>
      </c>
      <c r="AK22" s="2032">
        <f t="shared" si="3"/>
        <v>0</v>
      </c>
      <c r="AL22" s="2033"/>
      <c r="AM22" s="2032"/>
      <c r="AN22" s="2032">
        <v>141</v>
      </c>
      <c r="AO22" s="2032">
        <v>141</v>
      </c>
      <c r="AP22" s="2033">
        <f t="shared" si="4"/>
        <v>1</v>
      </c>
      <c r="AQ22" s="2031" t="s">
        <v>1363</v>
      </c>
      <c r="AR22" s="2032">
        <v>65551</v>
      </c>
      <c r="AS22" s="2032">
        <v>67306</v>
      </c>
      <c r="AT22" s="2032">
        <v>66250</v>
      </c>
      <c r="AU22" s="2033">
        <f t="shared" si="5"/>
        <v>0.98431046266306121</v>
      </c>
      <c r="AV22" s="2032">
        <v>0</v>
      </c>
      <c r="AW22" s="2032">
        <v>16499</v>
      </c>
      <c r="AX22" s="2032">
        <v>16498</v>
      </c>
      <c r="AY22" s="2033">
        <f t="shared" si="6"/>
        <v>0.9999393902660767</v>
      </c>
      <c r="AZ22" s="2032">
        <f t="shared" si="7"/>
        <v>65551</v>
      </c>
      <c r="BA22" s="2032">
        <f t="shared" si="7"/>
        <v>83805</v>
      </c>
      <c r="BB22" s="2032">
        <f t="shared" si="7"/>
        <v>82748</v>
      </c>
      <c r="BC22" s="2033">
        <f t="shared" si="8"/>
        <v>0.98738738738738741</v>
      </c>
      <c r="BD22" s="2032">
        <f t="shared" si="9"/>
        <v>65551</v>
      </c>
      <c r="BE22" s="2032">
        <f t="shared" si="9"/>
        <v>84521</v>
      </c>
      <c r="BF22" s="2032">
        <f t="shared" si="9"/>
        <v>83464</v>
      </c>
      <c r="BG22" s="2033">
        <f t="shared" si="10"/>
        <v>0.98749423220264787</v>
      </c>
    </row>
    <row r="23" spans="1:59" ht="57" customHeight="1" x14ac:dyDescent="0.6">
      <c r="A23" s="1932" t="s">
        <v>1364</v>
      </c>
      <c r="B23" s="2032">
        <v>1680</v>
      </c>
      <c r="C23" s="2032">
        <v>1672</v>
      </c>
      <c r="D23" s="2032">
        <v>1669</v>
      </c>
      <c r="E23" s="2033">
        <f t="shared" si="0"/>
        <v>0.99820574162679421</v>
      </c>
      <c r="F23" s="2032">
        <v>0</v>
      </c>
      <c r="G23" s="2032">
        <v>200</v>
      </c>
      <c r="H23" s="2032">
        <v>200</v>
      </c>
      <c r="I23" s="2033">
        <f>H23/G23</f>
        <v>1</v>
      </c>
      <c r="J23" s="2032">
        <v>0</v>
      </c>
      <c r="K23" s="2032">
        <v>0</v>
      </c>
      <c r="L23" s="2032"/>
      <c r="M23" s="2033"/>
      <c r="N23" s="2032">
        <v>0</v>
      </c>
      <c r="O23" s="2032">
        <v>0</v>
      </c>
      <c r="P23" s="2032"/>
      <c r="Q23" s="2033"/>
      <c r="R23" s="2032">
        <f t="shared" si="1"/>
        <v>1680</v>
      </c>
      <c r="S23" s="2032">
        <f t="shared" si="1"/>
        <v>1872</v>
      </c>
      <c r="T23" s="2032">
        <v>1869</v>
      </c>
      <c r="U23" s="2033">
        <f t="shared" si="2"/>
        <v>0.9983974358974359</v>
      </c>
      <c r="V23" s="2031" t="s">
        <v>1364</v>
      </c>
      <c r="W23" s="2032">
        <v>0</v>
      </c>
      <c r="X23" s="2032">
        <v>0</v>
      </c>
      <c r="Y23" s="2032"/>
      <c r="Z23" s="2033"/>
      <c r="AA23" s="2032">
        <v>0</v>
      </c>
      <c r="AB23" s="2032">
        <v>0</v>
      </c>
      <c r="AC23" s="2032"/>
      <c r="AD23" s="2033"/>
      <c r="AE23" s="2032">
        <v>0</v>
      </c>
      <c r="AF23" s="2032">
        <v>0</v>
      </c>
      <c r="AG23" s="2032"/>
      <c r="AH23" s="2033"/>
      <c r="AI23" s="2032">
        <f t="shared" si="3"/>
        <v>0</v>
      </c>
      <c r="AJ23" s="2032">
        <f t="shared" si="3"/>
        <v>0</v>
      </c>
      <c r="AK23" s="2032">
        <f t="shared" si="3"/>
        <v>0</v>
      </c>
      <c r="AL23" s="2033"/>
      <c r="AM23" s="2032"/>
      <c r="AN23" s="2032">
        <v>193</v>
      </c>
      <c r="AO23" s="2032">
        <v>193</v>
      </c>
      <c r="AP23" s="2033">
        <f t="shared" si="4"/>
        <v>1</v>
      </c>
      <c r="AQ23" s="2031" t="s">
        <v>1364</v>
      </c>
      <c r="AR23" s="2032">
        <v>86404</v>
      </c>
      <c r="AS23" s="2032">
        <v>89618</v>
      </c>
      <c r="AT23" s="2032">
        <v>86047</v>
      </c>
      <c r="AU23" s="2033">
        <f t="shared" si="5"/>
        <v>0.96015309424445983</v>
      </c>
      <c r="AV23" s="2032">
        <v>0</v>
      </c>
      <c r="AW23" s="2032">
        <v>8383</v>
      </c>
      <c r="AX23" s="2032">
        <v>8382</v>
      </c>
      <c r="AY23" s="2033">
        <f t="shared" si="6"/>
        <v>0.99988071096266251</v>
      </c>
      <c r="AZ23" s="2032">
        <f t="shared" si="7"/>
        <v>86404</v>
      </c>
      <c r="BA23" s="2032">
        <f t="shared" si="7"/>
        <v>98001</v>
      </c>
      <c r="BB23" s="2032">
        <f t="shared" si="7"/>
        <v>94429</v>
      </c>
      <c r="BC23" s="2033">
        <f t="shared" si="8"/>
        <v>0.96355139233273135</v>
      </c>
      <c r="BD23" s="2032">
        <f t="shared" si="9"/>
        <v>88084</v>
      </c>
      <c r="BE23" s="2032">
        <f t="shared" si="9"/>
        <v>100066</v>
      </c>
      <c r="BF23" s="2032">
        <f t="shared" si="9"/>
        <v>96491</v>
      </c>
      <c r="BG23" s="2033">
        <f t="shared" si="10"/>
        <v>0.96427357943757119</v>
      </c>
    </row>
    <row r="24" spans="1:59" ht="57" customHeight="1" x14ac:dyDescent="0.6">
      <c r="A24" s="1932" t="s">
        <v>1156</v>
      </c>
      <c r="B24" s="2032">
        <v>2016</v>
      </c>
      <c r="C24" s="2032">
        <v>2909</v>
      </c>
      <c r="D24" s="2032">
        <v>2907</v>
      </c>
      <c r="E24" s="2033">
        <f t="shared" si="0"/>
        <v>0.99931247851495364</v>
      </c>
      <c r="F24" s="2032">
        <v>0</v>
      </c>
      <c r="G24" s="2032">
        <v>0</v>
      </c>
      <c r="H24" s="2032"/>
      <c r="I24" s="2033"/>
      <c r="J24" s="2032">
        <v>0</v>
      </c>
      <c r="K24" s="2032">
        <v>0</v>
      </c>
      <c r="L24" s="2032"/>
      <c r="M24" s="2033"/>
      <c r="N24" s="2032">
        <v>0</v>
      </c>
      <c r="O24" s="2032">
        <v>0</v>
      </c>
      <c r="P24" s="2032"/>
      <c r="Q24" s="2033"/>
      <c r="R24" s="2032">
        <f t="shared" si="1"/>
        <v>2016</v>
      </c>
      <c r="S24" s="2032">
        <f t="shared" si="1"/>
        <v>2909</v>
      </c>
      <c r="T24" s="2032">
        <v>2907</v>
      </c>
      <c r="U24" s="2033">
        <f t="shared" si="2"/>
        <v>0.99931247851495364</v>
      </c>
      <c r="V24" s="2031" t="s">
        <v>1156</v>
      </c>
      <c r="W24" s="2032">
        <v>0</v>
      </c>
      <c r="X24" s="2032">
        <v>0</v>
      </c>
      <c r="Y24" s="2032"/>
      <c r="Z24" s="2033"/>
      <c r="AA24" s="2032">
        <v>0</v>
      </c>
      <c r="AB24" s="2032">
        <v>0</v>
      </c>
      <c r="AC24" s="2032"/>
      <c r="AD24" s="2033"/>
      <c r="AE24" s="2032">
        <v>0</v>
      </c>
      <c r="AF24" s="2032">
        <v>0</v>
      </c>
      <c r="AG24" s="2032"/>
      <c r="AH24" s="2033"/>
      <c r="AI24" s="2032">
        <f t="shared" si="3"/>
        <v>0</v>
      </c>
      <c r="AJ24" s="2032">
        <f t="shared" si="3"/>
        <v>0</v>
      </c>
      <c r="AK24" s="2032">
        <f t="shared" si="3"/>
        <v>0</v>
      </c>
      <c r="AL24" s="2033"/>
      <c r="AM24" s="2032"/>
      <c r="AN24" s="2032">
        <v>183</v>
      </c>
      <c r="AO24" s="2032">
        <v>183</v>
      </c>
      <c r="AP24" s="2033">
        <f t="shared" si="4"/>
        <v>1</v>
      </c>
      <c r="AQ24" s="2031" t="s">
        <v>1156</v>
      </c>
      <c r="AR24" s="2032">
        <v>122519</v>
      </c>
      <c r="AS24" s="2032">
        <v>128036</v>
      </c>
      <c r="AT24" s="2032">
        <v>124704</v>
      </c>
      <c r="AU24" s="2033">
        <f t="shared" si="5"/>
        <v>0.97397606923052893</v>
      </c>
      <c r="AV24" s="2032">
        <v>0</v>
      </c>
      <c r="AW24" s="2032">
        <v>705</v>
      </c>
      <c r="AX24" s="2032">
        <v>705</v>
      </c>
      <c r="AY24" s="2033">
        <f t="shared" si="6"/>
        <v>1</v>
      </c>
      <c r="AZ24" s="2032">
        <f t="shared" si="7"/>
        <v>122519</v>
      </c>
      <c r="BA24" s="2032">
        <f t="shared" si="7"/>
        <v>128741</v>
      </c>
      <c r="BB24" s="2032">
        <f t="shared" si="7"/>
        <v>125409</v>
      </c>
      <c r="BC24" s="2033">
        <f t="shared" si="8"/>
        <v>0.9741185791628153</v>
      </c>
      <c r="BD24" s="2032">
        <f t="shared" si="9"/>
        <v>124535</v>
      </c>
      <c r="BE24" s="2032">
        <f t="shared" si="9"/>
        <v>131833</v>
      </c>
      <c r="BF24" s="2032">
        <f t="shared" si="9"/>
        <v>128499</v>
      </c>
      <c r="BG24" s="2033">
        <f t="shared" si="10"/>
        <v>0.97471042910348704</v>
      </c>
    </row>
    <row r="25" spans="1:59" ht="57" customHeight="1" x14ac:dyDescent="0.6">
      <c r="A25" s="1932" t="s">
        <v>1153</v>
      </c>
      <c r="B25" s="2032">
        <v>1148</v>
      </c>
      <c r="C25" s="2032">
        <v>1663</v>
      </c>
      <c r="D25" s="2032">
        <v>1661</v>
      </c>
      <c r="E25" s="2033">
        <f t="shared" si="0"/>
        <v>0.99879735417919424</v>
      </c>
      <c r="F25" s="2032">
        <v>0</v>
      </c>
      <c r="G25" s="2032">
        <v>0</v>
      </c>
      <c r="H25" s="2032"/>
      <c r="I25" s="2033"/>
      <c r="J25" s="2032">
        <v>0</v>
      </c>
      <c r="K25" s="2032">
        <v>0</v>
      </c>
      <c r="L25" s="2032"/>
      <c r="M25" s="2033"/>
      <c r="N25" s="2032">
        <v>0</v>
      </c>
      <c r="O25" s="2032">
        <v>0</v>
      </c>
      <c r="P25" s="2032"/>
      <c r="Q25" s="2033"/>
      <c r="R25" s="2032">
        <f t="shared" si="1"/>
        <v>1148</v>
      </c>
      <c r="S25" s="2032">
        <f t="shared" si="1"/>
        <v>1663</v>
      </c>
      <c r="T25" s="2032">
        <v>1661</v>
      </c>
      <c r="U25" s="2033">
        <f t="shared" si="2"/>
        <v>0.99879735417919424</v>
      </c>
      <c r="V25" s="2031" t="s">
        <v>1153</v>
      </c>
      <c r="W25" s="2032">
        <v>0</v>
      </c>
      <c r="X25" s="2032">
        <v>0</v>
      </c>
      <c r="Y25" s="2032"/>
      <c r="Z25" s="2033"/>
      <c r="AA25" s="2032">
        <v>0</v>
      </c>
      <c r="AB25" s="2032">
        <v>0</v>
      </c>
      <c r="AC25" s="2032"/>
      <c r="AD25" s="2033"/>
      <c r="AE25" s="2032">
        <v>0</v>
      </c>
      <c r="AF25" s="2032">
        <v>0</v>
      </c>
      <c r="AG25" s="2032"/>
      <c r="AH25" s="2033"/>
      <c r="AI25" s="2032">
        <f t="shared" si="3"/>
        <v>0</v>
      </c>
      <c r="AJ25" s="2032">
        <f t="shared" si="3"/>
        <v>0</v>
      </c>
      <c r="AK25" s="2032">
        <f t="shared" si="3"/>
        <v>0</v>
      </c>
      <c r="AL25" s="2033"/>
      <c r="AM25" s="2032"/>
      <c r="AN25" s="2032">
        <v>255</v>
      </c>
      <c r="AO25" s="2032">
        <v>255</v>
      </c>
      <c r="AP25" s="2033">
        <f t="shared" si="4"/>
        <v>1</v>
      </c>
      <c r="AQ25" s="2031" t="s">
        <v>1153</v>
      </c>
      <c r="AR25" s="2032">
        <v>94065</v>
      </c>
      <c r="AS25" s="2032">
        <v>98929</v>
      </c>
      <c r="AT25" s="2032">
        <v>92254</v>
      </c>
      <c r="AU25" s="2033">
        <f t="shared" si="5"/>
        <v>0.93252736811248471</v>
      </c>
      <c r="AV25" s="2032">
        <v>0</v>
      </c>
      <c r="AW25" s="2032">
        <v>1661</v>
      </c>
      <c r="AX25" s="2032">
        <v>1660</v>
      </c>
      <c r="AY25" s="2033">
        <f t="shared" si="6"/>
        <v>0.99939795304033718</v>
      </c>
      <c r="AZ25" s="2032">
        <f t="shared" si="7"/>
        <v>94065</v>
      </c>
      <c r="BA25" s="2032">
        <f t="shared" si="7"/>
        <v>100590</v>
      </c>
      <c r="BB25" s="2032">
        <f t="shared" si="7"/>
        <v>93914</v>
      </c>
      <c r="BC25" s="2033">
        <f t="shared" si="8"/>
        <v>0.93363157371508099</v>
      </c>
      <c r="BD25" s="2032">
        <f t="shared" si="9"/>
        <v>95213</v>
      </c>
      <c r="BE25" s="2032">
        <f t="shared" si="9"/>
        <v>102508</v>
      </c>
      <c r="BF25" s="2032">
        <f t="shared" si="9"/>
        <v>95830</v>
      </c>
      <c r="BG25" s="2033">
        <f t="shared" si="10"/>
        <v>0.9348538650641901</v>
      </c>
    </row>
    <row r="26" spans="1:59" ht="57" customHeight="1" x14ac:dyDescent="0.6">
      <c r="A26" s="1932" t="s">
        <v>1365</v>
      </c>
      <c r="B26" s="2032">
        <v>1008</v>
      </c>
      <c r="C26" s="2032">
        <v>2504</v>
      </c>
      <c r="D26" s="2032">
        <v>2502</v>
      </c>
      <c r="E26" s="2033">
        <f t="shared" si="0"/>
        <v>0.99920127795527158</v>
      </c>
      <c r="F26" s="2032">
        <v>0</v>
      </c>
      <c r="G26" s="2032">
        <v>0</v>
      </c>
      <c r="H26" s="2032"/>
      <c r="I26" s="2033"/>
      <c r="J26" s="2032">
        <v>0</v>
      </c>
      <c r="K26" s="2032">
        <v>0</v>
      </c>
      <c r="L26" s="2032"/>
      <c r="M26" s="2033"/>
      <c r="N26" s="2032">
        <v>0</v>
      </c>
      <c r="O26" s="2032">
        <v>0</v>
      </c>
      <c r="P26" s="2032"/>
      <c r="Q26" s="2033"/>
      <c r="R26" s="2032">
        <f t="shared" si="1"/>
        <v>1008</v>
      </c>
      <c r="S26" s="2032">
        <f t="shared" si="1"/>
        <v>2504</v>
      </c>
      <c r="T26" s="2032">
        <v>2502</v>
      </c>
      <c r="U26" s="2033">
        <f t="shared" si="2"/>
        <v>0.99920127795527158</v>
      </c>
      <c r="V26" s="2031" t="s">
        <v>1365</v>
      </c>
      <c r="W26" s="2032">
        <v>0</v>
      </c>
      <c r="X26" s="2032">
        <v>0</v>
      </c>
      <c r="Y26" s="2032"/>
      <c r="Z26" s="2033"/>
      <c r="AA26" s="2032">
        <v>0</v>
      </c>
      <c r="AB26" s="2032">
        <v>0</v>
      </c>
      <c r="AC26" s="2032"/>
      <c r="AD26" s="2033"/>
      <c r="AE26" s="2032">
        <v>0</v>
      </c>
      <c r="AF26" s="2032">
        <v>0</v>
      </c>
      <c r="AG26" s="2032"/>
      <c r="AH26" s="2033"/>
      <c r="AI26" s="2032">
        <f t="shared" si="3"/>
        <v>0</v>
      </c>
      <c r="AJ26" s="2032">
        <f t="shared" si="3"/>
        <v>0</v>
      </c>
      <c r="AK26" s="2032">
        <f t="shared" si="3"/>
        <v>0</v>
      </c>
      <c r="AL26" s="2033"/>
      <c r="AM26" s="2032"/>
      <c r="AN26" s="2032">
        <v>175</v>
      </c>
      <c r="AO26" s="2032">
        <v>175</v>
      </c>
      <c r="AP26" s="2033">
        <f t="shared" si="4"/>
        <v>1</v>
      </c>
      <c r="AQ26" s="2031" t="s">
        <v>1365</v>
      </c>
      <c r="AR26" s="2032">
        <v>70149</v>
      </c>
      <c r="AS26" s="2032">
        <v>72176</v>
      </c>
      <c r="AT26" s="2032">
        <v>68848</v>
      </c>
      <c r="AU26" s="2033">
        <f t="shared" si="5"/>
        <v>0.95389048991354464</v>
      </c>
      <c r="AV26" s="2032">
        <v>0</v>
      </c>
      <c r="AW26" s="2032">
        <v>2179</v>
      </c>
      <c r="AX26" s="2032">
        <v>2177</v>
      </c>
      <c r="AY26" s="2033">
        <f t="shared" si="6"/>
        <v>0.99908214777420834</v>
      </c>
      <c r="AZ26" s="2032">
        <f t="shared" si="7"/>
        <v>70149</v>
      </c>
      <c r="BA26" s="2032">
        <f t="shared" si="7"/>
        <v>74355</v>
      </c>
      <c r="BB26" s="2032">
        <f t="shared" si="7"/>
        <v>71025</v>
      </c>
      <c r="BC26" s="2033">
        <f t="shared" si="8"/>
        <v>0.9552148476901352</v>
      </c>
      <c r="BD26" s="2032">
        <f t="shared" si="9"/>
        <v>71157</v>
      </c>
      <c r="BE26" s="2032">
        <f t="shared" si="9"/>
        <v>77034</v>
      </c>
      <c r="BF26" s="2032">
        <f t="shared" si="9"/>
        <v>73702</v>
      </c>
      <c r="BG26" s="2033">
        <f t="shared" si="10"/>
        <v>0.95674637173196253</v>
      </c>
    </row>
    <row r="27" spans="1:59" ht="57" customHeight="1" thickBot="1" x14ac:dyDescent="0.65">
      <c r="A27" s="1933" t="s">
        <v>1366</v>
      </c>
      <c r="B27" s="2035">
        <v>672</v>
      </c>
      <c r="C27" s="2032">
        <v>3050</v>
      </c>
      <c r="D27" s="2035">
        <v>3049</v>
      </c>
      <c r="E27" s="2036">
        <f t="shared" si="0"/>
        <v>0.99967213114754094</v>
      </c>
      <c r="F27" s="2035">
        <v>0</v>
      </c>
      <c r="G27" s="2032">
        <v>0</v>
      </c>
      <c r="H27" s="2035"/>
      <c r="I27" s="2036"/>
      <c r="J27" s="2035">
        <v>0</v>
      </c>
      <c r="K27" s="2032">
        <v>0</v>
      </c>
      <c r="L27" s="2035"/>
      <c r="M27" s="2036"/>
      <c r="N27" s="2035">
        <v>0</v>
      </c>
      <c r="O27" s="2035">
        <v>0</v>
      </c>
      <c r="P27" s="2032"/>
      <c r="Q27" s="2036"/>
      <c r="R27" s="2032">
        <f t="shared" si="1"/>
        <v>672</v>
      </c>
      <c r="S27" s="2032">
        <f t="shared" si="1"/>
        <v>3050</v>
      </c>
      <c r="T27" s="2032">
        <v>3049</v>
      </c>
      <c r="U27" s="2036">
        <f t="shared" si="2"/>
        <v>0.99967213114754094</v>
      </c>
      <c r="V27" s="2034" t="s">
        <v>1366</v>
      </c>
      <c r="W27" s="2035">
        <v>0</v>
      </c>
      <c r="X27" s="2035">
        <v>0</v>
      </c>
      <c r="Y27" s="2035"/>
      <c r="Z27" s="2036"/>
      <c r="AA27" s="2035">
        <v>0</v>
      </c>
      <c r="AB27" s="2035">
        <v>0</v>
      </c>
      <c r="AC27" s="2032"/>
      <c r="AD27" s="2036"/>
      <c r="AE27" s="2035">
        <v>0</v>
      </c>
      <c r="AF27" s="2035">
        <v>0</v>
      </c>
      <c r="AG27" s="2035"/>
      <c r="AH27" s="2053"/>
      <c r="AI27" s="2032">
        <f t="shared" si="3"/>
        <v>0</v>
      </c>
      <c r="AJ27" s="2032">
        <f t="shared" si="3"/>
        <v>0</v>
      </c>
      <c r="AK27" s="2032">
        <f t="shared" si="3"/>
        <v>0</v>
      </c>
      <c r="AL27" s="2036"/>
      <c r="AM27" s="2035"/>
      <c r="AN27" s="2032">
        <v>562</v>
      </c>
      <c r="AO27" s="2035">
        <v>562</v>
      </c>
      <c r="AP27" s="2036">
        <f t="shared" si="4"/>
        <v>1</v>
      </c>
      <c r="AQ27" s="2034" t="s">
        <v>1366</v>
      </c>
      <c r="AR27" s="2035">
        <v>50862</v>
      </c>
      <c r="AS27" s="2032">
        <v>51967</v>
      </c>
      <c r="AT27" s="2035">
        <v>48719</v>
      </c>
      <c r="AU27" s="2036">
        <f t="shared" si="5"/>
        <v>0.9374987973136798</v>
      </c>
      <c r="AV27" s="2035">
        <v>0</v>
      </c>
      <c r="AW27" s="2032">
        <v>1040</v>
      </c>
      <c r="AX27" s="2035">
        <v>569</v>
      </c>
      <c r="AY27" s="2036">
        <f>AX27/AW27</f>
        <v>0.54711538461538467</v>
      </c>
      <c r="AZ27" s="2032">
        <f t="shared" si="7"/>
        <v>50862</v>
      </c>
      <c r="BA27" s="2032">
        <f t="shared" si="7"/>
        <v>53007</v>
      </c>
      <c r="BB27" s="2032">
        <f t="shared" si="7"/>
        <v>49288</v>
      </c>
      <c r="BC27" s="2036">
        <f t="shared" si="8"/>
        <v>0.92983945516629884</v>
      </c>
      <c r="BD27" s="2032">
        <f t="shared" si="9"/>
        <v>51534</v>
      </c>
      <c r="BE27" s="2032">
        <f t="shared" si="9"/>
        <v>56619</v>
      </c>
      <c r="BF27" s="2032">
        <f t="shared" si="9"/>
        <v>52899</v>
      </c>
      <c r="BG27" s="2036">
        <f t="shared" si="10"/>
        <v>0.93429767392571395</v>
      </c>
    </row>
    <row r="28" spans="1:59" ht="57" customHeight="1" thickBot="1" x14ac:dyDescent="0.65">
      <c r="A28" s="1934" t="s">
        <v>1158</v>
      </c>
      <c r="B28" s="2038">
        <f>SUM(B10:B27)</f>
        <v>16884</v>
      </c>
      <c r="C28" s="2038">
        <f>SUM(C10:C27)</f>
        <v>34440</v>
      </c>
      <c r="D28" s="2038">
        <f>SUM(D10:D27)</f>
        <v>34411</v>
      </c>
      <c r="E28" s="2039">
        <f t="shared" si="0"/>
        <v>0.9991579558652729</v>
      </c>
      <c r="F28" s="2038">
        <f>SUM(F10:F27)</f>
        <v>0</v>
      </c>
      <c r="G28" s="2038">
        <f>SUM(G10:G27)</f>
        <v>400</v>
      </c>
      <c r="H28" s="2038">
        <f>SUM(H10:H27)</f>
        <v>400</v>
      </c>
      <c r="I28" s="2039">
        <f>H28/G28</f>
        <v>1</v>
      </c>
      <c r="J28" s="2038">
        <f>SUM(J10:J27)</f>
        <v>0</v>
      </c>
      <c r="K28" s="2038">
        <f>SUM(K10:K27)</f>
        <v>1809</v>
      </c>
      <c r="L28" s="2038">
        <f>SUM(L10:L27)</f>
        <v>1806</v>
      </c>
      <c r="M28" s="2039">
        <f>L28/K28</f>
        <v>0.99834162520729686</v>
      </c>
      <c r="N28" s="2038">
        <f>SUM(N10:N27)</f>
        <v>0</v>
      </c>
      <c r="O28" s="2038">
        <f>SUM(O10:O27)</f>
        <v>0</v>
      </c>
      <c r="P28" s="2038">
        <f>SUM(P10:P27)</f>
        <v>0</v>
      </c>
      <c r="Q28" s="2039"/>
      <c r="R28" s="2038">
        <f>SUM(R10:R27)</f>
        <v>16884</v>
      </c>
      <c r="S28" s="2038">
        <f>SUM(S10:S27)</f>
        <v>36649</v>
      </c>
      <c r="T28" s="2038">
        <f>SUM(T10:T27)</f>
        <v>36617</v>
      </c>
      <c r="U28" s="2039">
        <f t="shared" si="2"/>
        <v>0.99912685202870477</v>
      </c>
      <c r="V28" s="2037" t="s">
        <v>1158</v>
      </c>
      <c r="W28" s="2038">
        <f>SUM(W10:W27)</f>
        <v>0</v>
      </c>
      <c r="X28" s="2038">
        <f>SUM(X10:X27)</f>
        <v>0</v>
      </c>
      <c r="Y28" s="2038">
        <f>SUM(Y10:Y27)</f>
        <v>0</v>
      </c>
      <c r="Z28" s="2039"/>
      <c r="AA28" s="2038">
        <f>SUM(AA10:AA27)</f>
        <v>0</v>
      </c>
      <c r="AB28" s="2038">
        <f>SUM(AB10:AB27)</f>
        <v>0</v>
      </c>
      <c r="AC28" s="2038">
        <f>SUM(AC10:AC27)</f>
        <v>0</v>
      </c>
      <c r="AD28" s="2039"/>
      <c r="AE28" s="2038">
        <f>SUM(AE10:AE27)</f>
        <v>0</v>
      </c>
      <c r="AF28" s="2038">
        <f>SUM(AF10:AF27)</f>
        <v>0</v>
      </c>
      <c r="AG28" s="2038">
        <f>SUM(AG10:AG27)</f>
        <v>0</v>
      </c>
      <c r="AH28" s="2039"/>
      <c r="AI28" s="2038">
        <f>SUM(AI10:AI27)</f>
        <v>0</v>
      </c>
      <c r="AJ28" s="2038">
        <f>SUM(AJ10:AJ27)</f>
        <v>0</v>
      </c>
      <c r="AK28" s="2038">
        <f>SUM(AK10:AK27)</f>
        <v>0</v>
      </c>
      <c r="AL28" s="2039"/>
      <c r="AM28" s="2038">
        <f>SUM(AM10:AM27)</f>
        <v>0</v>
      </c>
      <c r="AN28" s="2038">
        <f>SUM(AN10:AN27)</f>
        <v>6072</v>
      </c>
      <c r="AO28" s="2038">
        <f>SUM(AO10:AO27)</f>
        <v>6072</v>
      </c>
      <c r="AP28" s="2039">
        <f t="shared" si="4"/>
        <v>1</v>
      </c>
      <c r="AQ28" s="2037" t="s">
        <v>1158</v>
      </c>
      <c r="AR28" s="2038">
        <f>SUM(AR10:AR27)</f>
        <v>1659194</v>
      </c>
      <c r="AS28" s="2038">
        <f>SUM(AS10:AS27)</f>
        <v>1717762</v>
      </c>
      <c r="AT28" s="2038">
        <f>SUM(AT10:AT27)</f>
        <v>1655355</v>
      </c>
      <c r="AU28" s="2039">
        <f t="shared" si="5"/>
        <v>0.96366958868574337</v>
      </c>
      <c r="AV28" s="2038">
        <f>SUM(AV10:AV27)</f>
        <v>0</v>
      </c>
      <c r="AW28" s="2038">
        <f>SUM(AW10:AW27)</f>
        <v>89973</v>
      </c>
      <c r="AX28" s="2038">
        <f>SUM(AX10:AX27)</f>
        <v>86655</v>
      </c>
      <c r="AY28" s="2039">
        <f>AX28/AW28</f>
        <v>0.96312227001433759</v>
      </c>
      <c r="AZ28" s="2038">
        <f>SUM(AZ10:AZ27)</f>
        <v>1659194</v>
      </c>
      <c r="BA28" s="2038">
        <f>SUM(BA10:BA27)</f>
        <v>1807735</v>
      </c>
      <c r="BB28" s="2038">
        <f>SUM(BB10:BB27)</f>
        <v>1742010</v>
      </c>
      <c r="BC28" s="2039">
        <f t="shared" si="8"/>
        <v>0.96364234802114246</v>
      </c>
      <c r="BD28" s="2038">
        <f>SUM(BD10:BD27)</f>
        <v>1676078</v>
      </c>
      <c r="BE28" s="2038">
        <f>SUM(BE10:BE27)</f>
        <v>1850456</v>
      </c>
      <c r="BF28" s="2038">
        <f>SUM(BF10:BF27)</f>
        <v>1784699</v>
      </c>
      <c r="BG28" s="2039">
        <f t="shared" si="10"/>
        <v>0.9644644347123088</v>
      </c>
    </row>
    <row r="29" spans="1:59" ht="57" customHeight="1" thickBot="1" x14ac:dyDescent="0.65">
      <c r="A29" s="1934" t="s">
        <v>226</v>
      </c>
      <c r="B29" s="2038">
        <v>396215</v>
      </c>
      <c r="C29" s="2032">
        <v>363547</v>
      </c>
      <c r="D29" s="2038">
        <v>364198</v>
      </c>
      <c r="E29" s="2039">
        <f t="shared" si="0"/>
        <v>1.0017906900620828</v>
      </c>
      <c r="F29" s="2038">
        <f>[4]int.bevételek2017!C28</f>
        <v>0</v>
      </c>
      <c r="G29" s="2032">
        <f>'[5]int.bevételek RM V'!G29</f>
        <v>5009</v>
      </c>
      <c r="H29" s="2038">
        <v>5009</v>
      </c>
      <c r="I29" s="2039">
        <f>H29/G29</f>
        <v>1</v>
      </c>
      <c r="J29" s="2038">
        <f>[4]int.bevételek2017!D28</f>
        <v>0</v>
      </c>
      <c r="K29" s="2032">
        <f>'[5]int.bevételek RM V'!J29</f>
        <v>0</v>
      </c>
      <c r="L29" s="2038"/>
      <c r="M29" s="2039"/>
      <c r="N29" s="2038">
        <f>[4]int.bevételek2017!E28</f>
        <v>0</v>
      </c>
      <c r="O29" s="2038">
        <f>'[5]int.bevételek RM V'!M29</f>
        <v>0</v>
      </c>
      <c r="P29" s="2038"/>
      <c r="Q29" s="2039"/>
      <c r="R29" s="2032">
        <f>B29+F29+J29+N29</f>
        <v>396215</v>
      </c>
      <c r="S29" s="2032">
        <f>C29+G29+K29+O29</f>
        <v>368556</v>
      </c>
      <c r="T29" s="2032">
        <f>D29+H29+L29+P29</f>
        <v>369207</v>
      </c>
      <c r="U29" s="2039">
        <f t="shared" si="2"/>
        <v>1.001766353010126</v>
      </c>
      <c r="V29" s="2037" t="s">
        <v>226</v>
      </c>
      <c r="W29" s="2038">
        <f>[4]int.bevételek2017!H28</f>
        <v>0</v>
      </c>
      <c r="X29" s="2038">
        <f>'[5]int.bevételek RM V'!T29</f>
        <v>34</v>
      </c>
      <c r="Y29" s="2038">
        <v>34</v>
      </c>
      <c r="Z29" s="2039">
        <f>Y29/X29</f>
        <v>1</v>
      </c>
      <c r="AA29" s="2038">
        <f>[4]int.bevételek2017!I28</f>
        <v>0</v>
      </c>
      <c r="AB29" s="2038">
        <f>'[5]int.bevételek RM V'!W29</f>
        <v>0</v>
      </c>
      <c r="AC29" s="2038"/>
      <c r="AD29" s="2039"/>
      <c r="AE29" s="2038">
        <f>[4]int.bevételek2017!J28</f>
        <v>0</v>
      </c>
      <c r="AF29" s="2038">
        <f>'[5]int.bevételek RM V'!Z29</f>
        <v>0</v>
      </c>
      <c r="AG29" s="2038"/>
      <c r="AH29" s="2039"/>
      <c r="AI29" s="2032">
        <f>W29+AA29+AE29</f>
        <v>0</v>
      </c>
      <c r="AJ29" s="2032">
        <f>X29+AB29+AF29</f>
        <v>34</v>
      </c>
      <c r="AK29" s="2032">
        <f>Y29+AC29+AG29</f>
        <v>34</v>
      </c>
      <c r="AL29" s="2039">
        <f>AK29/AJ29</f>
        <v>1</v>
      </c>
      <c r="AM29" s="2038"/>
      <c r="AN29" s="2032">
        <f>'[5]int.bevételek RM V'!AJ29</f>
        <v>2655</v>
      </c>
      <c r="AO29" s="2038">
        <v>2655</v>
      </c>
      <c r="AP29" s="2039">
        <f t="shared" si="4"/>
        <v>1</v>
      </c>
      <c r="AQ29" s="2037" t="s">
        <v>226</v>
      </c>
      <c r="AR29" s="2038">
        <f>[4]int.bevételek2017!L28</f>
        <v>1000409</v>
      </c>
      <c r="AS29" s="2032">
        <v>1068945</v>
      </c>
      <c r="AT29" s="2038">
        <v>958960</v>
      </c>
      <c r="AU29" s="2039">
        <f t="shared" si="5"/>
        <v>0.89710883160499366</v>
      </c>
      <c r="AV29" s="2038">
        <f>[4]int.bevételek2017!M28</f>
        <v>0</v>
      </c>
      <c r="AW29" s="2032">
        <f>'[5]int.bevételek RM V'!AP29</f>
        <v>133454</v>
      </c>
      <c r="AX29" s="2038">
        <v>104750</v>
      </c>
      <c r="AY29" s="2039">
        <f>AX29/AW29</f>
        <v>0.78491465223972301</v>
      </c>
      <c r="AZ29" s="2032">
        <f>AR29+AV29</f>
        <v>1000409</v>
      </c>
      <c r="BA29" s="2032">
        <f>AS29+AW29</f>
        <v>1202399</v>
      </c>
      <c r="BB29" s="2032">
        <f>AT29+AX29</f>
        <v>1063710</v>
      </c>
      <c r="BC29" s="2039">
        <f t="shared" si="8"/>
        <v>0.88465642436495706</v>
      </c>
      <c r="BD29" s="2032">
        <f>R29+AI29+AM29+AZ29</f>
        <v>1396624</v>
      </c>
      <c r="BE29" s="2032">
        <f>S29+AJ29+AN29+BA29</f>
        <v>1573644</v>
      </c>
      <c r="BF29" s="2032">
        <f>T29+AK29+AO29+BB29</f>
        <v>1435606</v>
      </c>
      <c r="BG29" s="2039">
        <f t="shared" si="10"/>
        <v>0.91228130377645766</v>
      </c>
    </row>
    <row r="30" spans="1:59" ht="57" customHeight="1" thickBot="1" x14ac:dyDescent="0.65">
      <c r="A30" s="1934" t="s">
        <v>4</v>
      </c>
      <c r="B30" s="2038">
        <f>SUM(B28:B29)</f>
        <v>413099</v>
      </c>
      <c r="C30" s="2038">
        <f>SUM(C28:C29)</f>
        <v>397987</v>
      </c>
      <c r="D30" s="2038">
        <f>SUM(D28:D29)</f>
        <v>398609</v>
      </c>
      <c r="E30" s="2040">
        <f t="shared" si="0"/>
        <v>1.0015628651187098</v>
      </c>
      <c r="F30" s="2038">
        <f>SUM(F28:F29)</f>
        <v>0</v>
      </c>
      <c r="G30" s="2038">
        <f>SUM(G28:G29)</f>
        <v>5409</v>
      </c>
      <c r="H30" s="2038">
        <f>SUM(H28:H29)</f>
        <v>5409</v>
      </c>
      <c r="I30" s="2040">
        <f>H30/G30</f>
        <v>1</v>
      </c>
      <c r="J30" s="2038">
        <f>SUM(J28:J29)</f>
        <v>0</v>
      </c>
      <c r="K30" s="2038">
        <f>SUM(K28:K29)</f>
        <v>1809</v>
      </c>
      <c r="L30" s="2038">
        <f>SUM(L28:L29)</f>
        <v>1806</v>
      </c>
      <c r="M30" s="2040">
        <f>L30/K30</f>
        <v>0.99834162520729686</v>
      </c>
      <c r="N30" s="2038">
        <f>SUM(N28:N29)</f>
        <v>0</v>
      </c>
      <c r="O30" s="2038">
        <f>SUM(O28:O29)</f>
        <v>0</v>
      </c>
      <c r="P30" s="2038">
        <f>SUM(P28:P29)</f>
        <v>0</v>
      </c>
      <c r="Q30" s="2040"/>
      <c r="R30" s="2038">
        <f>SUM(R28:R29)</f>
        <v>413099</v>
      </c>
      <c r="S30" s="2038">
        <f>SUM(S28:S29)</f>
        <v>405205</v>
      </c>
      <c r="T30" s="2038">
        <f>SUM(T28:T29)</f>
        <v>405824</v>
      </c>
      <c r="U30" s="2040">
        <f t="shared" si="2"/>
        <v>1.0015276218210536</v>
      </c>
      <c r="V30" s="2037" t="s">
        <v>4</v>
      </c>
      <c r="W30" s="2038">
        <f>SUM(W28:W29)</f>
        <v>0</v>
      </c>
      <c r="X30" s="2038">
        <f>SUM(X28:X29)</f>
        <v>34</v>
      </c>
      <c r="Y30" s="2038">
        <f>SUM(Y28:Y29)</f>
        <v>34</v>
      </c>
      <c r="Z30" s="2040">
        <f>Y30/X30</f>
        <v>1</v>
      </c>
      <c r="AA30" s="2038">
        <f>SUM(AA28:AA29)</f>
        <v>0</v>
      </c>
      <c r="AB30" s="2038">
        <f>SUM(AB28:AB29)</f>
        <v>0</v>
      </c>
      <c r="AC30" s="2038">
        <f>SUM(AC28:AC29)</f>
        <v>0</v>
      </c>
      <c r="AD30" s="2040"/>
      <c r="AE30" s="2038">
        <f>SUM(AE28:AE29)</f>
        <v>0</v>
      </c>
      <c r="AF30" s="2038">
        <f>SUM(AF28:AF29)</f>
        <v>0</v>
      </c>
      <c r="AG30" s="2038">
        <f>SUM(AG28:AG29)</f>
        <v>0</v>
      </c>
      <c r="AH30" s="2039"/>
      <c r="AI30" s="2038">
        <f>AI28+AI29</f>
        <v>0</v>
      </c>
      <c r="AJ30" s="2038">
        <f>AJ28+AJ29</f>
        <v>34</v>
      </c>
      <c r="AK30" s="2038">
        <f>AK28+AK29</f>
        <v>34</v>
      </c>
      <c r="AL30" s="2040">
        <f>AK30/AJ30</f>
        <v>1</v>
      </c>
      <c r="AM30" s="2038">
        <f>SUM(AM28:AM29)</f>
        <v>0</v>
      </c>
      <c r="AN30" s="2038">
        <f>SUM(AN28:AN29)</f>
        <v>8727</v>
      </c>
      <c r="AO30" s="2038">
        <f>SUM(AO28:AO29)</f>
        <v>8727</v>
      </c>
      <c r="AP30" s="2040">
        <f t="shared" si="4"/>
        <v>1</v>
      </c>
      <c r="AQ30" s="2037" t="s">
        <v>4</v>
      </c>
      <c r="AR30" s="2038">
        <f>SUM(AR28:AR29)</f>
        <v>2659603</v>
      </c>
      <c r="AS30" s="2038">
        <f>SUM(AS28:AS29)</f>
        <v>2786707</v>
      </c>
      <c r="AT30" s="2038">
        <f>SUM(AT28:AT29)</f>
        <v>2614315</v>
      </c>
      <c r="AU30" s="2040">
        <f t="shared" si="5"/>
        <v>0.93813773748011542</v>
      </c>
      <c r="AV30" s="2038">
        <f>SUM(AV28:AV29)</f>
        <v>0</v>
      </c>
      <c r="AW30" s="2038">
        <f>SUM(AW28:AW29)</f>
        <v>223427</v>
      </c>
      <c r="AX30" s="2038">
        <f>SUM(AX28:AX29)</f>
        <v>191405</v>
      </c>
      <c r="AY30" s="2040">
        <f>AX30/AW30</f>
        <v>0.85667802011395222</v>
      </c>
      <c r="AZ30" s="2038">
        <f>AZ28+AZ29</f>
        <v>2659603</v>
      </c>
      <c r="BA30" s="2038">
        <f>BA28+BA29</f>
        <v>3010134</v>
      </c>
      <c r="BB30" s="2038">
        <f>BB28+BB29</f>
        <v>2805720</v>
      </c>
      <c r="BC30" s="2040">
        <f t="shared" si="8"/>
        <v>0.93209139526678875</v>
      </c>
      <c r="BD30" s="2038">
        <f>BD28+BD29</f>
        <v>3072702</v>
      </c>
      <c r="BE30" s="2038">
        <f>BE28+BE29</f>
        <v>3424100</v>
      </c>
      <c r="BF30" s="2038">
        <f>BF28+BF29</f>
        <v>3220305</v>
      </c>
      <c r="BG30" s="2040">
        <f t="shared" si="10"/>
        <v>0.94048217049735694</v>
      </c>
    </row>
    <row r="31" spans="1:59" ht="57" customHeight="1" x14ac:dyDescent="0.6">
      <c r="A31" s="1935" t="s">
        <v>1367</v>
      </c>
      <c r="B31" s="2035"/>
      <c r="C31" s="2035"/>
      <c r="D31" s="2035"/>
      <c r="E31" s="2035"/>
      <c r="F31" s="2035"/>
      <c r="G31" s="2035"/>
      <c r="H31" s="2035"/>
      <c r="I31" s="2035"/>
      <c r="J31" s="2035"/>
      <c r="K31" s="2035"/>
      <c r="L31" s="2035"/>
      <c r="M31" s="2035"/>
      <c r="N31" s="2035"/>
      <c r="O31" s="2035"/>
      <c r="P31" s="2035"/>
      <c r="Q31" s="2035"/>
      <c r="R31" s="2035"/>
      <c r="S31" s="2035"/>
      <c r="T31" s="2035"/>
      <c r="U31" s="2035"/>
      <c r="V31" s="2041" t="s">
        <v>1367</v>
      </c>
      <c r="W31" s="2035"/>
      <c r="X31" s="2035"/>
      <c r="Y31" s="2035"/>
      <c r="Z31" s="2035"/>
      <c r="AA31" s="2035"/>
      <c r="AB31" s="2035"/>
      <c r="AC31" s="2035"/>
      <c r="AD31" s="2035"/>
      <c r="AE31" s="2035"/>
      <c r="AF31" s="2035"/>
      <c r="AG31" s="2035"/>
      <c r="AH31" s="2035"/>
      <c r="AI31" s="2035"/>
      <c r="AJ31" s="2035"/>
      <c r="AK31" s="2035"/>
      <c r="AL31" s="2035"/>
      <c r="AM31" s="2035"/>
      <c r="AN31" s="2035"/>
      <c r="AO31" s="2035"/>
      <c r="AP31" s="2035"/>
      <c r="AQ31" s="2041" t="s">
        <v>1367</v>
      </c>
      <c r="AR31" s="2035"/>
      <c r="AS31" s="2035"/>
      <c r="AT31" s="2035"/>
      <c r="AU31" s="2035"/>
      <c r="AV31" s="2035"/>
      <c r="AW31" s="2035"/>
      <c r="AX31" s="2035"/>
      <c r="AY31" s="2035"/>
      <c r="AZ31" s="2035"/>
      <c r="BA31" s="2035"/>
      <c r="BB31" s="2035"/>
      <c r="BC31" s="2035"/>
      <c r="BD31" s="2035"/>
      <c r="BE31" s="2035"/>
      <c r="BF31" s="2035"/>
      <c r="BG31" s="2035"/>
    </row>
    <row r="32" spans="1:59" ht="57" customHeight="1" x14ac:dyDescent="0.6">
      <c r="A32" s="1936" t="s">
        <v>1160</v>
      </c>
      <c r="B32" s="2035"/>
      <c r="C32" s="2035"/>
      <c r="D32" s="2035"/>
      <c r="E32" s="2035"/>
      <c r="F32" s="2035"/>
      <c r="G32" s="2035"/>
      <c r="H32" s="2035"/>
      <c r="I32" s="2035"/>
      <c r="J32" s="2035"/>
      <c r="K32" s="2035"/>
      <c r="L32" s="2035"/>
      <c r="M32" s="2035"/>
      <c r="N32" s="2035"/>
      <c r="O32" s="2035"/>
      <c r="P32" s="2035"/>
      <c r="Q32" s="2035"/>
      <c r="R32" s="2035"/>
      <c r="S32" s="2035"/>
      <c r="T32" s="2035"/>
      <c r="U32" s="2035"/>
      <c r="V32" s="2042" t="s">
        <v>1160</v>
      </c>
      <c r="W32" s="2035"/>
      <c r="X32" s="2035"/>
      <c r="Y32" s="2035"/>
      <c r="Z32" s="2035"/>
      <c r="AA32" s="2035"/>
      <c r="AB32" s="2035"/>
      <c r="AC32" s="2035"/>
      <c r="AD32" s="2035"/>
      <c r="AE32" s="2035"/>
      <c r="AF32" s="2035"/>
      <c r="AG32" s="2035"/>
      <c r="AH32" s="2035"/>
      <c r="AI32" s="2035"/>
      <c r="AJ32" s="2035"/>
      <c r="AK32" s="2035"/>
      <c r="AL32" s="2035"/>
      <c r="AM32" s="2035"/>
      <c r="AN32" s="2035"/>
      <c r="AO32" s="2035"/>
      <c r="AP32" s="2035"/>
      <c r="AQ32" s="2042" t="s">
        <v>1160</v>
      </c>
      <c r="AR32" s="2035"/>
      <c r="AS32" s="2035"/>
      <c r="AT32" s="2035"/>
      <c r="AU32" s="2035"/>
      <c r="AV32" s="2035"/>
      <c r="AW32" s="2035"/>
      <c r="AX32" s="2035"/>
      <c r="AY32" s="2035"/>
      <c r="AZ32" s="2035"/>
      <c r="BA32" s="2035"/>
      <c r="BB32" s="2035"/>
      <c r="BC32" s="2035"/>
      <c r="BD32" s="2035"/>
      <c r="BE32" s="2035"/>
      <c r="BF32" s="2035"/>
      <c r="BG32" s="2035"/>
    </row>
    <row r="33" spans="1:59" ht="57" customHeight="1" x14ac:dyDescent="0.6">
      <c r="A33" s="1937" t="s">
        <v>1206</v>
      </c>
      <c r="B33" s="2035">
        <v>247454</v>
      </c>
      <c r="C33" s="2032">
        <v>314949</v>
      </c>
      <c r="D33" s="2035">
        <v>314949</v>
      </c>
      <c r="E33" s="2033">
        <f t="shared" ref="E33:E38" si="11">D33/C33</f>
        <v>1</v>
      </c>
      <c r="F33" s="2035">
        <v>0</v>
      </c>
      <c r="G33" s="2032">
        <v>4200</v>
      </c>
      <c r="H33" s="2035">
        <v>4200</v>
      </c>
      <c r="I33" s="2033">
        <f t="shared" ref="I33:I38" si="12">H33/G33</f>
        <v>1</v>
      </c>
      <c r="J33" s="2035">
        <v>0</v>
      </c>
      <c r="K33" s="2032">
        <v>627</v>
      </c>
      <c r="L33" s="2035">
        <v>627</v>
      </c>
      <c r="M33" s="2033">
        <f>L33/K33</f>
        <v>1</v>
      </c>
      <c r="N33" s="2035">
        <v>0</v>
      </c>
      <c r="O33" s="2035">
        <v>0</v>
      </c>
      <c r="P33" s="2032"/>
      <c r="Q33" s="2033"/>
      <c r="R33" s="2032">
        <f t="shared" ref="R33:T37" si="13">B33+F33+J33+N33</f>
        <v>247454</v>
      </c>
      <c r="S33" s="2032">
        <f t="shared" si="13"/>
        <v>319776</v>
      </c>
      <c r="T33" s="2032">
        <f t="shared" si="13"/>
        <v>319776</v>
      </c>
      <c r="U33" s="2033">
        <f t="shared" ref="U33:U38" si="14">T33/S33</f>
        <v>1</v>
      </c>
      <c r="V33" s="2043" t="s">
        <v>1206</v>
      </c>
      <c r="W33" s="2035">
        <v>0</v>
      </c>
      <c r="X33" s="2035">
        <v>445</v>
      </c>
      <c r="Y33" s="2035">
        <v>445</v>
      </c>
      <c r="Z33" s="2033">
        <f>Y33/X33</f>
        <v>1</v>
      </c>
      <c r="AA33" s="2035">
        <v>0</v>
      </c>
      <c r="AB33" s="2035">
        <v>1600</v>
      </c>
      <c r="AC33" s="2035">
        <v>1600</v>
      </c>
      <c r="AD33" s="2033">
        <f>AC33/AB33</f>
        <v>1</v>
      </c>
      <c r="AE33" s="2035">
        <v>0</v>
      </c>
      <c r="AF33" s="2035">
        <v>0</v>
      </c>
      <c r="AG33" s="2035"/>
      <c r="AH33" s="2033"/>
      <c r="AI33" s="2032">
        <f t="shared" ref="AI33:AK37" si="15">W33+AA33+AE33</f>
        <v>0</v>
      </c>
      <c r="AJ33" s="2032">
        <f t="shared" si="15"/>
        <v>2045</v>
      </c>
      <c r="AK33" s="2032">
        <f t="shared" si="15"/>
        <v>2045</v>
      </c>
      <c r="AL33" s="2033">
        <f>AK33/AJ33</f>
        <v>1</v>
      </c>
      <c r="AM33" s="2035"/>
      <c r="AN33" s="2032">
        <v>34320</v>
      </c>
      <c r="AO33" s="2035">
        <v>34320</v>
      </c>
      <c r="AP33" s="2033">
        <f t="shared" ref="AP33:AP38" si="16">AO33/AN33</f>
        <v>1</v>
      </c>
      <c r="AQ33" s="2043" t="s">
        <v>1206</v>
      </c>
      <c r="AR33" s="2035">
        <f>[4]int.bevételek2017!L32</f>
        <v>99994</v>
      </c>
      <c r="AS33" s="2032">
        <v>124683</v>
      </c>
      <c r="AT33" s="2035">
        <v>107293</v>
      </c>
      <c r="AU33" s="2033">
        <f t="shared" ref="AU33:AU38" si="17">AT33/AS33</f>
        <v>0.86052629468331687</v>
      </c>
      <c r="AV33" s="2035">
        <v>0</v>
      </c>
      <c r="AW33" s="2032">
        <v>13896</v>
      </c>
      <c r="AX33" s="2035">
        <v>13309</v>
      </c>
      <c r="AY33" s="2033">
        <f t="shared" ref="AY33:AY38" si="18">AX33/AW33</f>
        <v>0.95775762809441567</v>
      </c>
      <c r="AZ33" s="2032">
        <f t="shared" ref="AZ33:BB37" si="19">AR33+AV33</f>
        <v>99994</v>
      </c>
      <c r="BA33" s="2032">
        <f t="shared" si="19"/>
        <v>138579</v>
      </c>
      <c r="BB33" s="2032">
        <f t="shared" si="19"/>
        <v>120602</v>
      </c>
      <c r="BC33" s="2033">
        <f t="shared" ref="BC33:BC38" si="20">BB33/BA33</f>
        <v>0.87027616016856812</v>
      </c>
      <c r="BD33" s="2032">
        <f t="shared" ref="BD33:BF37" si="21">R33+AI33+AM33+AZ33</f>
        <v>347448</v>
      </c>
      <c r="BE33" s="2032">
        <f t="shared" si="21"/>
        <v>494720</v>
      </c>
      <c r="BF33" s="2032">
        <f t="shared" si="21"/>
        <v>476743</v>
      </c>
      <c r="BG33" s="2033">
        <f t="shared" ref="BG33:BG38" si="22">BF33/BE33</f>
        <v>0.96366227360931433</v>
      </c>
    </row>
    <row r="34" spans="1:59" ht="57" customHeight="1" x14ac:dyDescent="0.6">
      <c r="A34" s="1938" t="s">
        <v>386</v>
      </c>
      <c r="B34" s="2019">
        <v>31030</v>
      </c>
      <c r="C34" s="2032">
        <v>34728</v>
      </c>
      <c r="D34" s="2019">
        <v>34729</v>
      </c>
      <c r="E34" s="2033">
        <f t="shared" si="11"/>
        <v>1.0000287952084772</v>
      </c>
      <c r="F34" s="2019">
        <v>0</v>
      </c>
      <c r="G34" s="2032">
        <v>17828</v>
      </c>
      <c r="H34" s="2019">
        <v>17828</v>
      </c>
      <c r="I34" s="2033">
        <f t="shared" si="12"/>
        <v>1</v>
      </c>
      <c r="J34" s="2019">
        <v>2000</v>
      </c>
      <c r="K34" s="2032">
        <v>0</v>
      </c>
      <c r="L34" s="2019"/>
      <c r="M34" s="2033"/>
      <c r="N34" s="2019">
        <v>0</v>
      </c>
      <c r="O34" s="2019">
        <v>0</v>
      </c>
      <c r="P34" s="2032"/>
      <c r="Q34" s="2033"/>
      <c r="R34" s="2032">
        <f t="shared" si="13"/>
        <v>33030</v>
      </c>
      <c r="S34" s="2032">
        <f t="shared" si="13"/>
        <v>52556</v>
      </c>
      <c r="T34" s="2032">
        <f t="shared" si="13"/>
        <v>52557</v>
      </c>
      <c r="U34" s="2033">
        <f t="shared" si="14"/>
        <v>1.0000190273232361</v>
      </c>
      <c r="V34" s="2044" t="s">
        <v>386</v>
      </c>
      <c r="W34" s="2019">
        <v>0</v>
      </c>
      <c r="X34" s="2019">
        <v>0</v>
      </c>
      <c r="Y34" s="2019"/>
      <c r="Z34" s="2033"/>
      <c r="AA34" s="2019">
        <v>0</v>
      </c>
      <c r="AB34" s="2019">
        <v>0</v>
      </c>
      <c r="AC34" s="2019"/>
      <c r="AD34" s="2033"/>
      <c r="AE34" s="2019">
        <v>0</v>
      </c>
      <c r="AF34" s="2019">
        <v>0</v>
      </c>
      <c r="AG34" s="2019"/>
      <c r="AH34" s="2033"/>
      <c r="AI34" s="2032">
        <f t="shared" si="15"/>
        <v>0</v>
      </c>
      <c r="AJ34" s="2032">
        <f t="shared" si="15"/>
        <v>0</v>
      </c>
      <c r="AK34" s="2032">
        <f t="shared" si="15"/>
        <v>0</v>
      </c>
      <c r="AL34" s="2033"/>
      <c r="AM34" s="2019"/>
      <c r="AN34" s="2032">
        <v>913</v>
      </c>
      <c r="AO34" s="2019">
        <v>913</v>
      </c>
      <c r="AP34" s="2033">
        <f t="shared" si="16"/>
        <v>1</v>
      </c>
      <c r="AQ34" s="2044" t="s">
        <v>386</v>
      </c>
      <c r="AR34" s="2019">
        <f>[4]int.bevételek2017!L33</f>
        <v>80412</v>
      </c>
      <c r="AS34" s="2032">
        <v>110625</v>
      </c>
      <c r="AT34" s="2019">
        <v>95912</v>
      </c>
      <c r="AU34" s="2033">
        <f t="shared" si="17"/>
        <v>0.86700112994350287</v>
      </c>
      <c r="AV34" s="2019">
        <v>0</v>
      </c>
      <c r="AW34" s="2032">
        <v>1302</v>
      </c>
      <c r="AX34" s="2019">
        <v>1266</v>
      </c>
      <c r="AY34" s="2033">
        <f t="shared" si="18"/>
        <v>0.97235023041474655</v>
      </c>
      <c r="AZ34" s="2032">
        <f t="shared" si="19"/>
        <v>80412</v>
      </c>
      <c r="BA34" s="2032">
        <f t="shared" si="19"/>
        <v>111927</v>
      </c>
      <c r="BB34" s="2032">
        <f t="shared" si="19"/>
        <v>97178</v>
      </c>
      <c r="BC34" s="2033">
        <f t="shared" si="20"/>
        <v>0.86822661198817086</v>
      </c>
      <c r="BD34" s="2032">
        <f t="shared" si="21"/>
        <v>113442</v>
      </c>
      <c r="BE34" s="2032">
        <f t="shared" si="21"/>
        <v>165396</v>
      </c>
      <c r="BF34" s="2032">
        <f t="shared" si="21"/>
        <v>150648</v>
      </c>
      <c r="BG34" s="2033">
        <f t="shared" si="22"/>
        <v>0.91083218457520132</v>
      </c>
    </row>
    <row r="35" spans="1:59" ht="57" customHeight="1" x14ac:dyDescent="0.6">
      <c r="A35" s="1938" t="s">
        <v>1164</v>
      </c>
      <c r="B35" s="2019">
        <v>87000</v>
      </c>
      <c r="C35" s="2032">
        <v>93982</v>
      </c>
      <c r="D35" s="2019">
        <v>93982</v>
      </c>
      <c r="E35" s="2033">
        <f t="shared" si="11"/>
        <v>1</v>
      </c>
      <c r="F35" s="2019">
        <v>0</v>
      </c>
      <c r="G35" s="2032">
        <v>25207</v>
      </c>
      <c r="H35" s="2019">
        <v>25207</v>
      </c>
      <c r="I35" s="2033">
        <f t="shared" si="12"/>
        <v>1</v>
      </c>
      <c r="J35" s="2019">
        <v>24000</v>
      </c>
      <c r="K35" s="2032">
        <v>75000</v>
      </c>
      <c r="L35" s="2019">
        <v>75000</v>
      </c>
      <c r="M35" s="2045">
        <f>L35/K35</f>
        <v>1</v>
      </c>
      <c r="N35" s="2019">
        <v>0</v>
      </c>
      <c r="O35" s="2019">
        <v>0</v>
      </c>
      <c r="P35" s="2032"/>
      <c r="Q35" s="2033"/>
      <c r="R35" s="2032">
        <f t="shared" si="13"/>
        <v>111000</v>
      </c>
      <c r="S35" s="2032">
        <f t="shared" si="13"/>
        <v>194189</v>
      </c>
      <c r="T35" s="2032">
        <f t="shared" si="13"/>
        <v>194189</v>
      </c>
      <c r="U35" s="2033">
        <f t="shared" si="14"/>
        <v>1</v>
      </c>
      <c r="V35" s="2044" t="s">
        <v>1164</v>
      </c>
      <c r="W35" s="2019">
        <v>0</v>
      </c>
      <c r="X35" s="2019">
        <v>0</v>
      </c>
      <c r="Y35" s="2019"/>
      <c r="Z35" s="2033"/>
      <c r="AA35" s="2019">
        <v>0</v>
      </c>
      <c r="AB35" s="2019">
        <v>0</v>
      </c>
      <c r="AC35" s="2019"/>
      <c r="AD35" s="2033"/>
      <c r="AE35" s="2019">
        <v>0</v>
      </c>
      <c r="AF35" s="2019">
        <v>15000</v>
      </c>
      <c r="AG35" s="2019">
        <v>15000</v>
      </c>
      <c r="AH35" s="2033">
        <f>AG35/AF35</f>
        <v>1</v>
      </c>
      <c r="AI35" s="2032">
        <f t="shared" si="15"/>
        <v>0</v>
      </c>
      <c r="AJ35" s="2032">
        <f t="shared" si="15"/>
        <v>15000</v>
      </c>
      <c r="AK35" s="2032">
        <f t="shared" si="15"/>
        <v>15000</v>
      </c>
      <c r="AL35" s="2033">
        <f>AK35/AJ35</f>
        <v>1</v>
      </c>
      <c r="AM35" s="2019"/>
      <c r="AN35" s="2032">
        <v>167</v>
      </c>
      <c r="AO35" s="2019">
        <v>167</v>
      </c>
      <c r="AP35" s="2033">
        <f t="shared" si="16"/>
        <v>1</v>
      </c>
      <c r="AQ35" s="2044" t="s">
        <v>1164</v>
      </c>
      <c r="AR35" s="2019">
        <f>[4]int.bevételek2017!L34</f>
        <v>272153</v>
      </c>
      <c r="AS35" s="2032">
        <v>393588</v>
      </c>
      <c r="AT35" s="2019">
        <v>358199</v>
      </c>
      <c r="AU35" s="2033">
        <f t="shared" si="17"/>
        <v>0.91008618148927301</v>
      </c>
      <c r="AV35" s="2019">
        <v>10000</v>
      </c>
      <c r="AW35" s="2032">
        <v>19788</v>
      </c>
      <c r="AX35" s="2019">
        <v>11007</v>
      </c>
      <c r="AY35" s="2033">
        <f t="shared" si="18"/>
        <v>0.55624620982413586</v>
      </c>
      <c r="AZ35" s="2032">
        <f t="shared" si="19"/>
        <v>282153</v>
      </c>
      <c r="BA35" s="2032">
        <f t="shared" si="19"/>
        <v>413376</v>
      </c>
      <c r="BB35" s="2032">
        <f t="shared" si="19"/>
        <v>369206</v>
      </c>
      <c r="BC35" s="2033">
        <f t="shared" si="20"/>
        <v>0.89314812664499144</v>
      </c>
      <c r="BD35" s="2032">
        <f t="shared" si="21"/>
        <v>393153</v>
      </c>
      <c r="BE35" s="2032">
        <f t="shared" si="21"/>
        <v>622732</v>
      </c>
      <c r="BF35" s="2032">
        <f t="shared" si="21"/>
        <v>578562</v>
      </c>
      <c r="BG35" s="2033">
        <f t="shared" si="22"/>
        <v>0.92907061143477454</v>
      </c>
    </row>
    <row r="36" spans="1:59" ht="57" customHeight="1" x14ac:dyDescent="0.6">
      <c r="A36" s="1938" t="s">
        <v>1165</v>
      </c>
      <c r="B36" s="2019">
        <v>24000</v>
      </c>
      <c r="C36" s="2032">
        <v>25204</v>
      </c>
      <c r="D36" s="2019">
        <v>25205</v>
      </c>
      <c r="E36" s="2033">
        <f t="shared" si="11"/>
        <v>1.0000396762418664</v>
      </c>
      <c r="F36" s="2019">
        <v>0</v>
      </c>
      <c r="G36" s="2032">
        <v>7797</v>
      </c>
      <c r="H36" s="2019">
        <v>7797</v>
      </c>
      <c r="I36" s="2033">
        <f t="shared" si="12"/>
        <v>1</v>
      </c>
      <c r="J36" s="2019">
        <v>0</v>
      </c>
      <c r="K36" s="2032">
        <v>20080</v>
      </c>
      <c r="L36" s="2019">
        <v>20080</v>
      </c>
      <c r="M36" s="2045">
        <f>L36/K36</f>
        <v>1</v>
      </c>
      <c r="N36" s="2019">
        <v>0</v>
      </c>
      <c r="O36" s="2019">
        <v>0</v>
      </c>
      <c r="P36" s="2032"/>
      <c r="Q36" s="2033"/>
      <c r="R36" s="2032">
        <f t="shared" si="13"/>
        <v>24000</v>
      </c>
      <c r="S36" s="2032">
        <f t="shared" si="13"/>
        <v>53081</v>
      </c>
      <c r="T36" s="2032">
        <f t="shared" si="13"/>
        <v>53082</v>
      </c>
      <c r="U36" s="2033">
        <f t="shared" si="14"/>
        <v>1.0000188391326463</v>
      </c>
      <c r="V36" s="2044" t="s">
        <v>1165</v>
      </c>
      <c r="W36" s="2019">
        <v>0</v>
      </c>
      <c r="X36" s="2019">
        <v>0</v>
      </c>
      <c r="Y36" s="2019"/>
      <c r="Z36" s="2063"/>
      <c r="AA36" s="2019">
        <v>0</v>
      </c>
      <c r="AB36" s="2019">
        <v>0</v>
      </c>
      <c r="AC36" s="2019"/>
      <c r="AD36" s="2033"/>
      <c r="AE36" s="2019">
        <v>0</v>
      </c>
      <c r="AF36" s="2019">
        <v>0</v>
      </c>
      <c r="AG36" s="2019"/>
      <c r="AH36" s="2033"/>
      <c r="AI36" s="2032">
        <f t="shared" si="15"/>
        <v>0</v>
      </c>
      <c r="AJ36" s="2032">
        <f t="shared" si="15"/>
        <v>0</v>
      </c>
      <c r="AK36" s="2032">
        <f t="shared" si="15"/>
        <v>0</v>
      </c>
      <c r="AL36" s="2033"/>
      <c r="AM36" s="2019"/>
      <c r="AN36" s="2032">
        <v>31481</v>
      </c>
      <c r="AO36" s="2019">
        <v>31481</v>
      </c>
      <c r="AP36" s="2033">
        <f t="shared" si="16"/>
        <v>1</v>
      </c>
      <c r="AQ36" s="2044" t="s">
        <v>1165</v>
      </c>
      <c r="AR36" s="2019">
        <f>[4]int.bevételek2017!L35</f>
        <v>178734</v>
      </c>
      <c r="AS36" s="2032">
        <v>330343</v>
      </c>
      <c r="AT36" s="2019">
        <v>330343</v>
      </c>
      <c r="AU36" s="2033">
        <f t="shared" si="17"/>
        <v>1</v>
      </c>
      <c r="AV36" s="2019">
        <v>0</v>
      </c>
      <c r="AW36" s="2032">
        <v>17803</v>
      </c>
      <c r="AX36" s="2019">
        <v>15467</v>
      </c>
      <c r="AY36" s="2033">
        <f t="shared" si="18"/>
        <v>0.86878615963601635</v>
      </c>
      <c r="AZ36" s="2032">
        <f t="shared" si="19"/>
        <v>178734</v>
      </c>
      <c r="BA36" s="2032">
        <f t="shared" si="19"/>
        <v>348146</v>
      </c>
      <c r="BB36" s="2032">
        <f t="shared" si="19"/>
        <v>345810</v>
      </c>
      <c r="BC36" s="2033">
        <f t="shared" si="20"/>
        <v>0.99329017136488718</v>
      </c>
      <c r="BD36" s="2032">
        <f t="shared" si="21"/>
        <v>202734</v>
      </c>
      <c r="BE36" s="2032">
        <f t="shared" si="21"/>
        <v>432708</v>
      </c>
      <c r="BF36" s="2032">
        <f t="shared" si="21"/>
        <v>430373</v>
      </c>
      <c r="BG36" s="2033">
        <f t="shared" si="22"/>
        <v>0.99460375125950984</v>
      </c>
    </row>
    <row r="37" spans="1:59" ht="57" customHeight="1" thickBot="1" x14ac:dyDescent="0.65">
      <c r="A37" s="1939" t="s">
        <v>1166</v>
      </c>
      <c r="B37" s="2019">
        <v>93050</v>
      </c>
      <c r="C37" s="2032">
        <v>176332</v>
      </c>
      <c r="D37" s="2019">
        <v>176332</v>
      </c>
      <c r="E37" s="2036">
        <f t="shared" si="11"/>
        <v>1</v>
      </c>
      <c r="F37" s="2019">
        <v>0</v>
      </c>
      <c r="G37" s="2032">
        <v>20512</v>
      </c>
      <c r="H37" s="2019">
        <v>20511</v>
      </c>
      <c r="I37" s="2036">
        <f t="shared" si="12"/>
        <v>0.99995124804992197</v>
      </c>
      <c r="J37" s="2019">
        <v>0</v>
      </c>
      <c r="K37" s="2032">
        <v>2000</v>
      </c>
      <c r="L37" s="2019">
        <v>2000</v>
      </c>
      <c r="M37" s="2036">
        <f>L37/K37</f>
        <v>1</v>
      </c>
      <c r="N37" s="2047">
        <v>0</v>
      </c>
      <c r="O37" s="2047">
        <v>0</v>
      </c>
      <c r="P37" s="2032"/>
      <c r="Q37" s="2036"/>
      <c r="R37" s="2032">
        <f t="shared" si="13"/>
        <v>93050</v>
      </c>
      <c r="S37" s="2032">
        <f t="shared" si="13"/>
        <v>198844</v>
      </c>
      <c r="T37" s="2032">
        <f t="shared" si="13"/>
        <v>198843</v>
      </c>
      <c r="U37" s="2036">
        <f t="shared" si="14"/>
        <v>0.99999497093198686</v>
      </c>
      <c r="V37" s="2046" t="s">
        <v>1166</v>
      </c>
      <c r="W37" s="2019">
        <v>0</v>
      </c>
      <c r="X37" s="2019">
        <v>59</v>
      </c>
      <c r="Y37" s="2019">
        <v>59</v>
      </c>
      <c r="Z37" s="2036">
        <f>Y37/X37</f>
        <v>1</v>
      </c>
      <c r="AA37" s="2019">
        <v>0</v>
      </c>
      <c r="AB37" s="2019">
        <v>5918</v>
      </c>
      <c r="AC37" s="2019">
        <v>5918</v>
      </c>
      <c r="AD37" s="2036">
        <f>AC37/AB37</f>
        <v>1</v>
      </c>
      <c r="AE37" s="2019">
        <v>0</v>
      </c>
      <c r="AF37" s="2019">
        <v>0</v>
      </c>
      <c r="AG37" s="2019"/>
      <c r="AH37" s="2036"/>
      <c r="AI37" s="2032">
        <f t="shared" si="15"/>
        <v>0</v>
      </c>
      <c r="AJ37" s="2032">
        <f t="shared" si="15"/>
        <v>5977</v>
      </c>
      <c r="AK37" s="2032">
        <f t="shared" si="15"/>
        <v>5977</v>
      </c>
      <c r="AL37" s="2036">
        <f>AK37/AJ37</f>
        <v>1</v>
      </c>
      <c r="AM37" s="2019"/>
      <c r="AN37" s="2032">
        <v>20217</v>
      </c>
      <c r="AO37" s="2019">
        <v>20217</v>
      </c>
      <c r="AP37" s="2036">
        <f t="shared" si="16"/>
        <v>1</v>
      </c>
      <c r="AQ37" s="2046" t="s">
        <v>1166</v>
      </c>
      <c r="AR37" s="2019">
        <f>[4]int.bevételek2017!L36</f>
        <v>342068</v>
      </c>
      <c r="AS37" s="2032">
        <v>400944</v>
      </c>
      <c r="AT37" s="2019">
        <v>353842</v>
      </c>
      <c r="AU37" s="2036">
        <f t="shared" si="17"/>
        <v>0.88252224749590968</v>
      </c>
      <c r="AV37" s="2019">
        <v>3000</v>
      </c>
      <c r="AW37" s="2032">
        <v>17579</v>
      </c>
      <c r="AX37" s="2019">
        <v>9688</v>
      </c>
      <c r="AY37" s="2036">
        <f t="shared" si="18"/>
        <v>0.55111212241879515</v>
      </c>
      <c r="AZ37" s="2032">
        <f t="shared" si="19"/>
        <v>345068</v>
      </c>
      <c r="BA37" s="2032">
        <f t="shared" si="19"/>
        <v>418523</v>
      </c>
      <c r="BB37" s="2032">
        <f t="shared" si="19"/>
        <v>363530</v>
      </c>
      <c r="BC37" s="2036">
        <f t="shared" si="20"/>
        <v>0.86860220346313111</v>
      </c>
      <c r="BD37" s="2032">
        <f t="shared" si="21"/>
        <v>438118</v>
      </c>
      <c r="BE37" s="2032">
        <f t="shared" si="21"/>
        <v>643561</v>
      </c>
      <c r="BF37" s="2032">
        <f t="shared" si="21"/>
        <v>588567</v>
      </c>
      <c r="BG37" s="2036">
        <f t="shared" si="22"/>
        <v>0.91454733894689078</v>
      </c>
    </row>
    <row r="38" spans="1:59" ht="57" customHeight="1" thickBot="1" x14ac:dyDescent="0.65">
      <c r="A38" s="1940" t="s">
        <v>1368</v>
      </c>
      <c r="B38" s="2038">
        <f>SUM(B33:B37)</f>
        <v>482534</v>
      </c>
      <c r="C38" s="2038">
        <f>SUM(C33:C37)</f>
        <v>645195</v>
      </c>
      <c r="D38" s="2038">
        <f>SUM(D33:D37)</f>
        <v>645197</v>
      </c>
      <c r="E38" s="2039">
        <f t="shared" si="11"/>
        <v>1.0000030998380334</v>
      </c>
      <c r="F38" s="2038">
        <f>SUM(F33:F37)</f>
        <v>0</v>
      </c>
      <c r="G38" s="2038">
        <f>SUM(G33:G37)</f>
        <v>75544</v>
      </c>
      <c r="H38" s="2038">
        <f>SUM(H33:H37)</f>
        <v>75543</v>
      </c>
      <c r="I38" s="2039">
        <f t="shared" si="12"/>
        <v>0.99998676268135123</v>
      </c>
      <c r="J38" s="2038">
        <f>SUM(J33:J37)</f>
        <v>26000</v>
      </c>
      <c r="K38" s="2038">
        <f>SUM(K33:K37)</f>
        <v>97707</v>
      </c>
      <c r="L38" s="2038">
        <f>SUM(L33:L37)</f>
        <v>97707</v>
      </c>
      <c r="M38" s="2039">
        <f>L38/K38</f>
        <v>1</v>
      </c>
      <c r="N38" s="2038">
        <f>SUM(N33:N37)</f>
        <v>0</v>
      </c>
      <c r="O38" s="2038">
        <f>SUM(O33:O37)</f>
        <v>0</v>
      </c>
      <c r="P38" s="2038">
        <f>SUM(P33:P37)</f>
        <v>0</v>
      </c>
      <c r="Q38" s="2039"/>
      <c r="R38" s="2038">
        <f>SUM(R33:R37)</f>
        <v>508534</v>
      </c>
      <c r="S38" s="2038">
        <f>SUM(S33:S37)</f>
        <v>818446</v>
      </c>
      <c r="T38" s="2038">
        <f>SUM(T33:T37)</f>
        <v>818447</v>
      </c>
      <c r="U38" s="2039">
        <f t="shared" si="14"/>
        <v>1.0000012218277077</v>
      </c>
      <c r="V38" s="2048" t="s">
        <v>1368</v>
      </c>
      <c r="W38" s="2038">
        <f>SUM(W33:W37)</f>
        <v>0</v>
      </c>
      <c r="X38" s="2038">
        <f>SUM(X33:X37)</f>
        <v>504</v>
      </c>
      <c r="Y38" s="2038">
        <f>SUM(Y33:Y37)</f>
        <v>504</v>
      </c>
      <c r="Z38" s="2039">
        <f>Y38/X38</f>
        <v>1</v>
      </c>
      <c r="AA38" s="2038">
        <f>SUM(AA33:AA37)</f>
        <v>0</v>
      </c>
      <c r="AB38" s="2038">
        <f>SUM(AB33:AB37)</f>
        <v>7518</v>
      </c>
      <c r="AC38" s="2038">
        <f>SUM(AC33:AC37)</f>
        <v>7518</v>
      </c>
      <c r="AD38" s="2039">
        <f>AC38/AB38</f>
        <v>1</v>
      </c>
      <c r="AE38" s="2038">
        <f>SUM(AE33:AE37)</f>
        <v>0</v>
      </c>
      <c r="AF38" s="2038">
        <f>SUM(AF33:AF37)</f>
        <v>15000</v>
      </c>
      <c r="AG38" s="2038">
        <f>SUM(AG33:AG37)</f>
        <v>15000</v>
      </c>
      <c r="AH38" s="2039">
        <f>AG38/AF38</f>
        <v>1</v>
      </c>
      <c r="AI38" s="2038">
        <f>SUM(AI33:AI37)</f>
        <v>0</v>
      </c>
      <c r="AJ38" s="2038">
        <f>SUM(AJ33:AJ37)</f>
        <v>23022</v>
      </c>
      <c r="AK38" s="2038">
        <f>SUM(AK33:AK37)</f>
        <v>23022</v>
      </c>
      <c r="AL38" s="2039">
        <f>AK38/AJ38</f>
        <v>1</v>
      </c>
      <c r="AM38" s="2038">
        <f>SUM(AM33:AM37)</f>
        <v>0</v>
      </c>
      <c r="AN38" s="2038">
        <f>SUM(AN33:AN37)</f>
        <v>87098</v>
      </c>
      <c r="AO38" s="2038">
        <f>SUM(AO33:AO37)</f>
        <v>87098</v>
      </c>
      <c r="AP38" s="2039">
        <f t="shared" si="16"/>
        <v>1</v>
      </c>
      <c r="AQ38" s="2048" t="s">
        <v>1368</v>
      </c>
      <c r="AR38" s="2038">
        <f>SUM(AR33:AR37)</f>
        <v>973361</v>
      </c>
      <c r="AS38" s="2038">
        <f>SUM(AS33:AS37)</f>
        <v>1360183</v>
      </c>
      <c r="AT38" s="2038">
        <f>SUM(AT33:AT37)</f>
        <v>1245589</v>
      </c>
      <c r="AU38" s="2039">
        <f t="shared" si="17"/>
        <v>0.91575104232298155</v>
      </c>
      <c r="AV38" s="2038">
        <f>SUM(AV33:AV37)</f>
        <v>13000</v>
      </c>
      <c r="AW38" s="2038">
        <f>SUM(AW33:AW37)</f>
        <v>70368</v>
      </c>
      <c r="AX38" s="2038">
        <f>SUM(AX33:AX37)</f>
        <v>50737</v>
      </c>
      <c r="AY38" s="2039">
        <f t="shared" si="18"/>
        <v>0.72102376080036379</v>
      </c>
      <c r="AZ38" s="2038">
        <f>SUM(AZ33:AZ37)</f>
        <v>986361</v>
      </c>
      <c r="BA38" s="2038">
        <f>SUM(BA33:BA37)</f>
        <v>1430551</v>
      </c>
      <c r="BB38" s="2038">
        <f>SUM(BB33:BB37)</f>
        <v>1296326</v>
      </c>
      <c r="BC38" s="2039">
        <f t="shared" si="20"/>
        <v>0.90617251674354848</v>
      </c>
      <c r="BD38" s="2038">
        <f>SUM(BD33:BD37)</f>
        <v>1494895</v>
      </c>
      <c r="BE38" s="2038">
        <f>SUM(BE33:BE37)</f>
        <v>2359117</v>
      </c>
      <c r="BF38" s="2038">
        <f>SUM(BF33:BF37)</f>
        <v>2224893</v>
      </c>
      <c r="BG38" s="2039">
        <f t="shared" si="22"/>
        <v>0.94310413599664622</v>
      </c>
    </row>
    <row r="39" spans="1:59" ht="57" customHeight="1" x14ac:dyDescent="0.6">
      <c r="A39" s="1941" t="s">
        <v>1369</v>
      </c>
      <c r="B39" s="2050"/>
      <c r="C39" s="2050"/>
      <c r="D39" s="2050"/>
      <c r="E39" s="2050"/>
      <c r="F39" s="2050"/>
      <c r="G39" s="2050"/>
      <c r="H39" s="2050"/>
      <c r="I39" s="2050"/>
      <c r="J39" s="2050"/>
      <c r="K39" s="2050"/>
      <c r="L39" s="2050"/>
      <c r="M39" s="2050"/>
      <c r="N39" s="2050"/>
      <c r="O39" s="2050"/>
      <c r="P39" s="2050"/>
      <c r="Q39" s="2050"/>
      <c r="R39" s="2050"/>
      <c r="S39" s="2050"/>
      <c r="T39" s="2050"/>
      <c r="U39" s="2050"/>
      <c r="V39" s="2049" t="s">
        <v>1369</v>
      </c>
      <c r="W39" s="2050"/>
      <c r="X39" s="2050"/>
      <c r="Y39" s="2050"/>
      <c r="Z39" s="2050"/>
      <c r="AA39" s="2050"/>
      <c r="AB39" s="2050"/>
      <c r="AC39" s="2050"/>
      <c r="AD39" s="2050"/>
      <c r="AE39" s="2050"/>
      <c r="AF39" s="2050"/>
      <c r="AG39" s="2050"/>
      <c r="AH39" s="2050"/>
      <c r="AI39" s="2050"/>
      <c r="AJ39" s="2050"/>
      <c r="AK39" s="2050"/>
      <c r="AL39" s="2050"/>
      <c r="AM39" s="2050"/>
      <c r="AN39" s="2050"/>
      <c r="AO39" s="2050"/>
      <c r="AP39" s="2050"/>
      <c r="AQ39" s="2049" t="s">
        <v>1369</v>
      </c>
      <c r="AR39" s="2050"/>
      <c r="AS39" s="2050"/>
      <c r="AT39" s="2050"/>
      <c r="AU39" s="2050"/>
      <c r="AV39" s="2050"/>
      <c r="AW39" s="2050"/>
      <c r="AX39" s="2050"/>
      <c r="AY39" s="2050"/>
      <c r="AZ39" s="2050"/>
      <c r="BA39" s="2050"/>
      <c r="BB39" s="2050"/>
      <c r="BC39" s="2050"/>
      <c r="BD39" s="2050"/>
      <c r="BE39" s="2050"/>
      <c r="BF39" s="2050"/>
      <c r="BG39" s="2050"/>
    </row>
    <row r="40" spans="1:59" ht="57" customHeight="1" x14ac:dyDescent="0.6">
      <c r="A40" s="1937" t="s">
        <v>1370</v>
      </c>
      <c r="B40" s="2020">
        <v>142000</v>
      </c>
      <c r="C40" s="2032">
        <v>147829</v>
      </c>
      <c r="D40" s="2020">
        <v>147829</v>
      </c>
      <c r="E40" s="2036">
        <f>D40/C40</f>
        <v>1</v>
      </c>
      <c r="F40" s="2020">
        <v>0</v>
      </c>
      <c r="G40" s="2032">
        <v>0</v>
      </c>
      <c r="H40" s="2020"/>
      <c r="I40" s="2036"/>
      <c r="J40" s="2020">
        <v>0</v>
      </c>
      <c r="K40" s="2032">
        <v>0</v>
      </c>
      <c r="L40" s="2020"/>
      <c r="M40" s="2036"/>
      <c r="N40" s="2020">
        <v>0</v>
      </c>
      <c r="O40" s="2020">
        <v>0</v>
      </c>
      <c r="P40" s="2032"/>
      <c r="Q40" s="2036"/>
      <c r="R40" s="2032">
        <f>B40+F40+J40+N40</f>
        <v>142000</v>
      </c>
      <c r="S40" s="2032">
        <f>C40+G40+K40+O40</f>
        <v>147829</v>
      </c>
      <c r="T40" s="2032">
        <f>D40+H40+L40+P40</f>
        <v>147829</v>
      </c>
      <c r="U40" s="2036">
        <f>T40/S40</f>
        <v>1</v>
      </c>
      <c r="V40" s="2043" t="s">
        <v>1370</v>
      </c>
      <c r="W40" s="2020">
        <v>0</v>
      </c>
      <c r="X40" s="2020">
        <v>15</v>
      </c>
      <c r="Y40" s="2020">
        <v>15</v>
      </c>
      <c r="Z40" s="2033">
        <f>+Y40/X40</f>
        <v>1</v>
      </c>
      <c r="AA40" s="2020">
        <v>0</v>
      </c>
      <c r="AB40" s="2020">
        <v>0</v>
      </c>
      <c r="AC40" s="2020"/>
      <c r="AD40" s="2036"/>
      <c r="AE40" s="2020">
        <v>0</v>
      </c>
      <c r="AF40" s="2020">
        <v>0</v>
      </c>
      <c r="AG40" s="2020"/>
      <c r="AH40" s="2036"/>
      <c r="AI40" s="2032">
        <f>W40+AA40+AE40</f>
        <v>0</v>
      </c>
      <c r="AJ40" s="2032">
        <f>X40+AB40+AF40</f>
        <v>15</v>
      </c>
      <c r="AK40" s="2032">
        <f>Y40+AC40+AG40</f>
        <v>15</v>
      </c>
      <c r="AL40" s="2036"/>
      <c r="AM40" s="2020"/>
      <c r="AN40" s="2032">
        <v>28388</v>
      </c>
      <c r="AO40" s="2020">
        <v>28388</v>
      </c>
      <c r="AP40" s="2033">
        <f>AO40/AN40</f>
        <v>1</v>
      </c>
      <c r="AQ40" s="2043" t="s">
        <v>1370</v>
      </c>
      <c r="AR40" s="2020">
        <v>0</v>
      </c>
      <c r="AS40" s="2032">
        <v>1017</v>
      </c>
      <c r="AT40" s="2020">
        <v>0</v>
      </c>
      <c r="AU40" s="2036">
        <f>AT40/AS40</f>
        <v>0</v>
      </c>
      <c r="AV40" s="2020">
        <v>0</v>
      </c>
      <c r="AW40" s="2032">
        <v>0</v>
      </c>
      <c r="AX40" s="2020"/>
      <c r="AY40" s="2036"/>
      <c r="AZ40" s="2032">
        <f>AR40+AV40</f>
        <v>0</v>
      </c>
      <c r="BA40" s="2032">
        <f>AS40+AW40</f>
        <v>1017</v>
      </c>
      <c r="BB40" s="2032">
        <f>AT40+AX40</f>
        <v>0</v>
      </c>
      <c r="BC40" s="2036">
        <f>BB40/BA40</f>
        <v>0</v>
      </c>
      <c r="BD40" s="2032">
        <f>R40+AI40+AM40+AZ40</f>
        <v>142000</v>
      </c>
      <c r="BE40" s="2032">
        <f>S40+AJ40+AN40+BA40</f>
        <v>177249</v>
      </c>
      <c r="BF40" s="2032">
        <f>T40+AK40+AO40+BB40</f>
        <v>176232</v>
      </c>
      <c r="BG40" s="2036">
        <f>BF40/BE40</f>
        <v>0.99426230895519863</v>
      </c>
    </row>
    <row r="41" spans="1:59" ht="57" customHeight="1" thickBot="1" x14ac:dyDescent="0.65">
      <c r="A41" s="1942" t="s">
        <v>1371</v>
      </c>
      <c r="B41" s="2052">
        <f>SUM(B40)</f>
        <v>142000</v>
      </c>
      <c r="C41" s="2052">
        <f>SUM(C40)</f>
        <v>147829</v>
      </c>
      <c r="D41" s="2052">
        <f>SUM(D40)</f>
        <v>147829</v>
      </c>
      <c r="E41" s="2053">
        <f>D41/C41</f>
        <v>1</v>
      </c>
      <c r="F41" s="2052">
        <f>F40</f>
        <v>0</v>
      </c>
      <c r="G41" s="2052">
        <f>G40</f>
        <v>0</v>
      </c>
      <c r="H41" s="2052">
        <f>H40</f>
        <v>0</v>
      </c>
      <c r="I41" s="2053"/>
      <c r="J41" s="2052">
        <f>J40</f>
        <v>0</v>
      </c>
      <c r="K41" s="2052">
        <f>K40</f>
        <v>0</v>
      </c>
      <c r="L41" s="2052">
        <f>L40</f>
        <v>0</v>
      </c>
      <c r="M41" s="2053"/>
      <c r="N41" s="2052">
        <f>N40</f>
        <v>0</v>
      </c>
      <c r="O41" s="2052">
        <f>O40</f>
        <v>0</v>
      </c>
      <c r="P41" s="2052">
        <f>P40</f>
        <v>0</v>
      </c>
      <c r="Q41" s="2053"/>
      <c r="R41" s="2052">
        <f>R40</f>
        <v>142000</v>
      </c>
      <c r="S41" s="2052">
        <f>S40</f>
        <v>147829</v>
      </c>
      <c r="T41" s="2052">
        <f>T40</f>
        <v>147829</v>
      </c>
      <c r="U41" s="2053">
        <f>T41/S41</f>
        <v>1</v>
      </c>
      <c r="V41" s="2051" t="s">
        <v>1371</v>
      </c>
      <c r="W41" s="2052">
        <f>W40</f>
        <v>0</v>
      </c>
      <c r="X41" s="2052">
        <f>X40</f>
        <v>15</v>
      </c>
      <c r="Y41" s="2052">
        <f>Y40</f>
        <v>15</v>
      </c>
      <c r="Z41" s="2036">
        <f>+Y41/X41</f>
        <v>1</v>
      </c>
      <c r="AA41" s="2052">
        <f>AA40</f>
        <v>0</v>
      </c>
      <c r="AB41" s="2052">
        <f>AB40</f>
        <v>0</v>
      </c>
      <c r="AC41" s="2052">
        <f>AC40</f>
        <v>0</v>
      </c>
      <c r="AD41" s="2053"/>
      <c r="AE41" s="2052">
        <f>AE40</f>
        <v>0</v>
      </c>
      <c r="AF41" s="2052">
        <f>AF40</f>
        <v>0</v>
      </c>
      <c r="AG41" s="2052">
        <f>AG40</f>
        <v>0</v>
      </c>
      <c r="AH41" s="2053"/>
      <c r="AI41" s="2052">
        <f>SUM(AI40:AI40)</f>
        <v>0</v>
      </c>
      <c r="AJ41" s="2052">
        <f>SUM(AJ40:AJ40)</f>
        <v>15</v>
      </c>
      <c r="AK41" s="2052">
        <f>SUM(AK40:AK40)</f>
        <v>15</v>
      </c>
      <c r="AL41" s="2053"/>
      <c r="AM41" s="2052">
        <f>AM40</f>
        <v>0</v>
      </c>
      <c r="AN41" s="2052">
        <f>AN40</f>
        <v>28388</v>
      </c>
      <c r="AO41" s="2052">
        <f>AO40</f>
        <v>28388</v>
      </c>
      <c r="AP41" s="2053">
        <f>AO41/AN41</f>
        <v>1</v>
      </c>
      <c r="AQ41" s="2051" t="s">
        <v>1371</v>
      </c>
      <c r="AR41" s="2052">
        <f>AR40</f>
        <v>0</v>
      </c>
      <c r="AS41" s="2052">
        <f>AS40</f>
        <v>1017</v>
      </c>
      <c r="AT41" s="2052">
        <f>AT40</f>
        <v>0</v>
      </c>
      <c r="AU41" s="2053">
        <f>AT41/AS41</f>
        <v>0</v>
      </c>
      <c r="AV41" s="2052">
        <f>AV40</f>
        <v>0</v>
      </c>
      <c r="AW41" s="2052">
        <f>AW40</f>
        <v>0</v>
      </c>
      <c r="AX41" s="2052">
        <f>AX40</f>
        <v>0</v>
      </c>
      <c r="AY41" s="2053"/>
      <c r="AZ41" s="2052">
        <f>SUM(AZ40:AZ40)</f>
        <v>0</v>
      </c>
      <c r="BA41" s="2052">
        <f>SUM(BA40:BA40)</f>
        <v>1017</v>
      </c>
      <c r="BB41" s="2052">
        <f>SUM(BB40:BB40)</f>
        <v>0</v>
      </c>
      <c r="BC41" s="2053">
        <f>BB41/BA41</f>
        <v>0</v>
      </c>
      <c r="BD41" s="2052">
        <f>SUM(BD40:BD40)</f>
        <v>142000</v>
      </c>
      <c r="BE41" s="2052">
        <f>SUM(BE40:BE40)</f>
        <v>177249</v>
      </c>
      <c r="BF41" s="2052">
        <f>SUM(BF40:BF40)</f>
        <v>176232</v>
      </c>
      <c r="BG41" s="2053">
        <f>BF41/BE41</f>
        <v>0.99426230895519863</v>
      </c>
    </row>
    <row r="42" spans="1:59" ht="57" customHeight="1" x14ac:dyDescent="0.6">
      <c r="A42" s="1941" t="s">
        <v>1372</v>
      </c>
      <c r="B42" s="2050"/>
      <c r="C42" s="2050"/>
      <c r="D42" s="2050"/>
      <c r="E42" s="2036"/>
      <c r="F42" s="2050"/>
      <c r="G42" s="2050"/>
      <c r="H42" s="2050"/>
      <c r="I42" s="2036"/>
      <c r="J42" s="2050"/>
      <c r="K42" s="2050"/>
      <c r="L42" s="2050"/>
      <c r="M42" s="2036"/>
      <c r="N42" s="2050"/>
      <c r="O42" s="2050"/>
      <c r="P42" s="2050"/>
      <c r="Q42" s="2036"/>
      <c r="R42" s="2050"/>
      <c r="S42" s="2050"/>
      <c r="T42" s="2050"/>
      <c r="U42" s="2036"/>
      <c r="V42" s="2049" t="s">
        <v>1372</v>
      </c>
      <c r="W42" s="2050"/>
      <c r="X42" s="2050"/>
      <c r="Y42" s="2050"/>
      <c r="Z42" s="2058"/>
      <c r="AA42" s="2050"/>
      <c r="AB42" s="2050"/>
      <c r="AC42" s="2050"/>
      <c r="AD42" s="2036"/>
      <c r="AE42" s="2050"/>
      <c r="AF42" s="2050"/>
      <c r="AG42" s="2050"/>
      <c r="AH42" s="2036"/>
      <c r="AI42" s="2050"/>
      <c r="AJ42" s="2050"/>
      <c r="AK42" s="2050"/>
      <c r="AL42" s="2036"/>
      <c r="AM42" s="2050"/>
      <c r="AN42" s="2050"/>
      <c r="AO42" s="2050"/>
      <c r="AP42" s="2036"/>
      <c r="AQ42" s="2049" t="s">
        <v>1372</v>
      </c>
      <c r="AR42" s="2050"/>
      <c r="AS42" s="2050"/>
      <c r="AT42" s="2050"/>
      <c r="AU42" s="2036"/>
      <c r="AV42" s="2050"/>
      <c r="AW42" s="2050"/>
      <c r="AX42" s="2050"/>
      <c r="AY42" s="2036"/>
      <c r="AZ42" s="2050"/>
      <c r="BA42" s="2050"/>
      <c r="BB42" s="2050"/>
      <c r="BC42" s="2036"/>
      <c r="BD42" s="2050"/>
      <c r="BE42" s="2050"/>
      <c r="BF42" s="2050"/>
      <c r="BG42" s="2036"/>
    </row>
    <row r="43" spans="1:59" ht="100.5" customHeight="1" x14ac:dyDescent="0.6">
      <c r="A43" s="1943" t="s">
        <v>1373</v>
      </c>
      <c r="B43" s="2020">
        <v>32761</v>
      </c>
      <c r="C43" s="2032">
        <v>39599</v>
      </c>
      <c r="D43" s="2020">
        <v>39598</v>
      </c>
      <c r="E43" s="2033">
        <f>D43/C43</f>
        <v>0.99997474683704135</v>
      </c>
      <c r="F43" s="2020">
        <v>220077</v>
      </c>
      <c r="G43" s="2032">
        <v>223350</v>
      </c>
      <c r="H43" s="2020">
        <v>223350</v>
      </c>
      <c r="I43" s="2033">
        <f>H43/G43</f>
        <v>1</v>
      </c>
      <c r="J43" s="2020">
        <v>0</v>
      </c>
      <c r="K43" s="2032">
        <v>0</v>
      </c>
      <c r="L43" s="2020"/>
      <c r="M43" s="2033"/>
      <c r="N43" s="2020">
        <v>0</v>
      </c>
      <c r="O43" s="2020">
        <v>0</v>
      </c>
      <c r="P43" s="2032"/>
      <c r="Q43" s="2033"/>
      <c r="R43" s="2032">
        <f>B43+F43+J43+N43</f>
        <v>252838</v>
      </c>
      <c r="S43" s="2032">
        <f>C43+G43+K43+O43</f>
        <v>262949</v>
      </c>
      <c r="T43" s="2032">
        <f>D43+H43+L43+P43</f>
        <v>262948</v>
      </c>
      <c r="U43" s="2033">
        <f>T43/S43</f>
        <v>0.9999961969811636</v>
      </c>
      <c r="V43" s="2043" t="s">
        <v>1373</v>
      </c>
      <c r="W43" s="2020">
        <v>0</v>
      </c>
      <c r="X43" s="2020">
        <v>0</v>
      </c>
      <c r="Y43" s="2020">
        <f>94+1</f>
        <v>95</v>
      </c>
      <c r="Z43" s="2033"/>
      <c r="AA43" s="2020">
        <v>1990</v>
      </c>
      <c r="AB43" s="2020">
        <v>5019</v>
      </c>
      <c r="AC43" s="2020">
        <v>5019</v>
      </c>
      <c r="AD43" s="2033">
        <f>AC43/AB43</f>
        <v>1</v>
      </c>
      <c r="AE43" s="2020">
        <v>0</v>
      </c>
      <c r="AF43" s="2020">
        <v>0</v>
      </c>
      <c r="AG43" s="2020"/>
      <c r="AH43" s="2033"/>
      <c r="AI43" s="2032">
        <f>W43+AA43+AE43</f>
        <v>1990</v>
      </c>
      <c r="AJ43" s="2032">
        <f>X43+AB43+AF43</f>
        <v>5019</v>
      </c>
      <c r="AK43" s="2032">
        <f>Y43+AC43+AG43</f>
        <v>5114</v>
      </c>
      <c r="AL43" s="2033">
        <f>AK43/AJ43</f>
        <v>1.0189280733213788</v>
      </c>
      <c r="AM43" s="2020"/>
      <c r="AN43" s="2032">
        <v>23475</v>
      </c>
      <c r="AO43" s="2020">
        <v>23475</v>
      </c>
      <c r="AP43" s="2033">
        <f>AO43/AN43</f>
        <v>1</v>
      </c>
      <c r="AQ43" s="2043" t="s">
        <v>1373</v>
      </c>
      <c r="AR43" s="2020">
        <v>249685</v>
      </c>
      <c r="AS43" s="2032">
        <v>262968</v>
      </c>
      <c r="AT43" s="2020">
        <v>245690</v>
      </c>
      <c r="AU43" s="2033">
        <f>AT43/AS43</f>
        <v>0.93429618812935411</v>
      </c>
      <c r="AV43" s="2020">
        <v>3139</v>
      </c>
      <c r="AW43" s="2032">
        <v>103257</v>
      </c>
      <c r="AX43" s="2020">
        <v>10089</v>
      </c>
      <c r="AY43" s="2033">
        <f>AX43/AW43</f>
        <v>9.7707661466050727E-2</v>
      </c>
      <c r="AZ43" s="2032">
        <f>AR43+AV43</f>
        <v>252824</v>
      </c>
      <c r="BA43" s="2032">
        <f>AS43+AW43</f>
        <v>366225</v>
      </c>
      <c r="BB43" s="2032">
        <f>AT43+AX43</f>
        <v>255779</v>
      </c>
      <c r="BC43" s="2033">
        <f>BB43/BA43</f>
        <v>0.69842036999112567</v>
      </c>
      <c r="BD43" s="2032">
        <f>R43+AI43+AM43+AZ43</f>
        <v>507652</v>
      </c>
      <c r="BE43" s="2032">
        <f>S43+AJ43+AN43+BA43</f>
        <v>657668</v>
      </c>
      <c r="BF43" s="2032">
        <f>T43+AK43+AO43+BB43</f>
        <v>547316</v>
      </c>
      <c r="BG43" s="2033">
        <f>BF43/BE43</f>
        <v>0.83220713186592632</v>
      </c>
    </row>
    <row r="44" spans="1:59" ht="57" customHeight="1" thickBot="1" x14ac:dyDescent="0.65">
      <c r="A44" s="1942" t="s">
        <v>1374</v>
      </c>
      <c r="B44" s="2052">
        <f>SUM(B43)</f>
        <v>32761</v>
      </c>
      <c r="C44" s="2052">
        <f>SUM(C43)</f>
        <v>39599</v>
      </c>
      <c r="D44" s="2052">
        <f>SUM(D43)</f>
        <v>39598</v>
      </c>
      <c r="E44" s="2053">
        <f>D44/C44</f>
        <v>0.99997474683704135</v>
      </c>
      <c r="F44" s="2052">
        <f>F43</f>
        <v>220077</v>
      </c>
      <c r="G44" s="2052">
        <f>G43</f>
        <v>223350</v>
      </c>
      <c r="H44" s="2052">
        <f>H43</f>
        <v>223350</v>
      </c>
      <c r="I44" s="2053">
        <f>H44/G44</f>
        <v>1</v>
      </c>
      <c r="J44" s="2052">
        <f>J43</f>
        <v>0</v>
      </c>
      <c r="K44" s="2052">
        <f>K43</f>
        <v>0</v>
      </c>
      <c r="L44" s="2052">
        <f>L43</f>
        <v>0</v>
      </c>
      <c r="M44" s="2053"/>
      <c r="N44" s="2052">
        <f>N43</f>
        <v>0</v>
      </c>
      <c r="O44" s="2052">
        <f>O43</f>
        <v>0</v>
      </c>
      <c r="P44" s="2052">
        <f>P43</f>
        <v>0</v>
      </c>
      <c r="Q44" s="2053"/>
      <c r="R44" s="2052">
        <f>SUM(R43)</f>
        <v>252838</v>
      </c>
      <c r="S44" s="2052">
        <f>SUM(S43)</f>
        <v>262949</v>
      </c>
      <c r="T44" s="2052">
        <f>SUM(T43)</f>
        <v>262948</v>
      </c>
      <c r="U44" s="2053">
        <f>T44/S44</f>
        <v>0.9999961969811636</v>
      </c>
      <c r="V44" s="2051" t="s">
        <v>1374</v>
      </c>
      <c r="W44" s="2052">
        <f>W43</f>
        <v>0</v>
      </c>
      <c r="X44" s="2052">
        <f>X43</f>
        <v>0</v>
      </c>
      <c r="Y44" s="2052">
        <f>Y43</f>
        <v>95</v>
      </c>
      <c r="Z44" s="2053"/>
      <c r="AA44" s="2052">
        <f>AA43</f>
        <v>1990</v>
      </c>
      <c r="AB44" s="2052">
        <f>AB43</f>
        <v>5019</v>
      </c>
      <c r="AC44" s="2052">
        <f>AC43</f>
        <v>5019</v>
      </c>
      <c r="AD44" s="2053">
        <f>AC44/AB44</f>
        <v>1</v>
      </c>
      <c r="AE44" s="2052">
        <f>AE43</f>
        <v>0</v>
      </c>
      <c r="AF44" s="2052">
        <f>AF43</f>
        <v>0</v>
      </c>
      <c r="AG44" s="2052">
        <f>AG43</f>
        <v>0</v>
      </c>
      <c r="AH44" s="2053"/>
      <c r="AI44" s="2052">
        <f>SUM(AI43)</f>
        <v>1990</v>
      </c>
      <c r="AJ44" s="2052">
        <f>SUM(AJ43)</f>
        <v>5019</v>
      </c>
      <c r="AK44" s="2052">
        <f>SUM(AK43)</f>
        <v>5114</v>
      </c>
      <c r="AL44" s="2053">
        <f>AK44/AJ44</f>
        <v>1.0189280733213788</v>
      </c>
      <c r="AM44" s="2052">
        <f>AM43</f>
        <v>0</v>
      </c>
      <c r="AN44" s="2052">
        <f>AN43</f>
        <v>23475</v>
      </c>
      <c r="AO44" s="2052">
        <f>AO43</f>
        <v>23475</v>
      </c>
      <c r="AP44" s="2053">
        <f>AO44/AN44</f>
        <v>1</v>
      </c>
      <c r="AQ44" s="2051" t="s">
        <v>1374</v>
      </c>
      <c r="AR44" s="2052">
        <f>AR43</f>
        <v>249685</v>
      </c>
      <c r="AS44" s="2052">
        <f>AS43</f>
        <v>262968</v>
      </c>
      <c r="AT44" s="2052">
        <f>AT43</f>
        <v>245690</v>
      </c>
      <c r="AU44" s="2053">
        <f>AT44/AS44</f>
        <v>0.93429618812935411</v>
      </c>
      <c r="AV44" s="2052">
        <f>AV43</f>
        <v>3139</v>
      </c>
      <c r="AW44" s="2052">
        <f>AW43</f>
        <v>103257</v>
      </c>
      <c r="AX44" s="2052">
        <f>AX43</f>
        <v>10089</v>
      </c>
      <c r="AY44" s="2053">
        <f>AX44/AW44</f>
        <v>9.7707661466050727E-2</v>
      </c>
      <c r="AZ44" s="2052">
        <f>SUM(AZ43)</f>
        <v>252824</v>
      </c>
      <c r="BA44" s="2052">
        <f>SUM(BA43)</f>
        <v>366225</v>
      </c>
      <c r="BB44" s="2052">
        <f>SUM(BB43)</f>
        <v>255779</v>
      </c>
      <c r="BC44" s="2053">
        <f>BB44/BA44</f>
        <v>0.69842036999112567</v>
      </c>
      <c r="BD44" s="2052">
        <f>SUM(BD43)</f>
        <v>507652</v>
      </c>
      <c r="BE44" s="2052">
        <f>SUM(BE43)</f>
        <v>657668</v>
      </c>
      <c r="BF44" s="2052">
        <f>SUM(BF43)</f>
        <v>547316</v>
      </c>
      <c r="BG44" s="2053">
        <f>BF44/BE44</f>
        <v>0.83220713186592632</v>
      </c>
    </row>
    <row r="45" spans="1:59" ht="57" customHeight="1" x14ac:dyDescent="0.6">
      <c r="A45" s="1941" t="s">
        <v>1178</v>
      </c>
      <c r="B45" s="2050"/>
      <c r="C45" s="2050"/>
      <c r="D45" s="2050"/>
      <c r="E45" s="2050"/>
      <c r="F45" s="2050"/>
      <c r="G45" s="2050"/>
      <c r="H45" s="2050"/>
      <c r="I45" s="2050"/>
      <c r="J45" s="2050"/>
      <c r="K45" s="2050"/>
      <c r="L45" s="2050"/>
      <c r="M45" s="2050"/>
      <c r="N45" s="2050"/>
      <c r="O45" s="2050"/>
      <c r="P45" s="2050"/>
      <c r="Q45" s="2050"/>
      <c r="R45" s="2050"/>
      <c r="S45" s="2050"/>
      <c r="T45" s="2050"/>
      <c r="U45" s="2050"/>
      <c r="V45" s="2049" t="s">
        <v>1178</v>
      </c>
      <c r="W45" s="2050"/>
      <c r="X45" s="2050"/>
      <c r="Y45" s="2050"/>
      <c r="Z45" s="2050"/>
      <c r="AA45" s="2050"/>
      <c r="AB45" s="2050"/>
      <c r="AC45" s="2050"/>
      <c r="AD45" s="2050"/>
      <c r="AE45" s="2050"/>
      <c r="AF45" s="2050"/>
      <c r="AG45" s="2050"/>
      <c r="AH45" s="2050"/>
      <c r="AI45" s="2050"/>
      <c r="AJ45" s="2050"/>
      <c r="AK45" s="2050"/>
      <c r="AL45" s="2050"/>
      <c r="AM45" s="2050"/>
      <c r="AN45" s="2050"/>
      <c r="AO45" s="2050"/>
      <c r="AP45" s="2050"/>
      <c r="AQ45" s="2049" t="s">
        <v>1178</v>
      </c>
      <c r="AR45" s="2050"/>
      <c r="AS45" s="2050"/>
      <c r="AT45" s="2050"/>
      <c r="AU45" s="2050"/>
      <c r="AV45" s="2050"/>
      <c r="AW45" s="2050"/>
      <c r="AX45" s="2050"/>
      <c r="AY45" s="2050"/>
      <c r="AZ45" s="2050"/>
      <c r="BA45" s="2050"/>
      <c r="BB45" s="2050"/>
      <c r="BC45" s="2050"/>
      <c r="BD45" s="2050"/>
      <c r="BE45" s="2050"/>
      <c r="BF45" s="2050"/>
      <c r="BG45" s="2050"/>
    </row>
    <row r="46" spans="1:59" ht="45" x14ac:dyDescent="0.6">
      <c r="A46" s="1944" t="s">
        <v>1375</v>
      </c>
      <c r="B46" s="2035">
        <v>37961</v>
      </c>
      <c r="C46" s="2032">
        <v>41912</v>
      </c>
      <c r="D46" s="2035">
        <v>41052</v>
      </c>
      <c r="E46" s="2033">
        <f t="shared" ref="E46:E51" si="23">D46/C46</f>
        <v>0.9794808169497996</v>
      </c>
      <c r="F46" s="2035">
        <v>0</v>
      </c>
      <c r="G46" s="2032">
        <v>936</v>
      </c>
      <c r="H46" s="2035">
        <v>936</v>
      </c>
      <c r="I46" s="2033">
        <f t="shared" ref="I46:I51" si="24">H46/G46</f>
        <v>1</v>
      </c>
      <c r="J46" s="2035">
        <v>0</v>
      </c>
      <c r="K46" s="2032">
        <v>0</v>
      </c>
      <c r="L46" s="2032"/>
      <c r="M46" s="2033"/>
      <c r="N46" s="2055">
        <v>0</v>
      </c>
      <c r="O46" s="2032">
        <v>0</v>
      </c>
      <c r="P46" s="2032"/>
      <c r="Q46" s="2033"/>
      <c r="R46" s="2032">
        <f t="shared" ref="R46:T47" si="25">B46+F46+J46+N46</f>
        <v>37961</v>
      </c>
      <c r="S46" s="2032">
        <f t="shared" si="25"/>
        <v>42848</v>
      </c>
      <c r="T46" s="2032">
        <f t="shared" si="25"/>
        <v>41988</v>
      </c>
      <c r="U46" s="2033">
        <f t="shared" ref="U46:U51" si="26">T46/S46</f>
        <v>0.9799290515309933</v>
      </c>
      <c r="V46" s="2054" t="s">
        <v>1375</v>
      </c>
      <c r="W46" s="2035">
        <v>0</v>
      </c>
      <c r="X46" s="2035">
        <v>17</v>
      </c>
      <c r="Y46" s="2035">
        <v>17</v>
      </c>
      <c r="Z46" s="2033">
        <f>Y46/X46</f>
        <v>1</v>
      </c>
      <c r="AA46" s="2035">
        <v>0</v>
      </c>
      <c r="AB46" s="2035">
        <v>0</v>
      </c>
      <c r="AC46" s="2035"/>
      <c r="AD46" s="2033"/>
      <c r="AE46" s="2035">
        <v>0</v>
      </c>
      <c r="AF46" s="2035">
        <v>0</v>
      </c>
      <c r="AG46" s="2035"/>
      <c r="AH46" s="2033"/>
      <c r="AI46" s="2032">
        <f t="shared" ref="AI46:AK47" si="27">W46+AA46+AE46</f>
        <v>0</v>
      </c>
      <c r="AJ46" s="2032">
        <f t="shared" si="27"/>
        <v>17</v>
      </c>
      <c r="AK46" s="2032">
        <f t="shared" si="27"/>
        <v>17</v>
      </c>
      <c r="AL46" s="2033">
        <f>AK46/AJ46</f>
        <v>1</v>
      </c>
      <c r="AM46" s="2035"/>
      <c r="AN46" s="2032">
        <v>786</v>
      </c>
      <c r="AO46" s="2035">
        <v>786</v>
      </c>
      <c r="AP46" s="2033">
        <f t="shared" ref="AP46:AP51" si="28">AO46/AN46</f>
        <v>1</v>
      </c>
      <c r="AQ46" s="2054" t="s">
        <v>1375</v>
      </c>
      <c r="AR46" s="2035">
        <v>611903</v>
      </c>
      <c r="AS46" s="2032">
        <v>684543</v>
      </c>
      <c r="AT46" s="2035">
        <v>652294</v>
      </c>
      <c r="AU46" s="2033">
        <f t="shared" ref="AU46:AU51" si="29">AT46/AS46</f>
        <v>0.95288973811725486</v>
      </c>
      <c r="AV46" s="2035">
        <v>6638</v>
      </c>
      <c r="AW46" s="2032">
        <v>16958</v>
      </c>
      <c r="AX46" s="2035">
        <v>11721</v>
      </c>
      <c r="AY46" s="2033">
        <f t="shared" ref="AY46:AY51" si="30">AX46/AW46</f>
        <v>0.691178204977002</v>
      </c>
      <c r="AZ46" s="2032">
        <f t="shared" ref="AZ46:BB47" si="31">AR46+AV46</f>
        <v>618541</v>
      </c>
      <c r="BA46" s="2032">
        <f t="shared" si="31"/>
        <v>701501</v>
      </c>
      <c r="BB46" s="2032">
        <f t="shared" si="31"/>
        <v>664015</v>
      </c>
      <c r="BC46" s="2033">
        <f t="shared" ref="BC46:BC51" si="32">BB46/BA46</f>
        <v>0.94656315529129675</v>
      </c>
      <c r="BD46" s="2032">
        <f t="shared" ref="BD46:BF47" si="33">R46+AI46+AM46+AZ46</f>
        <v>656502</v>
      </c>
      <c r="BE46" s="2032">
        <f t="shared" si="33"/>
        <v>745152</v>
      </c>
      <c r="BF46" s="2032">
        <f t="shared" si="33"/>
        <v>706806</v>
      </c>
      <c r="BG46" s="2033">
        <f t="shared" ref="BG46:BG51" si="34">BF46/BE46</f>
        <v>0.94853935841278025</v>
      </c>
    </row>
    <row r="47" spans="1:59" s="1946" customFormat="1" ht="114" customHeight="1" thickBot="1" x14ac:dyDescent="0.65">
      <c r="A47" s="1945" t="s">
        <v>1376</v>
      </c>
      <c r="B47" s="2047">
        <v>90149</v>
      </c>
      <c r="C47" s="2032">
        <v>112740</v>
      </c>
      <c r="D47" s="2047">
        <v>112740</v>
      </c>
      <c r="E47" s="2036">
        <f t="shared" si="23"/>
        <v>1</v>
      </c>
      <c r="F47" s="2047">
        <v>0</v>
      </c>
      <c r="G47" s="2032">
        <v>39295</v>
      </c>
      <c r="H47" s="2047">
        <v>39295</v>
      </c>
      <c r="I47" s="2036">
        <f t="shared" si="24"/>
        <v>1</v>
      </c>
      <c r="J47" s="2047">
        <v>0</v>
      </c>
      <c r="K47" s="2032">
        <v>0</v>
      </c>
      <c r="L47" s="2047"/>
      <c r="M47" s="2036"/>
      <c r="N47" s="2035">
        <v>0</v>
      </c>
      <c r="O47" s="2035">
        <v>0</v>
      </c>
      <c r="P47" s="2035"/>
      <c r="Q47" s="2036"/>
      <c r="R47" s="2032">
        <f t="shared" si="25"/>
        <v>90149</v>
      </c>
      <c r="S47" s="2032">
        <f t="shared" si="25"/>
        <v>152035</v>
      </c>
      <c r="T47" s="2032">
        <f t="shared" si="25"/>
        <v>152035</v>
      </c>
      <c r="U47" s="2036">
        <f t="shared" si="26"/>
        <v>1</v>
      </c>
      <c r="V47" s="2056" t="s">
        <v>1376</v>
      </c>
      <c r="W47" s="2047">
        <v>0</v>
      </c>
      <c r="X47" s="2047">
        <v>0</v>
      </c>
      <c r="Y47" s="2047"/>
      <c r="Z47" s="2036"/>
      <c r="AA47" s="2047">
        <v>0</v>
      </c>
      <c r="AB47" s="2047">
        <v>0</v>
      </c>
      <c r="AC47" s="2047"/>
      <c r="AD47" s="2036"/>
      <c r="AE47" s="2047">
        <v>0</v>
      </c>
      <c r="AF47" s="2047">
        <v>0</v>
      </c>
      <c r="AG47" s="2047"/>
      <c r="AH47" s="2036"/>
      <c r="AI47" s="2032">
        <f t="shared" si="27"/>
        <v>0</v>
      </c>
      <c r="AJ47" s="2032">
        <f t="shared" si="27"/>
        <v>0</v>
      </c>
      <c r="AK47" s="2032">
        <f t="shared" si="27"/>
        <v>0</v>
      </c>
      <c r="AL47" s="2036"/>
      <c r="AM47" s="2047"/>
      <c r="AN47" s="2032">
        <v>591</v>
      </c>
      <c r="AO47" s="2047">
        <v>591</v>
      </c>
      <c r="AP47" s="2036">
        <f t="shared" si="28"/>
        <v>1</v>
      </c>
      <c r="AQ47" s="2056" t="s">
        <v>1376</v>
      </c>
      <c r="AR47" s="2047">
        <v>587605</v>
      </c>
      <c r="AS47" s="2032">
        <v>722709</v>
      </c>
      <c r="AT47" s="2047">
        <v>689311</v>
      </c>
      <c r="AU47" s="2036">
        <f t="shared" si="29"/>
        <v>0.95378776243273578</v>
      </c>
      <c r="AV47" s="2047">
        <v>0</v>
      </c>
      <c r="AW47" s="2032">
        <v>28701</v>
      </c>
      <c r="AX47" s="2047">
        <v>14759</v>
      </c>
      <c r="AY47" s="2064">
        <f t="shared" si="30"/>
        <v>0.51423295355562526</v>
      </c>
      <c r="AZ47" s="2032">
        <f t="shared" si="31"/>
        <v>587605</v>
      </c>
      <c r="BA47" s="2032">
        <f t="shared" si="31"/>
        <v>751410</v>
      </c>
      <c r="BB47" s="2032">
        <f t="shared" si="31"/>
        <v>704070</v>
      </c>
      <c r="BC47" s="2036">
        <f t="shared" si="32"/>
        <v>0.93699844292729673</v>
      </c>
      <c r="BD47" s="2032">
        <f t="shared" si="33"/>
        <v>677754</v>
      </c>
      <c r="BE47" s="2032">
        <f t="shared" si="33"/>
        <v>904036</v>
      </c>
      <c r="BF47" s="2032">
        <f t="shared" si="33"/>
        <v>856696</v>
      </c>
      <c r="BG47" s="2036">
        <f t="shared" si="34"/>
        <v>0.94763482870151183</v>
      </c>
    </row>
    <row r="48" spans="1:59" ht="57" customHeight="1" thickBot="1" x14ac:dyDescent="0.65">
      <c r="A48" s="1947" t="s">
        <v>1374</v>
      </c>
      <c r="B48" s="2038">
        <f>SUM(B46:B47)</f>
        <v>128110</v>
      </c>
      <c r="C48" s="2038">
        <f>SUM(C46:C47)</f>
        <v>154652</v>
      </c>
      <c r="D48" s="2038">
        <f>SUM(D46:D47)</f>
        <v>153792</v>
      </c>
      <c r="E48" s="2058">
        <f t="shared" si="23"/>
        <v>0.99443912784833044</v>
      </c>
      <c r="F48" s="2038">
        <f>SUM(F46:F47)</f>
        <v>0</v>
      </c>
      <c r="G48" s="2038">
        <f>SUM(G46:G47)</f>
        <v>40231</v>
      </c>
      <c r="H48" s="2038">
        <f>SUM(H46:H47)</f>
        <v>40231</v>
      </c>
      <c r="I48" s="2058">
        <f t="shared" si="24"/>
        <v>1</v>
      </c>
      <c r="J48" s="2038">
        <f>SUM(J46:J47)</f>
        <v>0</v>
      </c>
      <c r="K48" s="2038">
        <f>SUM(K46:K47)</f>
        <v>0</v>
      </c>
      <c r="L48" s="2038">
        <f>SUM(L46:L47)</f>
        <v>0</v>
      </c>
      <c r="M48" s="2058"/>
      <c r="N48" s="2038">
        <f>SUM(N46:N47)</f>
        <v>0</v>
      </c>
      <c r="O48" s="2038">
        <f>SUM(O46:O47)</f>
        <v>0</v>
      </c>
      <c r="P48" s="2038">
        <f>SUM(P46:P47)</f>
        <v>0</v>
      </c>
      <c r="Q48" s="2058"/>
      <c r="R48" s="2038">
        <f>SUM(R46:R47)</f>
        <v>128110</v>
      </c>
      <c r="S48" s="2038">
        <f>SUM(S46:S47)</f>
        <v>194883</v>
      </c>
      <c r="T48" s="2038">
        <f>SUM(T46:T47)</f>
        <v>194023</v>
      </c>
      <c r="U48" s="2058">
        <f t="shared" si="26"/>
        <v>0.99558709584725191</v>
      </c>
      <c r="V48" s="2057" t="s">
        <v>1374</v>
      </c>
      <c r="W48" s="2038">
        <f>SUM(W46:W47)</f>
        <v>0</v>
      </c>
      <c r="X48" s="2038">
        <f>SUM(X46:X47)</f>
        <v>17</v>
      </c>
      <c r="Y48" s="2038">
        <f>SUM(Y46:Y47)</f>
        <v>17</v>
      </c>
      <c r="Z48" s="2039">
        <f>Y48/X48</f>
        <v>1</v>
      </c>
      <c r="AA48" s="2038">
        <f>SUM(AA46:AA47)</f>
        <v>0</v>
      </c>
      <c r="AB48" s="2038">
        <f>SUM(AB46:AB47)</f>
        <v>0</v>
      </c>
      <c r="AC48" s="2038">
        <f>SUM(AC46:AC47)</f>
        <v>0</v>
      </c>
      <c r="AD48" s="2058"/>
      <c r="AE48" s="2038">
        <f>SUM(AE46:AE47)</f>
        <v>0</v>
      </c>
      <c r="AF48" s="2038">
        <f>SUM(AF46:AF47)</f>
        <v>0</v>
      </c>
      <c r="AG48" s="2038">
        <f>SUM(AG46:AG47)</f>
        <v>0</v>
      </c>
      <c r="AH48" s="2058"/>
      <c r="AI48" s="2038">
        <f>SUM(AI46:AI47)</f>
        <v>0</v>
      </c>
      <c r="AJ48" s="2038">
        <f>SUM(AJ46:AJ47)</f>
        <v>17</v>
      </c>
      <c r="AK48" s="2038">
        <f>SUM(AK46:AK47)</f>
        <v>17</v>
      </c>
      <c r="AL48" s="2058">
        <f>AK48/AJ48</f>
        <v>1</v>
      </c>
      <c r="AM48" s="2038">
        <f>SUM(AM46:AM47)</f>
        <v>0</v>
      </c>
      <c r="AN48" s="2038">
        <f>SUM(AN46:AN47)</f>
        <v>1377</v>
      </c>
      <c r="AO48" s="2038">
        <f>SUM(AO46:AO47)</f>
        <v>1377</v>
      </c>
      <c r="AP48" s="2058">
        <f t="shared" si="28"/>
        <v>1</v>
      </c>
      <c r="AQ48" s="2057" t="s">
        <v>1374</v>
      </c>
      <c r="AR48" s="2038">
        <f>SUM(AR46:AR47)</f>
        <v>1199508</v>
      </c>
      <c r="AS48" s="2038">
        <f>SUM(AS46:AS47)</f>
        <v>1407252</v>
      </c>
      <c r="AT48" s="2038">
        <f>SUM(AT46:AT47)</f>
        <v>1341605</v>
      </c>
      <c r="AU48" s="2058">
        <f t="shared" si="29"/>
        <v>0.95335092790772369</v>
      </c>
      <c r="AV48" s="2038">
        <f>SUM(AV46:AV47)</f>
        <v>6638</v>
      </c>
      <c r="AW48" s="2038">
        <f>SUM(AW46:AW47)</f>
        <v>45659</v>
      </c>
      <c r="AX48" s="2038">
        <f>SUM(AX46:AX47)</f>
        <v>26480</v>
      </c>
      <c r="AY48" s="2058">
        <f t="shared" si="30"/>
        <v>0.57995137869861368</v>
      </c>
      <c r="AZ48" s="2038">
        <f>SUM(AZ46:AZ47)</f>
        <v>1206146</v>
      </c>
      <c r="BA48" s="2038">
        <f>SUM(BA46:BA47)</f>
        <v>1452911</v>
      </c>
      <c r="BB48" s="2038">
        <f>SUM(BB46:BB47)</f>
        <v>1368085</v>
      </c>
      <c r="BC48" s="2058">
        <f t="shared" si="32"/>
        <v>0.94161652021355746</v>
      </c>
      <c r="BD48" s="2038">
        <f>SUM(BD46:BD47)</f>
        <v>1334256</v>
      </c>
      <c r="BE48" s="2038">
        <f>SUM(BE46:BE47)</f>
        <v>1649188</v>
      </c>
      <c r="BF48" s="2038">
        <f>SUM(BF46:BF47)</f>
        <v>1563502</v>
      </c>
      <c r="BG48" s="2058">
        <f t="shared" si="34"/>
        <v>0.94804352202417186</v>
      </c>
    </row>
    <row r="49" spans="1:59" ht="57" customHeight="1" thickBot="1" x14ac:dyDescent="0.65">
      <c r="A49" s="1948" t="s">
        <v>1192</v>
      </c>
      <c r="B49" s="2052">
        <f>B38+B41+B44+B48</f>
        <v>785405</v>
      </c>
      <c r="C49" s="2052">
        <f>C38+C41+C44+C48</f>
        <v>987275</v>
      </c>
      <c r="D49" s="2052">
        <f>D38+D41+D44+D48</f>
        <v>986416</v>
      </c>
      <c r="E49" s="2039">
        <f t="shared" si="23"/>
        <v>0.99912992833810232</v>
      </c>
      <c r="F49" s="2052">
        <f>F38+F41+F44+F48</f>
        <v>220077</v>
      </c>
      <c r="G49" s="2052">
        <f>G38+G41+G44+G48</f>
        <v>339125</v>
      </c>
      <c r="H49" s="2052">
        <f>H38+H41+H44+H48</f>
        <v>339124</v>
      </c>
      <c r="I49" s="2039">
        <f t="shared" si="24"/>
        <v>0.99999705123479543</v>
      </c>
      <c r="J49" s="2052">
        <f>J38+J41+J44+J48</f>
        <v>26000</v>
      </c>
      <c r="K49" s="2052">
        <f>K38+K41+K44+K48</f>
        <v>97707</v>
      </c>
      <c r="L49" s="2052">
        <f>L38+L41+L44+L48</f>
        <v>97707</v>
      </c>
      <c r="M49" s="2039">
        <f>L49/K49</f>
        <v>1</v>
      </c>
      <c r="N49" s="2052">
        <f>N38+N41+N44+N48</f>
        <v>0</v>
      </c>
      <c r="O49" s="2052">
        <f>O38+O41+O44+O48</f>
        <v>0</v>
      </c>
      <c r="P49" s="2052">
        <f>P38+P41+P44+P48</f>
        <v>0</v>
      </c>
      <c r="Q49" s="2039"/>
      <c r="R49" s="2052">
        <f>R38+R41+R44+R48</f>
        <v>1031482</v>
      </c>
      <c r="S49" s="2052">
        <f>S38+S41+S44+S48</f>
        <v>1424107</v>
      </c>
      <c r="T49" s="2052">
        <f>T38+T41+T44+T48</f>
        <v>1423247</v>
      </c>
      <c r="U49" s="2039">
        <f t="shared" si="26"/>
        <v>0.99939611279208651</v>
      </c>
      <c r="V49" s="2059" t="s">
        <v>1192</v>
      </c>
      <c r="W49" s="2052">
        <f>W38+W41+W44+W48</f>
        <v>0</v>
      </c>
      <c r="X49" s="2052">
        <f>X38+X41+X44+X48</f>
        <v>536</v>
      </c>
      <c r="Y49" s="2052">
        <f>Y38+Y41+Y44+Y48</f>
        <v>631</v>
      </c>
      <c r="Z49" s="2039">
        <f>Y49/X49</f>
        <v>1.1772388059701493</v>
      </c>
      <c r="AA49" s="2052">
        <f>AA38+AA41+AA44+AA48</f>
        <v>1990</v>
      </c>
      <c r="AB49" s="2052">
        <f>AB38+AB41+AB44+AB48</f>
        <v>12537</v>
      </c>
      <c r="AC49" s="2052">
        <f>AC38+AC41+AC44+AC48</f>
        <v>12537</v>
      </c>
      <c r="AD49" s="2039">
        <f>AC49/AB49</f>
        <v>1</v>
      </c>
      <c r="AE49" s="2052">
        <f>AE38+AE41+AE44+AE48</f>
        <v>0</v>
      </c>
      <c r="AF49" s="2052">
        <f>AF38+AF41+AF44+AF48</f>
        <v>15000</v>
      </c>
      <c r="AG49" s="2052">
        <f>AG38+AG41+AG44+AG48</f>
        <v>15000</v>
      </c>
      <c r="AH49" s="2039">
        <f>AG49/AF49</f>
        <v>1</v>
      </c>
      <c r="AI49" s="2052">
        <f>AI38+AI41+AI44+AI48</f>
        <v>1990</v>
      </c>
      <c r="AJ49" s="2052">
        <f>AJ38+AJ41+AJ44+AJ48</f>
        <v>28073</v>
      </c>
      <c r="AK49" s="2052">
        <f>AK38+AK41+AK44+AK48</f>
        <v>28168</v>
      </c>
      <c r="AL49" s="2039">
        <f>AK49/AJ49</f>
        <v>1.0033840344815304</v>
      </c>
      <c r="AM49" s="2052">
        <f>AM38+AM41+AM44+AM48</f>
        <v>0</v>
      </c>
      <c r="AN49" s="2052">
        <f>AN38+AN41+AN44+AN48</f>
        <v>140338</v>
      </c>
      <c r="AO49" s="2052">
        <f>AO38+AO41+AO44+AO48</f>
        <v>140338</v>
      </c>
      <c r="AP49" s="2039">
        <f t="shared" si="28"/>
        <v>1</v>
      </c>
      <c r="AQ49" s="2059" t="s">
        <v>1192</v>
      </c>
      <c r="AR49" s="2052">
        <f>AR38+AR41+AR44+AR48</f>
        <v>2422554</v>
      </c>
      <c r="AS49" s="2052">
        <f>AS38+AS41+AS44+AS48</f>
        <v>3031420</v>
      </c>
      <c r="AT49" s="2052">
        <f>AT38+AT41+AT44+AT48</f>
        <v>2832884</v>
      </c>
      <c r="AU49" s="2039">
        <f t="shared" si="29"/>
        <v>0.93450726062373413</v>
      </c>
      <c r="AV49" s="2052">
        <f>AV38+AV41+AV44+AV48</f>
        <v>22777</v>
      </c>
      <c r="AW49" s="2052">
        <f>AW38+AW41+AW44+AW48</f>
        <v>219284</v>
      </c>
      <c r="AX49" s="2052">
        <f>AX38+AX41+AX44+AX48</f>
        <v>87306</v>
      </c>
      <c r="AY49" s="2039">
        <f t="shared" si="30"/>
        <v>0.39814122325386259</v>
      </c>
      <c r="AZ49" s="2052">
        <f>AZ38+AZ41+AZ44+AZ48</f>
        <v>2445331</v>
      </c>
      <c r="BA49" s="2052">
        <f>BA38+BA41+BA44+BA48</f>
        <v>3250704</v>
      </c>
      <c r="BB49" s="2052">
        <f>BB38+BB41+BB44+BB48</f>
        <v>2920190</v>
      </c>
      <c r="BC49" s="2039">
        <f t="shared" si="32"/>
        <v>0.89832540889604218</v>
      </c>
      <c r="BD49" s="2052">
        <f>BD38+BD41+BD44+BD48</f>
        <v>3478803</v>
      </c>
      <c r="BE49" s="2052">
        <f>BE38+BE41+BE44+BE48</f>
        <v>4843222</v>
      </c>
      <c r="BF49" s="2052">
        <f>BF38+BF41+BF44+BF48</f>
        <v>4511943</v>
      </c>
      <c r="BG49" s="2039">
        <f t="shared" si="34"/>
        <v>0.93159946002888161</v>
      </c>
    </row>
    <row r="50" spans="1:59" ht="57" customHeight="1" thickBot="1" x14ac:dyDescent="0.65">
      <c r="A50" s="1949" t="s">
        <v>1377</v>
      </c>
      <c r="B50" s="2052">
        <f>B30</f>
        <v>413099</v>
      </c>
      <c r="C50" s="2052">
        <f>C30</f>
        <v>397987</v>
      </c>
      <c r="D50" s="2052">
        <f>D30</f>
        <v>398609</v>
      </c>
      <c r="E50" s="2036">
        <f t="shared" si="23"/>
        <v>1.0015628651187098</v>
      </c>
      <c r="F50" s="2052">
        <f>F30</f>
        <v>0</v>
      </c>
      <c r="G50" s="2052">
        <f>G30</f>
        <v>5409</v>
      </c>
      <c r="H50" s="2052">
        <f>H30</f>
        <v>5409</v>
      </c>
      <c r="I50" s="2036">
        <f t="shared" si="24"/>
        <v>1</v>
      </c>
      <c r="J50" s="2052">
        <f>J30</f>
        <v>0</v>
      </c>
      <c r="K50" s="2052">
        <f>K30</f>
        <v>1809</v>
      </c>
      <c r="L50" s="2052">
        <f>L30</f>
        <v>1806</v>
      </c>
      <c r="M50" s="2036">
        <f>L50/K50</f>
        <v>0.99834162520729686</v>
      </c>
      <c r="N50" s="2052">
        <f>N30</f>
        <v>0</v>
      </c>
      <c r="O50" s="2052">
        <f>O30</f>
        <v>0</v>
      </c>
      <c r="P50" s="2052">
        <f>P30</f>
        <v>0</v>
      </c>
      <c r="Q50" s="2036"/>
      <c r="R50" s="2052">
        <f>R30</f>
        <v>413099</v>
      </c>
      <c r="S50" s="2052">
        <f>S30</f>
        <v>405205</v>
      </c>
      <c r="T50" s="2052">
        <f>T30</f>
        <v>405824</v>
      </c>
      <c r="U50" s="2036">
        <f t="shared" si="26"/>
        <v>1.0015276218210536</v>
      </c>
      <c r="V50" s="2060" t="s">
        <v>1377</v>
      </c>
      <c r="W50" s="2052">
        <f>W30</f>
        <v>0</v>
      </c>
      <c r="X50" s="2052">
        <f>X30</f>
        <v>34</v>
      </c>
      <c r="Y50" s="2052">
        <f>Y30</f>
        <v>34</v>
      </c>
      <c r="Z50" s="2036">
        <f>Y50/X50</f>
        <v>1</v>
      </c>
      <c r="AA50" s="2052">
        <f>AA30</f>
        <v>0</v>
      </c>
      <c r="AB50" s="2052">
        <f>AB30</f>
        <v>0</v>
      </c>
      <c r="AC50" s="2052">
        <f>AC30</f>
        <v>0</v>
      </c>
      <c r="AD50" s="2036"/>
      <c r="AE50" s="2052">
        <f>AE30</f>
        <v>0</v>
      </c>
      <c r="AF50" s="2052">
        <f>AF30</f>
        <v>0</v>
      </c>
      <c r="AG50" s="2052">
        <f>AG30</f>
        <v>0</v>
      </c>
      <c r="AH50" s="2036"/>
      <c r="AI50" s="2052">
        <f>AI30</f>
        <v>0</v>
      </c>
      <c r="AJ50" s="2052">
        <f>AJ30</f>
        <v>34</v>
      </c>
      <c r="AK50" s="2052">
        <f>AK30</f>
        <v>34</v>
      </c>
      <c r="AL50" s="2036">
        <f>AK50/AJ50</f>
        <v>1</v>
      </c>
      <c r="AM50" s="2052">
        <f>AM30</f>
        <v>0</v>
      </c>
      <c r="AN50" s="2052">
        <f>AN30</f>
        <v>8727</v>
      </c>
      <c r="AO50" s="2052">
        <f>AO30</f>
        <v>8727</v>
      </c>
      <c r="AP50" s="2036">
        <f t="shared" si="28"/>
        <v>1</v>
      </c>
      <c r="AQ50" s="2060" t="s">
        <v>1377</v>
      </c>
      <c r="AR50" s="2052">
        <f>AR30</f>
        <v>2659603</v>
      </c>
      <c r="AS50" s="2052">
        <f>AS30</f>
        <v>2786707</v>
      </c>
      <c r="AT50" s="2052">
        <f>AT30</f>
        <v>2614315</v>
      </c>
      <c r="AU50" s="2036">
        <f t="shared" si="29"/>
        <v>0.93813773748011542</v>
      </c>
      <c r="AV50" s="2052">
        <f>AV30</f>
        <v>0</v>
      </c>
      <c r="AW50" s="2052">
        <f>AW30</f>
        <v>223427</v>
      </c>
      <c r="AX50" s="2052">
        <f>AX30</f>
        <v>191405</v>
      </c>
      <c r="AY50" s="2036">
        <f t="shared" si="30"/>
        <v>0.85667802011395222</v>
      </c>
      <c r="AZ50" s="2052">
        <f>AZ30</f>
        <v>2659603</v>
      </c>
      <c r="BA50" s="2052">
        <f>BA30</f>
        <v>3010134</v>
      </c>
      <c r="BB50" s="2052">
        <f>BB30</f>
        <v>2805720</v>
      </c>
      <c r="BC50" s="2036">
        <f t="shared" si="32"/>
        <v>0.93209139526678875</v>
      </c>
      <c r="BD50" s="2052">
        <f>BD30</f>
        <v>3072702</v>
      </c>
      <c r="BE50" s="2052">
        <f>BE30</f>
        <v>3424100</v>
      </c>
      <c r="BF50" s="2052">
        <f>BF30</f>
        <v>3220305</v>
      </c>
      <c r="BG50" s="2036">
        <f t="shared" si="34"/>
        <v>0.94048217049735694</v>
      </c>
    </row>
    <row r="51" spans="1:59" ht="57" customHeight="1" thickBot="1" x14ac:dyDescent="0.65">
      <c r="A51" s="1940" t="s">
        <v>1193</v>
      </c>
      <c r="B51" s="2038">
        <f>SUM(B49:B50)</f>
        <v>1198504</v>
      </c>
      <c r="C51" s="2038">
        <f>SUM(C49:C50)</f>
        <v>1385262</v>
      </c>
      <c r="D51" s="2038">
        <f>SUM(D49:D50)</f>
        <v>1385025</v>
      </c>
      <c r="E51" s="2039">
        <f t="shared" si="23"/>
        <v>0.99982891323085454</v>
      </c>
      <c r="F51" s="2038">
        <f>SUM(F49:F50)</f>
        <v>220077</v>
      </c>
      <c r="G51" s="2038">
        <f>SUM(G49:G50)</f>
        <v>344534</v>
      </c>
      <c r="H51" s="2038">
        <f>SUM(H49:H50)</f>
        <v>344533</v>
      </c>
      <c r="I51" s="2039">
        <f t="shared" si="24"/>
        <v>0.99999709752883603</v>
      </c>
      <c r="J51" s="2038">
        <f>SUM(J49:J50)</f>
        <v>26000</v>
      </c>
      <c r="K51" s="2038">
        <f>SUM(K49:K50)</f>
        <v>99516</v>
      </c>
      <c r="L51" s="2038">
        <f>SUM(L49:L50)</f>
        <v>99513</v>
      </c>
      <c r="M51" s="2039">
        <f>L51/K51</f>
        <v>0.99996985409381411</v>
      </c>
      <c r="N51" s="2038">
        <f>SUM(N49:N50)</f>
        <v>0</v>
      </c>
      <c r="O51" s="2038">
        <f>SUM(O49:O50)</f>
        <v>0</v>
      </c>
      <c r="P51" s="2038">
        <f>SUM(P49:P50)</f>
        <v>0</v>
      </c>
      <c r="Q51" s="2039"/>
      <c r="R51" s="2038">
        <f>SUM(R49:R50)</f>
        <v>1444581</v>
      </c>
      <c r="S51" s="2038">
        <f>SUM(S49:S50)</f>
        <v>1829312</v>
      </c>
      <c r="T51" s="2038">
        <f>SUM(T49:T50)</f>
        <v>1829071</v>
      </c>
      <c r="U51" s="2039">
        <f t="shared" si="26"/>
        <v>0.9998682564811251</v>
      </c>
      <c r="V51" s="2065" t="s">
        <v>1193</v>
      </c>
      <c r="W51" s="2038">
        <f>SUM(W49:W50)</f>
        <v>0</v>
      </c>
      <c r="X51" s="2038">
        <f>SUM(X49:X50)</f>
        <v>570</v>
      </c>
      <c r="Y51" s="2038">
        <f>SUM(Y49:Y50)</f>
        <v>665</v>
      </c>
      <c r="Z51" s="2039">
        <f>Y51/X51</f>
        <v>1.1666666666666667</v>
      </c>
      <c r="AA51" s="2038">
        <f>SUM(AA49:AA50)</f>
        <v>1990</v>
      </c>
      <c r="AB51" s="2038">
        <f>SUM(AB49:AB50)</f>
        <v>12537</v>
      </c>
      <c r="AC51" s="2038">
        <f>SUM(AC49:AC50)</f>
        <v>12537</v>
      </c>
      <c r="AD51" s="2039">
        <f>AC51/AB51</f>
        <v>1</v>
      </c>
      <c r="AE51" s="2038">
        <f>SUM(AE49:AE50)</f>
        <v>0</v>
      </c>
      <c r="AF51" s="2038">
        <f>SUM(AF49:AF50)</f>
        <v>15000</v>
      </c>
      <c r="AG51" s="2038">
        <f>SUM(AG49:AG50)</f>
        <v>15000</v>
      </c>
      <c r="AH51" s="2039">
        <f>AG51/AF51</f>
        <v>1</v>
      </c>
      <c r="AI51" s="2038">
        <f>SUM(AI49:AI50)</f>
        <v>1990</v>
      </c>
      <c r="AJ51" s="2038">
        <f>SUM(AJ49:AJ50)</f>
        <v>28107</v>
      </c>
      <c r="AK51" s="2038">
        <f>SUM(AK49:AK50)</f>
        <v>28202</v>
      </c>
      <c r="AL51" s="2039">
        <f>AK51/AJ51</f>
        <v>1.0033799409399793</v>
      </c>
      <c r="AM51" s="2038">
        <f>SUM(AM49:AM50)</f>
        <v>0</v>
      </c>
      <c r="AN51" s="2038">
        <f>SUM(AN49:AN50)</f>
        <v>149065</v>
      </c>
      <c r="AO51" s="2038">
        <f>SUM(AO49:AO50)</f>
        <v>149065</v>
      </c>
      <c r="AP51" s="2039">
        <f t="shared" si="28"/>
        <v>1</v>
      </c>
      <c r="AQ51" s="2065" t="s">
        <v>1193</v>
      </c>
      <c r="AR51" s="2038">
        <f>SUM(AR49:AR50)</f>
        <v>5082157</v>
      </c>
      <c r="AS51" s="2038">
        <f>SUM(AS49:AS50)</f>
        <v>5818127</v>
      </c>
      <c r="AT51" s="2038">
        <f>SUM(AT49:AT50)</f>
        <v>5447199</v>
      </c>
      <c r="AU51" s="2039">
        <f t="shared" si="29"/>
        <v>0.93624614931918815</v>
      </c>
      <c r="AV51" s="2038">
        <f>SUM(AV49:AV50)</f>
        <v>22777</v>
      </c>
      <c r="AW51" s="2038">
        <f>SUM(AW49:AW50)</f>
        <v>442711</v>
      </c>
      <c r="AX51" s="2038">
        <f>SUM(AX49:AX50)</f>
        <v>278711</v>
      </c>
      <c r="AY51" s="2039">
        <f t="shared" si="30"/>
        <v>0.62955517256178406</v>
      </c>
      <c r="AZ51" s="2038">
        <f>SUM(AZ49:AZ50)</f>
        <v>5104934</v>
      </c>
      <c r="BA51" s="2038">
        <f>SUM(BA49:BA50)</f>
        <v>6260838</v>
      </c>
      <c r="BB51" s="2038">
        <f>SUM(BB49:BB50)</f>
        <v>5725910</v>
      </c>
      <c r="BC51" s="2039">
        <f t="shared" si="32"/>
        <v>0.91455968034949953</v>
      </c>
      <c r="BD51" s="2038">
        <f>SUM(BD49:BD50)</f>
        <v>6551505</v>
      </c>
      <c r="BE51" s="2038">
        <f>SUM(BE49:BE50)</f>
        <v>8267322</v>
      </c>
      <c r="BF51" s="2038">
        <f>SUM(BF49:BF50)</f>
        <v>7732248</v>
      </c>
      <c r="BG51" s="2039">
        <f t="shared" si="34"/>
        <v>0.93527843720130899</v>
      </c>
    </row>
    <row r="52" spans="1:59" ht="57" customHeight="1" x14ac:dyDescent="0.6">
      <c r="A52" s="1944" t="s">
        <v>1378</v>
      </c>
      <c r="B52" s="2035">
        <v>0</v>
      </c>
      <c r="C52" s="2032">
        <v>0</v>
      </c>
      <c r="D52" s="2035">
        <v>689</v>
      </c>
      <c r="E52" s="2061"/>
      <c r="F52" s="2035">
        <v>0</v>
      </c>
      <c r="G52" s="2032">
        <v>0</v>
      </c>
      <c r="H52" s="2035"/>
      <c r="I52" s="2033"/>
      <c r="J52" s="2035">
        <v>0</v>
      </c>
      <c r="K52" s="2032">
        <f>'[5]int.bevételek RM V'!J52</f>
        <v>0</v>
      </c>
      <c r="L52" s="2032"/>
      <c r="M52" s="2061"/>
      <c r="N52" s="2055">
        <v>0</v>
      </c>
      <c r="O52" s="2032">
        <v>0</v>
      </c>
      <c r="P52" s="2032"/>
      <c r="Q52" s="2033"/>
      <c r="R52" s="2032">
        <f t="shared" ref="R52:T53" si="35">B52+F52+J52+N52</f>
        <v>0</v>
      </c>
      <c r="S52" s="2032">
        <f t="shared" si="35"/>
        <v>0</v>
      </c>
      <c r="T52" s="2032">
        <f t="shared" si="35"/>
        <v>689</v>
      </c>
      <c r="U52" s="2061"/>
      <c r="V52" s="2054" t="s">
        <v>1378</v>
      </c>
      <c r="W52" s="2035">
        <v>0</v>
      </c>
      <c r="X52" s="2035">
        <v>0</v>
      </c>
      <c r="Y52" s="2035"/>
      <c r="Z52" s="2033"/>
      <c r="AA52" s="2035">
        <v>0</v>
      </c>
      <c r="AB52" s="2035">
        <v>0</v>
      </c>
      <c r="AC52" s="2035"/>
      <c r="AD52" s="2033"/>
      <c r="AE52" s="2035">
        <v>0</v>
      </c>
      <c r="AF52" s="2035">
        <v>0</v>
      </c>
      <c r="AG52" s="2035"/>
      <c r="AH52" s="2033"/>
      <c r="AI52" s="2032">
        <f t="shared" ref="AI52:AK53" si="36">W52+AA52+AE52</f>
        <v>0</v>
      </c>
      <c r="AJ52" s="2032">
        <f t="shared" si="36"/>
        <v>0</v>
      </c>
      <c r="AK52" s="2032">
        <f t="shared" si="36"/>
        <v>0</v>
      </c>
      <c r="AL52" s="2061"/>
      <c r="AM52" s="2035"/>
      <c r="AN52" s="2032">
        <v>2866</v>
      </c>
      <c r="AO52" s="2035">
        <v>2866</v>
      </c>
      <c r="AP52" s="2033">
        <f>AO52/AN52</f>
        <v>1</v>
      </c>
      <c r="AQ52" s="2054" t="s">
        <v>1378</v>
      </c>
      <c r="AR52" s="2035">
        <v>188406</v>
      </c>
      <c r="AS52" s="2032">
        <v>192290</v>
      </c>
      <c r="AT52" s="2035">
        <v>173958</v>
      </c>
      <c r="AU52" s="2033">
        <f>AT52/AS52</f>
        <v>0.90466482916428315</v>
      </c>
      <c r="AV52" s="2035">
        <v>3820</v>
      </c>
      <c r="AW52" s="2032">
        <v>7421</v>
      </c>
      <c r="AX52" s="2035">
        <v>4279</v>
      </c>
      <c r="AY52" s="2033">
        <f>AX52/AW52</f>
        <v>0.57660692629025734</v>
      </c>
      <c r="AZ52" s="2032">
        <f t="shared" ref="AZ52:BB53" si="37">AR52+AV52</f>
        <v>192226</v>
      </c>
      <c r="BA52" s="2032">
        <f t="shared" si="37"/>
        <v>199711</v>
      </c>
      <c r="BB52" s="2032">
        <f t="shared" si="37"/>
        <v>178237</v>
      </c>
      <c r="BC52" s="2033">
        <f>BB52/BA52</f>
        <v>0.89247462583433057</v>
      </c>
      <c r="BD52" s="2032">
        <f t="shared" ref="BD52:BF53" si="38">R52+AI52+AM52+AZ52</f>
        <v>192226</v>
      </c>
      <c r="BE52" s="2032">
        <f t="shared" si="38"/>
        <v>202577</v>
      </c>
      <c r="BF52" s="2032">
        <f t="shared" si="38"/>
        <v>181792</v>
      </c>
      <c r="BG52" s="2033">
        <f>BF52/BE52</f>
        <v>0.89739703915054525</v>
      </c>
    </row>
    <row r="53" spans="1:59" s="1946" customFormat="1" ht="57" customHeight="1" thickBot="1" x14ac:dyDescent="0.65">
      <c r="A53" s="1945" t="s">
        <v>75</v>
      </c>
      <c r="B53" s="2047">
        <v>16090</v>
      </c>
      <c r="C53" s="2035">
        <v>18204</v>
      </c>
      <c r="D53" s="2047">
        <v>14482</v>
      </c>
      <c r="E53" s="2036">
        <f>D53/C53</f>
        <v>0.79553944188090531</v>
      </c>
      <c r="F53" s="2047">
        <v>0</v>
      </c>
      <c r="G53" s="2035">
        <v>1454</v>
      </c>
      <c r="H53" s="2047">
        <v>1454</v>
      </c>
      <c r="I53" s="2036">
        <f>H53/G53</f>
        <v>1</v>
      </c>
      <c r="J53" s="2047">
        <v>0</v>
      </c>
      <c r="K53" s="2035">
        <v>0</v>
      </c>
      <c r="L53" s="2047"/>
      <c r="M53" s="2036"/>
      <c r="N53" s="2035">
        <v>700</v>
      </c>
      <c r="O53" s="2035">
        <v>1129</v>
      </c>
      <c r="P53" s="2035">
        <v>1122</v>
      </c>
      <c r="Q53" s="2036">
        <f>P53/O53</f>
        <v>0.99379982285208146</v>
      </c>
      <c r="R53" s="2035">
        <f t="shared" si="35"/>
        <v>16790</v>
      </c>
      <c r="S53" s="2035">
        <f t="shared" si="35"/>
        <v>20787</v>
      </c>
      <c r="T53" s="2035">
        <f t="shared" si="35"/>
        <v>17058</v>
      </c>
      <c r="U53" s="2036">
        <f>T53/S53</f>
        <v>0.82060903449271183</v>
      </c>
      <c r="V53" s="2056" t="s">
        <v>75</v>
      </c>
      <c r="W53" s="2047">
        <v>0</v>
      </c>
      <c r="X53" s="2047">
        <v>45</v>
      </c>
      <c r="Y53" s="2047">
        <v>45</v>
      </c>
      <c r="Z53" s="2036">
        <f>Y53/X53</f>
        <v>1</v>
      </c>
      <c r="AA53" s="2047">
        <v>0</v>
      </c>
      <c r="AB53" s="2047">
        <v>0</v>
      </c>
      <c r="AC53" s="2047"/>
      <c r="AD53" s="2036"/>
      <c r="AE53" s="2047">
        <v>0</v>
      </c>
      <c r="AF53" s="2047">
        <v>0</v>
      </c>
      <c r="AG53" s="2047"/>
      <c r="AH53" s="2036"/>
      <c r="AI53" s="2035">
        <f t="shared" si="36"/>
        <v>0</v>
      </c>
      <c r="AJ53" s="2035">
        <f t="shared" si="36"/>
        <v>45</v>
      </c>
      <c r="AK53" s="2035">
        <f t="shared" si="36"/>
        <v>45</v>
      </c>
      <c r="AL53" s="2040">
        <f>AK53/AJ53</f>
        <v>1</v>
      </c>
      <c r="AM53" s="2047"/>
      <c r="AN53" s="2035">
        <v>9476</v>
      </c>
      <c r="AO53" s="2047">
        <v>9476</v>
      </c>
      <c r="AP53" s="2036">
        <f>AO53/AN53</f>
        <v>1</v>
      </c>
      <c r="AQ53" s="2056" t="s">
        <v>75</v>
      </c>
      <c r="AR53" s="2047">
        <v>1674024</v>
      </c>
      <c r="AS53" s="2035">
        <v>1893346</v>
      </c>
      <c r="AT53" s="2047">
        <v>1655567</v>
      </c>
      <c r="AU53" s="2036">
        <f>AT53/AS53</f>
        <v>0.87441334019244232</v>
      </c>
      <c r="AV53" s="2047">
        <v>20000</v>
      </c>
      <c r="AW53" s="2035">
        <v>82985</v>
      </c>
      <c r="AX53" s="2047">
        <v>64408</v>
      </c>
      <c r="AY53" s="2064">
        <f>AX53/AW53</f>
        <v>0.77614026631318911</v>
      </c>
      <c r="AZ53" s="2035">
        <f t="shared" si="37"/>
        <v>1694024</v>
      </c>
      <c r="BA53" s="2035">
        <f t="shared" si="37"/>
        <v>1976331</v>
      </c>
      <c r="BB53" s="2035">
        <f t="shared" si="37"/>
        <v>1719975</v>
      </c>
      <c r="BC53" s="2036">
        <f>BB53/BA53</f>
        <v>0.87028691044162132</v>
      </c>
      <c r="BD53" s="2035">
        <f t="shared" si="38"/>
        <v>1710814</v>
      </c>
      <c r="BE53" s="2035">
        <f t="shared" si="38"/>
        <v>2006639</v>
      </c>
      <c r="BF53" s="2035">
        <f t="shared" si="38"/>
        <v>1746554</v>
      </c>
      <c r="BG53" s="2036">
        <f>BF53/BE53</f>
        <v>0.87038774787094242</v>
      </c>
    </row>
    <row r="54" spans="1:59" ht="57" customHeight="1" thickBot="1" x14ac:dyDescent="0.65">
      <c r="A54" s="1950" t="s">
        <v>747</v>
      </c>
      <c r="B54" s="2038">
        <f>SUM(B51:B53)</f>
        <v>1214594</v>
      </c>
      <c r="C54" s="2038">
        <f>SUM(C51:C53)</f>
        <v>1403466</v>
      </c>
      <c r="D54" s="2038">
        <f>SUM(D51:D53)</f>
        <v>1400196</v>
      </c>
      <c r="E54" s="2039">
        <f>D54/C54</f>
        <v>0.9976700539948955</v>
      </c>
      <c r="F54" s="2038">
        <f>SUM(F51:F53)</f>
        <v>220077</v>
      </c>
      <c r="G54" s="2038">
        <f>SUM(G51:G53)</f>
        <v>345988</v>
      </c>
      <c r="H54" s="2038">
        <f>SUM(H51:H53)</f>
        <v>345987</v>
      </c>
      <c r="I54" s="2039">
        <f>H54/G54</f>
        <v>0.99999710972634892</v>
      </c>
      <c r="J54" s="2038">
        <f>SUM(J51:J53)</f>
        <v>26000</v>
      </c>
      <c r="K54" s="2038">
        <f>SUM(K51:K53)</f>
        <v>99516</v>
      </c>
      <c r="L54" s="2038">
        <f>SUM(L51:L53)</f>
        <v>99513</v>
      </c>
      <c r="M54" s="2039">
        <f>L54/K54</f>
        <v>0.99996985409381411</v>
      </c>
      <c r="N54" s="2038">
        <f>SUM(N51:N53)</f>
        <v>700</v>
      </c>
      <c r="O54" s="2038">
        <f>SUM(O51:O53)</f>
        <v>1129</v>
      </c>
      <c r="P54" s="2038">
        <f>SUM(P51:P53)</f>
        <v>1122</v>
      </c>
      <c r="Q54" s="2039">
        <f>P54/O54</f>
        <v>0.99379982285208146</v>
      </c>
      <c r="R54" s="2038">
        <f>SUM(R51:R53)</f>
        <v>1461371</v>
      </c>
      <c r="S54" s="2038">
        <f>SUM(S51:S53)</f>
        <v>1850099</v>
      </c>
      <c r="T54" s="2038">
        <f>SUM(T51:T53)</f>
        <v>1846818</v>
      </c>
      <c r="U54" s="2039">
        <f>T54/S54</f>
        <v>0.9982265813883473</v>
      </c>
      <c r="V54" s="2065" t="s">
        <v>747</v>
      </c>
      <c r="W54" s="2038">
        <f>SUM(W51:W53)</f>
        <v>0</v>
      </c>
      <c r="X54" s="2038">
        <f>SUM(X51:X53)</f>
        <v>615</v>
      </c>
      <c r="Y54" s="2038">
        <f>SUM(Y51:Y53)</f>
        <v>710</v>
      </c>
      <c r="Z54" s="2039">
        <f>Y54/X54</f>
        <v>1.1544715447154472</v>
      </c>
      <c r="AA54" s="2038">
        <f>SUM(AA51:AA53)</f>
        <v>1990</v>
      </c>
      <c r="AB54" s="2038">
        <f>SUM(AB51:AB53)</f>
        <v>12537</v>
      </c>
      <c r="AC54" s="2038">
        <f>SUM(AC51:AC53)</f>
        <v>12537</v>
      </c>
      <c r="AD54" s="2039">
        <f>AC54/AB54</f>
        <v>1</v>
      </c>
      <c r="AE54" s="2038">
        <f>SUM(AE51:AE53)</f>
        <v>0</v>
      </c>
      <c r="AF54" s="2038">
        <f>SUM(AF51:AF53)</f>
        <v>15000</v>
      </c>
      <c r="AG54" s="2038">
        <f>SUM(AG51:AG53)</f>
        <v>15000</v>
      </c>
      <c r="AH54" s="2039">
        <f>AG54/AF54</f>
        <v>1</v>
      </c>
      <c r="AI54" s="2038">
        <f>SUM(AI51:AI53)</f>
        <v>1990</v>
      </c>
      <c r="AJ54" s="2038">
        <f>SUM(AJ51:AJ53)</f>
        <v>28152</v>
      </c>
      <c r="AK54" s="2038">
        <f>SUM(AK51:AK53)</f>
        <v>28247</v>
      </c>
      <c r="AL54" s="2039">
        <f>AK54/AJ54</f>
        <v>1.0033745382210855</v>
      </c>
      <c r="AM54" s="2038">
        <f>SUM(AM51:AM53)</f>
        <v>0</v>
      </c>
      <c r="AN54" s="2038">
        <f>SUM(AN51:AN53)</f>
        <v>161407</v>
      </c>
      <c r="AO54" s="2038">
        <f>SUM(AO51:AO53)</f>
        <v>161407</v>
      </c>
      <c r="AP54" s="2039">
        <f>AO54/AN54</f>
        <v>1</v>
      </c>
      <c r="AQ54" s="2065" t="s">
        <v>747</v>
      </c>
      <c r="AR54" s="2038">
        <f>SUM(AR51:AR53)</f>
        <v>6944587</v>
      </c>
      <c r="AS54" s="2038">
        <f>SUM(AS51:AS53)</f>
        <v>7903763</v>
      </c>
      <c r="AT54" s="2038">
        <f>SUM(AT51:AT53)</f>
        <v>7276724</v>
      </c>
      <c r="AU54" s="2039">
        <f>AT54/AS54</f>
        <v>0.92066576388993449</v>
      </c>
      <c r="AV54" s="2038">
        <f>SUM(AV51:AV53)</f>
        <v>46597</v>
      </c>
      <c r="AW54" s="2038">
        <f>SUM(AW51:AW53)</f>
        <v>533117</v>
      </c>
      <c r="AX54" s="2038">
        <f>SUM(AX51:AX53)</f>
        <v>347398</v>
      </c>
      <c r="AY54" s="2039">
        <f>AX54/AW54</f>
        <v>0.65163556967795067</v>
      </c>
      <c r="AZ54" s="2038">
        <f>SUM(AZ51:AZ53)</f>
        <v>6991184</v>
      </c>
      <c r="BA54" s="2038">
        <f>SUM(BA51:BA53)</f>
        <v>8436880</v>
      </c>
      <c r="BB54" s="2038">
        <f>SUM(BB51:BB53)</f>
        <v>7624122</v>
      </c>
      <c r="BC54" s="2039">
        <f>BB54/BA54</f>
        <v>0.90366604716435461</v>
      </c>
      <c r="BD54" s="2038">
        <f>SUM(BD51:BD53)</f>
        <v>8454545</v>
      </c>
      <c r="BE54" s="2038">
        <f>SUM(BE51:BE53)</f>
        <v>10476538</v>
      </c>
      <c r="BF54" s="2038">
        <f>SUM(BF51:BF53)</f>
        <v>9660594</v>
      </c>
      <c r="BG54" s="2039">
        <f>BF54/BE54</f>
        <v>0.92211701995449258</v>
      </c>
    </row>
    <row r="55" spans="1:59" s="1956" customFormat="1" ht="49.5" customHeight="1" x14ac:dyDescent="0.6">
      <c r="A55" s="1951"/>
      <c r="B55" s="1952"/>
      <c r="C55" s="1952"/>
      <c r="D55" s="1952"/>
      <c r="E55" s="1952"/>
      <c r="F55" s="1952"/>
      <c r="G55" s="1952"/>
      <c r="H55" s="1952"/>
      <c r="I55" s="1952"/>
      <c r="J55" s="1952"/>
      <c r="K55" s="1952"/>
      <c r="L55" s="1952"/>
      <c r="M55" s="1952"/>
      <c r="N55" s="1952"/>
      <c r="O55" s="1952"/>
      <c r="P55" s="1952"/>
      <c r="Q55" s="1952"/>
      <c r="R55" s="1952"/>
      <c r="S55" s="1952"/>
      <c r="T55" s="1952"/>
      <c r="U55" s="1952"/>
      <c r="V55" s="1953"/>
      <c r="W55" s="1952"/>
      <c r="X55" s="1952"/>
      <c r="Y55" s="1952"/>
      <c r="Z55" s="1952"/>
      <c r="AA55" s="1952"/>
      <c r="AB55" s="1952"/>
      <c r="AC55" s="1952"/>
      <c r="AD55" s="1952"/>
      <c r="AE55" s="1952"/>
      <c r="AF55" s="1952"/>
      <c r="AG55" s="1952"/>
      <c r="AH55" s="1952"/>
      <c r="AI55" s="1952"/>
      <c r="AJ55" s="1952"/>
      <c r="AK55" s="1952"/>
      <c r="AL55" s="1952"/>
      <c r="AM55" s="1953"/>
      <c r="AN55" s="1953"/>
      <c r="AO55" s="1953"/>
      <c r="AP55" s="1953"/>
      <c r="AQ55" s="1953"/>
      <c r="AR55" s="1953"/>
      <c r="AS55" s="1953"/>
      <c r="AT55" s="1953"/>
      <c r="AU55" s="1953"/>
      <c r="AV55" s="1953"/>
      <c r="AW55" s="1953"/>
      <c r="AX55" s="1953"/>
      <c r="AY55" s="1953"/>
      <c r="AZ55" s="1953"/>
      <c r="BA55" s="1953"/>
      <c r="BB55" s="1954"/>
      <c r="BC55" s="1954"/>
      <c r="BD55" s="1954"/>
      <c r="BE55" s="1954"/>
      <c r="BF55" s="1955"/>
      <c r="BG55" s="1955"/>
    </row>
    <row r="56" spans="1:59" s="1956" customFormat="1" ht="47.25" customHeight="1" x14ac:dyDescent="0.6">
      <c r="A56" s="1957"/>
      <c r="B56" s="1952">
        <f>[4]int.bevételek2017!B53</f>
        <v>1214594</v>
      </c>
      <c r="C56" s="1952">
        <f>'[5]int.bevételek RM V'!$D$54</f>
        <v>1403466</v>
      </c>
      <c r="D56" s="1952"/>
      <c r="E56" s="1952"/>
      <c r="F56" s="1952">
        <f>[4]int.bevételek2017!$C$53</f>
        <v>220077</v>
      </c>
      <c r="G56" s="1952">
        <f>'[5]int.bevételek RM V'!$G$54</f>
        <v>345988</v>
      </c>
      <c r="H56" s="1952"/>
      <c r="I56" s="1952"/>
      <c r="J56" s="1952">
        <v>26000</v>
      </c>
      <c r="K56" s="1952">
        <v>99516</v>
      </c>
      <c r="L56" s="1952"/>
      <c r="M56" s="1952"/>
      <c r="N56" s="1952">
        <v>700</v>
      </c>
      <c r="O56" s="1952">
        <v>1129</v>
      </c>
      <c r="P56" s="1952"/>
      <c r="Q56" s="1952"/>
      <c r="R56" s="1952">
        <v>1461371</v>
      </c>
      <c r="S56" s="1952">
        <v>1850099</v>
      </c>
      <c r="T56" s="1952">
        <v>0</v>
      </c>
      <c r="U56" s="1952"/>
      <c r="V56" s="1958"/>
      <c r="W56" s="1952">
        <v>0</v>
      </c>
      <c r="X56" s="1952">
        <v>709</v>
      </c>
      <c r="Y56" s="1952"/>
      <c r="Z56" s="1952"/>
      <c r="AA56" s="1952">
        <v>1990</v>
      </c>
      <c r="AB56" s="1952">
        <v>12537</v>
      </c>
      <c r="AC56" s="1952"/>
      <c r="AD56" s="1952"/>
      <c r="AE56" s="1952">
        <v>0</v>
      </c>
      <c r="AF56" s="1952">
        <v>15000</v>
      </c>
      <c r="AG56" s="1952"/>
      <c r="AH56" s="1952"/>
      <c r="AI56" s="1952">
        <v>1990</v>
      </c>
      <c r="AJ56" s="1952">
        <v>28246</v>
      </c>
      <c r="AK56" s="1952">
        <v>0</v>
      </c>
      <c r="AL56" s="1952"/>
      <c r="AM56" s="1958"/>
      <c r="AN56" s="1959">
        <v>161407</v>
      </c>
      <c r="AO56" s="1959"/>
      <c r="AP56" s="1958"/>
      <c r="AQ56" s="1958"/>
      <c r="AR56" s="1959">
        <v>6944587</v>
      </c>
      <c r="AS56" s="1959">
        <v>7903763</v>
      </c>
      <c r="AT56" s="1959"/>
      <c r="AU56" s="1958"/>
      <c r="AV56" s="1959">
        <v>46597</v>
      </c>
      <c r="AW56" s="1959">
        <v>533117</v>
      </c>
      <c r="AX56" s="1959"/>
      <c r="AY56" s="1958"/>
      <c r="AZ56" s="1959">
        <v>6991184</v>
      </c>
      <c r="BA56" s="1959">
        <v>8436880</v>
      </c>
      <c r="BB56" s="1954"/>
      <c r="BC56" s="1954"/>
      <c r="BD56" s="1952">
        <v>8454545</v>
      </c>
      <c r="BE56" s="1952">
        <v>10476632</v>
      </c>
      <c r="BF56" s="1952"/>
      <c r="BG56" s="1952"/>
    </row>
    <row r="57" spans="1:59" s="1956" customFormat="1" ht="47.25" customHeight="1" x14ac:dyDescent="0.6">
      <c r="A57" s="1957"/>
      <c r="B57" s="1952">
        <f>B54-B56</f>
        <v>0</v>
      </c>
      <c r="C57" s="1952">
        <f>C54-C56</f>
        <v>0</v>
      </c>
      <c r="D57" s="1952">
        <f>D54-D56</f>
        <v>1400196</v>
      </c>
      <c r="E57" s="1952"/>
      <c r="F57" s="1952">
        <f>F54-F56</f>
        <v>0</v>
      </c>
      <c r="G57" s="1952">
        <f>G54-G56</f>
        <v>0</v>
      </c>
      <c r="H57" s="1952">
        <f>H54-H56</f>
        <v>345987</v>
      </c>
      <c r="I57" s="1952"/>
      <c r="J57" s="1952">
        <f>J54-J56</f>
        <v>0</v>
      </c>
      <c r="K57" s="1952">
        <f>K54-K56</f>
        <v>0</v>
      </c>
      <c r="L57" s="1952">
        <f>L54-L56</f>
        <v>99513</v>
      </c>
      <c r="M57" s="1952"/>
      <c r="N57" s="1952">
        <f>N54-N56</f>
        <v>0</v>
      </c>
      <c r="O57" s="1952">
        <f>O54-O56</f>
        <v>0</v>
      </c>
      <c r="P57" s="1952">
        <f>P54-P56</f>
        <v>1122</v>
      </c>
      <c r="Q57" s="1952"/>
      <c r="R57" s="1952">
        <f>R54-R56</f>
        <v>0</v>
      </c>
      <c r="S57" s="1952">
        <f>S54-S56</f>
        <v>0</v>
      </c>
      <c r="T57" s="1952">
        <f>T54-T56</f>
        <v>1846818</v>
      </c>
      <c r="U57" s="1952"/>
      <c r="V57" s="1952"/>
      <c r="W57" s="1952">
        <f>W54-W56</f>
        <v>0</v>
      </c>
      <c r="X57" s="1952">
        <f>X54-X56</f>
        <v>-94</v>
      </c>
      <c r="Y57" s="1952">
        <f>Y54-Y56</f>
        <v>710</v>
      </c>
      <c r="Z57" s="1952"/>
      <c r="AA57" s="1952">
        <f>AA54-AA56</f>
        <v>0</v>
      </c>
      <c r="AB57" s="1952">
        <f>AB54-AB56</f>
        <v>0</v>
      </c>
      <c r="AC57" s="1952">
        <f>AC54-AC56</f>
        <v>12537</v>
      </c>
      <c r="AD57" s="1952"/>
      <c r="AE57" s="1952">
        <f>AE54-AE56</f>
        <v>0</v>
      </c>
      <c r="AF57" s="1952">
        <f>AF54-AF56</f>
        <v>0</v>
      </c>
      <c r="AG57" s="1952">
        <f>AG54-AG56</f>
        <v>15000</v>
      </c>
      <c r="AH57" s="1952"/>
      <c r="AI57" s="1952">
        <f>AI54-AI56</f>
        <v>0</v>
      </c>
      <c r="AJ57" s="1952">
        <f>AJ54-AJ56</f>
        <v>-94</v>
      </c>
      <c r="AK57" s="1952">
        <f>AK54-AK56</f>
        <v>28247</v>
      </c>
      <c r="AL57" s="1952"/>
      <c r="AM57" s="1952">
        <f>AM54-AM56</f>
        <v>0</v>
      </c>
      <c r="AN57" s="1952">
        <f>AN54-AN56</f>
        <v>0</v>
      </c>
      <c r="AO57" s="1952">
        <f>AO54-AO56</f>
        <v>161407</v>
      </c>
      <c r="AP57" s="1952"/>
      <c r="AQ57" s="1952"/>
      <c r="AR57" s="1952">
        <f>AR54-AR56</f>
        <v>0</v>
      </c>
      <c r="AS57" s="1952">
        <f>AS54-AS56</f>
        <v>0</v>
      </c>
      <c r="AT57" s="1952">
        <f>AT54-AT56</f>
        <v>7276724</v>
      </c>
      <c r="AU57" s="1952"/>
      <c r="AV57" s="1952">
        <f>AV54-AV56</f>
        <v>0</v>
      </c>
      <c r="AW57" s="1952">
        <f>AW54-AW56</f>
        <v>0</v>
      </c>
      <c r="AX57" s="1952">
        <f>AX54-AX56</f>
        <v>347398</v>
      </c>
      <c r="AY57" s="1952"/>
      <c r="AZ57" s="1952">
        <f>AZ54-AZ56</f>
        <v>0</v>
      </c>
      <c r="BA57" s="1952">
        <f>BA54-BA56</f>
        <v>0</v>
      </c>
      <c r="BB57" s="1952">
        <f>BB54-BB56</f>
        <v>7624122</v>
      </c>
      <c r="BC57" s="1952"/>
      <c r="BD57" s="1952">
        <f>BD54-BD56</f>
        <v>0</v>
      </c>
      <c r="BE57" s="1952">
        <f>BE54-BE56</f>
        <v>-94</v>
      </c>
      <c r="BF57" s="1952">
        <f>BF54-BF56</f>
        <v>9660594</v>
      </c>
      <c r="BG57" s="1952"/>
    </row>
    <row r="58" spans="1:59" ht="26.45" customHeight="1" x14ac:dyDescent="0.6">
      <c r="A58" s="1960"/>
      <c r="B58" s="1961"/>
      <c r="C58" s="1961"/>
      <c r="D58" s="1961"/>
      <c r="E58" s="1961"/>
      <c r="F58" s="1961"/>
      <c r="G58" s="1961"/>
      <c r="H58" s="1961"/>
      <c r="I58" s="1961"/>
      <c r="J58" s="1961"/>
      <c r="K58" s="1961"/>
      <c r="L58" s="1961"/>
      <c r="M58" s="1961"/>
      <c r="N58" s="1961"/>
      <c r="O58" s="1961"/>
      <c r="P58" s="1961"/>
      <c r="Q58" s="1961"/>
      <c r="R58" s="1961"/>
      <c r="S58" s="1961"/>
      <c r="T58" s="1961"/>
      <c r="U58" s="1961"/>
      <c r="V58" s="1962"/>
      <c r="W58" s="1961"/>
      <c r="X58" s="1961"/>
      <c r="Y58" s="1961"/>
      <c r="Z58" s="1961"/>
      <c r="AA58" s="1961"/>
      <c r="AB58" s="1961"/>
      <c r="AC58" s="1961"/>
      <c r="AD58" s="1961"/>
      <c r="AE58" s="1961"/>
      <c r="AF58" s="1961"/>
      <c r="AG58" s="1961"/>
      <c r="AH58" s="1961"/>
      <c r="AI58" s="1961"/>
      <c r="AJ58" s="1961"/>
      <c r="AK58" s="1961"/>
      <c r="AL58" s="1961"/>
      <c r="AM58" s="1962"/>
      <c r="AN58" s="1962"/>
      <c r="AO58" s="1962"/>
      <c r="AP58" s="1962"/>
      <c r="AQ58" s="1962"/>
      <c r="AR58" s="1962"/>
      <c r="AS58" s="1962"/>
      <c r="AT58" s="1962"/>
      <c r="AU58" s="1962"/>
      <c r="AV58" s="1962"/>
      <c r="AW58" s="1962"/>
      <c r="AX58" s="1962"/>
      <c r="AY58" s="1962"/>
      <c r="AZ58" s="1962"/>
      <c r="BA58" s="1962"/>
      <c r="BB58" s="1963"/>
      <c r="BC58" s="1963"/>
      <c r="BD58" s="1963"/>
      <c r="BE58" s="1963"/>
      <c r="BF58" s="1961"/>
      <c r="BG58" s="1961"/>
    </row>
    <row r="59" spans="1:59" ht="26.45" customHeight="1" x14ac:dyDescent="0.6">
      <c r="A59" s="1960"/>
      <c r="B59" s="1961"/>
      <c r="C59" s="1961"/>
      <c r="D59" s="1961"/>
      <c r="E59" s="1961"/>
      <c r="F59" s="1961"/>
      <c r="G59" s="1961"/>
      <c r="H59" s="1961"/>
      <c r="I59" s="1961"/>
      <c r="J59" s="1961"/>
      <c r="K59" s="1961"/>
      <c r="L59" s="1961"/>
      <c r="M59" s="1961"/>
      <c r="N59" s="1961"/>
      <c r="O59" s="1961"/>
      <c r="P59" s="1961"/>
      <c r="Q59" s="1961"/>
      <c r="R59" s="1961"/>
      <c r="S59" s="1961"/>
      <c r="T59" s="1961">
        <f>+T54+AK54</f>
        <v>1875065</v>
      </c>
      <c r="U59" s="1961"/>
      <c r="V59" s="1962"/>
      <c r="W59" s="1961"/>
      <c r="X59" s="1961"/>
      <c r="Y59" s="1961"/>
      <c r="Z59" s="1961"/>
      <c r="AA59" s="1961"/>
      <c r="AB59" s="1961"/>
      <c r="AC59" s="1961"/>
      <c r="AD59" s="1961"/>
      <c r="AE59" s="1961"/>
      <c r="AF59" s="1961"/>
      <c r="AG59" s="1961"/>
      <c r="AH59" s="1961"/>
      <c r="AI59" s="1961"/>
      <c r="AJ59" s="1961"/>
      <c r="AK59" s="1961"/>
      <c r="AL59" s="1961"/>
      <c r="AM59" s="1962"/>
      <c r="AN59" s="1962"/>
      <c r="AO59" s="1962"/>
      <c r="AP59" s="1962"/>
      <c r="AQ59" s="1962"/>
      <c r="AR59" s="1962"/>
      <c r="AS59" s="1962"/>
      <c r="AT59" s="1962"/>
      <c r="AU59" s="1962"/>
      <c r="AV59" s="1962"/>
      <c r="AW59" s="1962"/>
      <c r="AX59" s="1962"/>
      <c r="AY59" s="1962"/>
      <c r="AZ59" s="1962"/>
      <c r="BA59" s="1962"/>
      <c r="BB59" s="1963"/>
      <c r="BC59" s="1963"/>
      <c r="BD59" s="1963"/>
      <c r="BE59" s="1963"/>
      <c r="BF59" s="1961"/>
      <c r="BG59" s="1961"/>
    </row>
    <row r="60" spans="1:59" ht="26.45" customHeight="1" x14ac:dyDescent="0.6">
      <c r="A60" s="1960"/>
      <c r="V60" s="1962"/>
      <c r="AM60" s="1960"/>
      <c r="AN60" s="1960"/>
      <c r="AO60" s="1960"/>
      <c r="AP60" s="1960"/>
      <c r="AQ60" s="1962"/>
      <c r="AR60" s="1960"/>
      <c r="AS60" s="1960"/>
      <c r="AT60" s="1960"/>
      <c r="AU60" s="1960"/>
      <c r="AV60" s="1960"/>
      <c r="AW60" s="1960"/>
      <c r="AX60" s="1960"/>
      <c r="AY60" s="1960"/>
      <c r="AZ60" s="1960"/>
      <c r="BA60" s="1960"/>
    </row>
  </sheetData>
  <mergeCells count="23">
    <mergeCell ref="AZ6:BC7"/>
    <mergeCell ref="AV7:AY7"/>
    <mergeCell ref="AA6:AD7"/>
    <mergeCell ref="AE6:AH7"/>
    <mergeCell ref="AI6:AL7"/>
    <mergeCell ref="AM6:AP7"/>
    <mergeCell ref="AR6:AY6"/>
    <mergeCell ref="W6:Z7"/>
    <mergeCell ref="A3:U3"/>
    <mergeCell ref="V3:AP3"/>
    <mergeCell ref="AQ3:BG3"/>
    <mergeCell ref="BH3:BM3"/>
    <mergeCell ref="A4:U4"/>
    <mergeCell ref="V4:AP4"/>
    <mergeCell ref="AQ4:BG4"/>
    <mergeCell ref="BH4:BM4"/>
    <mergeCell ref="B6:E7"/>
    <mergeCell ref="F6:I7"/>
    <mergeCell ref="J6:M7"/>
    <mergeCell ref="N6:Q7"/>
    <mergeCell ref="R6:U7"/>
    <mergeCell ref="BD6:BG7"/>
    <mergeCell ref="AR7:AU7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&amp;R&amp;26
&amp;36 &amp;48 &amp;"Times New Roman CE,Félkövér"4.melléklet a …../2018. (…….) önkormányzati rendelethez</oddHeader>
    <oddFooter xml:space="preserve">&amp;C &amp;R
&amp;36 &amp;10
</oddFooter>
  </headerFooter>
  <colBreaks count="2" manualBreakCount="2">
    <brk id="21" max="53" man="1"/>
    <brk id="42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zoomScale="75" zoomScaleNormal="75" zoomScaleSheetLayoutView="75" workbookViewId="0">
      <selection activeCell="B19" sqref="B19"/>
    </sheetView>
  </sheetViews>
  <sheetFormatPr defaultColWidth="9.33203125" defaultRowHeight="12.95" customHeight="1" x14ac:dyDescent="0.2"/>
  <cols>
    <col min="1" max="1" width="120.83203125" style="2461" customWidth="1"/>
    <col min="2" max="3" width="35" style="2460" customWidth="1"/>
    <col min="4" max="4" width="31.33203125" style="2458" customWidth="1"/>
    <col min="5" max="5" width="26" style="2458" customWidth="1"/>
    <col min="6" max="16384" width="9.33203125" style="2458"/>
  </cols>
  <sheetData>
    <row r="1" spans="1:5" ht="26.25" customHeight="1" x14ac:dyDescent="0.3">
      <c r="A1" s="2591" t="s">
        <v>702</v>
      </c>
      <c r="B1" s="2591"/>
      <c r="C1" s="2591"/>
      <c r="D1" s="2591"/>
    </row>
    <row r="2" spans="1:5" ht="26.25" customHeight="1" x14ac:dyDescent="0.3">
      <c r="A2" s="2591" t="s">
        <v>1737</v>
      </c>
      <c r="B2" s="2591"/>
      <c r="C2" s="2591"/>
      <c r="D2" s="2591"/>
    </row>
    <row r="3" spans="1:5" ht="15" x14ac:dyDescent="0.2">
      <c r="A3" s="2459"/>
    </row>
    <row r="4" spans="1:5" ht="15" x14ac:dyDescent="0.2">
      <c r="A4" s="2459"/>
    </row>
    <row r="5" spans="1:5" ht="12.95" customHeight="1" thickBot="1" x14ac:dyDescent="0.25">
      <c r="D5" s="2462"/>
      <c r="E5" s="2462" t="s">
        <v>32</v>
      </c>
    </row>
    <row r="6" spans="1:5" s="2478" customFormat="1" ht="23.25" customHeight="1" x14ac:dyDescent="0.3">
      <c r="A6" s="2477" t="s">
        <v>1738</v>
      </c>
      <c r="B6" s="2528" t="s">
        <v>1395</v>
      </c>
      <c r="C6" s="2528" t="s">
        <v>1739</v>
      </c>
      <c r="D6" s="2528" t="s">
        <v>1395</v>
      </c>
      <c r="E6" s="2528" t="s">
        <v>1740</v>
      </c>
    </row>
    <row r="7" spans="1:5" s="2478" customFormat="1" ht="20.25" x14ac:dyDescent="0.3">
      <c r="A7" s="2479"/>
      <c r="B7" s="2480" t="s">
        <v>1741</v>
      </c>
      <c r="C7" s="2480" t="s">
        <v>1742</v>
      </c>
      <c r="D7" s="2480" t="s">
        <v>177</v>
      </c>
      <c r="E7" s="2480"/>
    </row>
    <row r="8" spans="1:5" s="2478" customFormat="1" ht="21" thickBot="1" x14ac:dyDescent="0.35">
      <c r="A8" s="2481"/>
      <c r="B8" s="2482" t="s">
        <v>1743</v>
      </c>
      <c r="C8" s="2482" t="s">
        <v>1743</v>
      </c>
      <c r="D8" s="2482"/>
      <c r="E8" s="2482"/>
    </row>
    <row r="9" spans="1:5" s="2478" customFormat="1" ht="29.25" customHeight="1" x14ac:dyDescent="0.3">
      <c r="A9" s="2505" t="s">
        <v>1670</v>
      </c>
      <c r="B9" s="2463"/>
      <c r="C9" s="2463"/>
      <c r="D9" s="2464"/>
      <c r="E9" s="2464"/>
    </row>
    <row r="10" spans="1:5" s="2475" customFormat="1" ht="23.1" customHeight="1" x14ac:dyDescent="0.25">
      <c r="A10" s="2506" t="s">
        <v>1744</v>
      </c>
      <c r="B10" s="2504">
        <v>60</v>
      </c>
      <c r="C10" s="2504">
        <v>60</v>
      </c>
      <c r="D10" s="2504"/>
      <c r="E10" s="2504">
        <f>D10-C10</f>
        <v>-60</v>
      </c>
    </row>
    <row r="11" spans="1:5" s="2475" customFormat="1" ht="23.1" customHeight="1" thickBot="1" x14ac:dyDescent="0.3">
      <c r="A11" s="2507" t="s">
        <v>1745</v>
      </c>
      <c r="B11" s="2476"/>
      <c r="C11" s="2474">
        <v>5264</v>
      </c>
      <c r="D11" s="2474">
        <f>SUM(B11:C11)</f>
        <v>5264</v>
      </c>
      <c r="E11" s="2474">
        <f>D11-C11</f>
        <v>0</v>
      </c>
    </row>
    <row r="12" spans="1:5" s="2483" customFormat="1" ht="23.1" customHeight="1" thickBot="1" x14ac:dyDescent="0.35">
      <c r="A12" s="2508" t="s">
        <v>1746</v>
      </c>
      <c r="B12" s="2465">
        <f>SUM(B10:B11)</f>
        <v>60</v>
      </c>
      <c r="C12" s="2465">
        <f>SUM(C10:C11)</f>
        <v>5324</v>
      </c>
      <c r="D12" s="2465">
        <f>SUM(D10:D11)</f>
        <v>5264</v>
      </c>
      <c r="E12" s="2465">
        <f>SUM(E10:E11)</f>
        <v>-60</v>
      </c>
    </row>
    <row r="13" spans="1:5" s="2478" customFormat="1" ht="48.75" customHeight="1" x14ac:dyDescent="0.3">
      <c r="A13" s="2509" t="s">
        <v>1747</v>
      </c>
      <c r="B13" s="2467"/>
      <c r="C13" s="2467"/>
      <c r="D13" s="2467"/>
      <c r="E13" s="2467"/>
    </row>
    <row r="14" spans="1:5" s="2484" customFormat="1" ht="41.25" customHeight="1" x14ac:dyDescent="0.3">
      <c r="A14" s="2510" t="s">
        <v>1748</v>
      </c>
      <c r="B14" s="2503"/>
      <c r="C14" s="2503"/>
      <c r="D14" s="2503"/>
      <c r="E14" s="2503"/>
    </row>
    <row r="15" spans="1:5" s="2484" customFormat="1" ht="26.25" customHeight="1" x14ac:dyDescent="0.25">
      <c r="A15" s="2511" t="s">
        <v>1749</v>
      </c>
      <c r="B15" s="2485">
        <v>967882</v>
      </c>
      <c r="C15" s="2485">
        <v>982037</v>
      </c>
      <c r="D15" s="2485">
        <v>983974</v>
      </c>
      <c r="E15" s="2485">
        <f>D15-C15</f>
        <v>1937</v>
      </c>
    </row>
    <row r="16" spans="1:5" s="2484" customFormat="1" ht="18" x14ac:dyDescent="0.25">
      <c r="A16" s="2512" t="s">
        <v>1750</v>
      </c>
      <c r="B16" s="2485">
        <v>8274</v>
      </c>
      <c r="C16" s="2485">
        <v>8392</v>
      </c>
      <c r="D16" s="2485">
        <v>8495</v>
      </c>
      <c r="E16" s="2485">
        <f t="shared" ref="E16:E22" si="0">D16-C16</f>
        <v>103</v>
      </c>
    </row>
    <row r="17" spans="1:5" s="2484" customFormat="1" ht="41.25" customHeight="1" x14ac:dyDescent="0.25">
      <c r="A17" s="2486" t="s">
        <v>1751</v>
      </c>
      <c r="B17" s="2485">
        <v>344</v>
      </c>
      <c r="C17" s="2485">
        <v>306</v>
      </c>
      <c r="D17" s="2485">
        <v>306</v>
      </c>
      <c r="E17" s="2485">
        <f t="shared" si="0"/>
        <v>0</v>
      </c>
    </row>
    <row r="18" spans="1:5" s="2484" customFormat="1" ht="23.1" customHeight="1" x14ac:dyDescent="0.25">
      <c r="A18" s="2512" t="s">
        <v>1752</v>
      </c>
      <c r="B18" s="2485">
        <v>285049</v>
      </c>
      <c r="C18" s="2485">
        <v>284759</v>
      </c>
      <c r="D18" s="2485">
        <v>283559</v>
      </c>
      <c r="E18" s="2485">
        <f t="shared" si="0"/>
        <v>-1200</v>
      </c>
    </row>
    <row r="19" spans="1:5" s="2484" customFormat="1" ht="23.1" customHeight="1" x14ac:dyDescent="0.25">
      <c r="A19" s="2512" t="s">
        <v>1753</v>
      </c>
      <c r="B19" s="2485"/>
      <c r="C19" s="2485">
        <v>50746</v>
      </c>
      <c r="D19" s="2485">
        <f t="shared" ref="D19:D21" si="1">SUM(B19:C19)</f>
        <v>50746</v>
      </c>
      <c r="E19" s="2485">
        <f t="shared" si="0"/>
        <v>0</v>
      </c>
    </row>
    <row r="20" spans="1:5" s="2484" customFormat="1" ht="23.1" customHeight="1" x14ac:dyDescent="0.3">
      <c r="A20" s="2513" t="s">
        <v>1754</v>
      </c>
      <c r="B20" s="2485">
        <v>194174</v>
      </c>
      <c r="C20" s="2485">
        <v>196762</v>
      </c>
      <c r="D20" s="2485">
        <v>197496</v>
      </c>
      <c r="E20" s="2485">
        <f t="shared" si="0"/>
        <v>734</v>
      </c>
    </row>
    <row r="21" spans="1:5" s="2484" customFormat="1" ht="23.1" customHeight="1" x14ac:dyDescent="0.3">
      <c r="A21" s="2513" t="s">
        <v>1755</v>
      </c>
      <c r="B21" s="2485">
        <v>0</v>
      </c>
      <c r="C21" s="2485">
        <f t="shared" ref="C21" si="2">SUM(A21:B21)</f>
        <v>0</v>
      </c>
      <c r="D21" s="2485">
        <f t="shared" si="1"/>
        <v>0</v>
      </c>
      <c r="E21" s="2485">
        <f t="shared" si="0"/>
        <v>0</v>
      </c>
    </row>
    <row r="22" spans="1:5" s="2484" customFormat="1" ht="41.25" customHeight="1" thickBot="1" x14ac:dyDescent="0.35">
      <c r="A22" s="2514" t="s">
        <v>1756</v>
      </c>
      <c r="B22" s="2485">
        <v>37233</v>
      </c>
      <c r="C22" s="2485">
        <v>44232</v>
      </c>
      <c r="D22" s="2485">
        <v>39990</v>
      </c>
      <c r="E22" s="2485">
        <f t="shared" si="0"/>
        <v>-4242</v>
      </c>
    </row>
    <row r="23" spans="1:5" s="2488" customFormat="1" ht="23.1" customHeight="1" thickBot="1" x14ac:dyDescent="0.35">
      <c r="A23" s="2515" t="s">
        <v>1757</v>
      </c>
      <c r="B23" s="2487">
        <f>SUM(B15:B22)</f>
        <v>1492956</v>
      </c>
      <c r="C23" s="2487">
        <f>SUM(C15:C22)</f>
        <v>1567234</v>
      </c>
      <c r="D23" s="2487">
        <f>SUM(D15:D22)</f>
        <v>1564566</v>
      </c>
      <c r="E23" s="2487">
        <f>SUM(E15:E22)</f>
        <v>-2668</v>
      </c>
    </row>
    <row r="24" spans="1:5" s="2488" customFormat="1" ht="40.5" x14ac:dyDescent="0.3">
      <c r="A24" s="2516" t="s">
        <v>1758</v>
      </c>
      <c r="B24" s="2489"/>
      <c r="C24" s="2489"/>
      <c r="D24" s="2489"/>
      <c r="E24" s="2489"/>
    </row>
    <row r="25" spans="1:5" s="2488" customFormat="1" ht="23.1" customHeight="1" x14ac:dyDescent="0.3">
      <c r="A25" s="2517" t="s">
        <v>1759</v>
      </c>
      <c r="B25" s="2469"/>
      <c r="C25" s="2469">
        <v>126515</v>
      </c>
      <c r="D25" s="2469">
        <v>126515</v>
      </c>
      <c r="E25" s="2469">
        <f t="shared" ref="E25:E39" si="3">D25-C25</f>
        <v>0</v>
      </c>
    </row>
    <row r="26" spans="1:5" s="2488" customFormat="1" ht="23.1" customHeight="1" x14ac:dyDescent="0.3">
      <c r="A26" s="2518" t="s">
        <v>1760</v>
      </c>
      <c r="B26" s="2490"/>
      <c r="C26" s="2490"/>
      <c r="D26" s="2490"/>
      <c r="E26" s="2490">
        <f t="shared" si="3"/>
        <v>0</v>
      </c>
    </row>
    <row r="27" spans="1:5" s="2492" customFormat="1" ht="23.1" customHeight="1" x14ac:dyDescent="0.25">
      <c r="A27" s="2519" t="s">
        <v>1761</v>
      </c>
      <c r="B27" s="2491">
        <v>50100</v>
      </c>
      <c r="C27" s="2491">
        <f t="shared" ref="C27:D30" si="4">SUM(A27:B27)</f>
        <v>50100</v>
      </c>
      <c r="D27" s="2491">
        <v>50100</v>
      </c>
      <c r="E27" s="2491">
        <f t="shared" si="3"/>
        <v>0</v>
      </c>
    </row>
    <row r="28" spans="1:5" s="2492" customFormat="1" ht="23.1" customHeight="1" x14ac:dyDescent="0.25">
      <c r="A28" s="2520" t="s">
        <v>1762</v>
      </c>
      <c r="B28" s="2491">
        <v>54600</v>
      </c>
      <c r="C28" s="2491">
        <f t="shared" si="4"/>
        <v>54600</v>
      </c>
      <c r="D28" s="2491">
        <v>54600</v>
      </c>
      <c r="E28" s="2491">
        <f t="shared" si="3"/>
        <v>0</v>
      </c>
    </row>
    <row r="29" spans="1:5" s="2492" customFormat="1" ht="23.1" customHeight="1" x14ac:dyDescent="0.25">
      <c r="A29" s="2520" t="s">
        <v>1763</v>
      </c>
      <c r="B29" s="2491">
        <v>42461</v>
      </c>
      <c r="C29" s="2491">
        <v>36537</v>
      </c>
      <c r="D29" s="2491">
        <v>37202</v>
      </c>
      <c r="E29" s="2491">
        <f t="shared" si="3"/>
        <v>665</v>
      </c>
    </row>
    <row r="30" spans="1:5" s="2492" customFormat="1" ht="23.1" customHeight="1" x14ac:dyDescent="0.25">
      <c r="A30" s="2521" t="s">
        <v>1764</v>
      </c>
      <c r="B30" s="2491">
        <v>0</v>
      </c>
      <c r="C30" s="2491">
        <f t="shared" si="4"/>
        <v>0</v>
      </c>
      <c r="D30" s="2491">
        <f t="shared" si="4"/>
        <v>0</v>
      </c>
      <c r="E30" s="2491">
        <f t="shared" si="3"/>
        <v>0</v>
      </c>
    </row>
    <row r="31" spans="1:5" s="2492" customFormat="1" ht="23.1" customHeight="1" x14ac:dyDescent="0.25">
      <c r="A31" s="2521" t="s">
        <v>1765</v>
      </c>
      <c r="B31" s="2491">
        <v>1050</v>
      </c>
      <c r="C31" s="2491">
        <v>825</v>
      </c>
      <c r="D31" s="2491">
        <v>725</v>
      </c>
      <c r="E31" s="2491">
        <f t="shared" si="3"/>
        <v>-100</v>
      </c>
    </row>
    <row r="32" spans="1:5" s="2492" customFormat="1" ht="23.1" customHeight="1" x14ac:dyDescent="0.25">
      <c r="A32" s="2521" t="s">
        <v>1766</v>
      </c>
      <c r="B32" s="2491">
        <v>18900</v>
      </c>
      <c r="C32" s="2491">
        <v>22890</v>
      </c>
      <c r="D32" s="2491">
        <v>24150</v>
      </c>
      <c r="E32" s="2491">
        <f t="shared" si="3"/>
        <v>1260</v>
      </c>
    </row>
    <row r="33" spans="1:5" s="2492" customFormat="1" ht="23.1" customHeight="1" x14ac:dyDescent="0.25">
      <c r="A33" s="2521" t="s">
        <v>1767</v>
      </c>
      <c r="B33" s="2491">
        <v>17985</v>
      </c>
      <c r="C33" s="2491">
        <v>17549</v>
      </c>
      <c r="D33" s="2491">
        <v>17549</v>
      </c>
      <c r="E33" s="2491">
        <f t="shared" si="3"/>
        <v>0</v>
      </c>
    </row>
    <row r="34" spans="1:5" s="2492" customFormat="1" ht="23.1" customHeight="1" x14ac:dyDescent="0.25">
      <c r="A34" s="2521" t="s">
        <v>1768</v>
      </c>
      <c r="B34" s="2491">
        <v>7000</v>
      </c>
      <c r="C34" s="2491">
        <v>5500</v>
      </c>
      <c r="D34" s="2491">
        <v>6000</v>
      </c>
      <c r="E34" s="2491">
        <f t="shared" si="3"/>
        <v>500</v>
      </c>
    </row>
    <row r="35" spans="1:5" s="2492" customFormat="1" ht="42.75" customHeight="1" x14ac:dyDescent="0.25">
      <c r="A35" s="2521" t="s">
        <v>1769</v>
      </c>
      <c r="B35" s="2491">
        <v>183805</v>
      </c>
      <c r="C35" s="2491">
        <v>186275</v>
      </c>
      <c r="D35" s="2491">
        <v>184299</v>
      </c>
      <c r="E35" s="2491">
        <f t="shared" si="3"/>
        <v>-1976</v>
      </c>
    </row>
    <row r="36" spans="1:5" s="2492" customFormat="1" ht="23.1" customHeight="1" x14ac:dyDescent="0.25">
      <c r="A36" s="2521" t="s">
        <v>1770</v>
      </c>
      <c r="B36" s="2491">
        <v>5188</v>
      </c>
      <c r="C36" s="2491">
        <v>4447</v>
      </c>
      <c r="D36" s="2491">
        <v>4447</v>
      </c>
      <c r="E36" s="2491">
        <f t="shared" si="3"/>
        <v>0</v>
      </c>
    </row>
    <row r="37" spans="1:5" s="2492" customFormat="1" ht="42.75" customHeight="1" x14ac:dyDescent="0.25">
      <c r="A37" s="2521" t="s">
        <v>1771</v>
      </c>
      <c r="B37" s="2491">
        <v>5707</v>
      </c>
      <c r="C37" s="2491">
        <v>2594</v>
      </c>
      <c r="D37" s="2491">
        <v>4150</v>
      </c>
      <c r="E37" s="2491">
        <f t="shared" si="3"/>
        <v>1556</v>
      </c>
    </row>
    <row r="38" spans="1:5" s="2492" customFormat="1" ht="42.75" customHeight="1" x14ac:dyDescent="0.25">
      <c r="A38" s="2521" t="s">
        <v>1772</v>
      </c>
      <c r="B38" s="2491">
        <v>544</v>
      </c>
      <c r="C38" s="2491">
        <v>544</v>
      </c>
      <c r="D38" s="2491">
        <v>544</v>
      </c>
      <c r="E38" s="2491">
        <f t="shared" si="3"/>
        <v>0</v>
      </c>
    </row>
    <row r="39" spans="1:5" s="2492" customFormat="1" ht="42.75" customHeight="1" x14ac:dyDescent="0.25">
      <c r="A39" s="2521" t="s">
        <v>1773</v>
      </c>
      <c r="B39" s="2491"/>
      <c r="C39" s="2491"/>
      <c r="D39" s="2491"/>
      <c r="E39" s="2491">
        <f t="shared" si="3"/>
        <v>0</v>
      </c>
    </row>
    <row r="40" spans="1:5" s="2494" customFormat="1" ht="23.1" customHeight="1" x14ac:dyDescent="0.3">
      <c r="A40" s="2522" t="s">
        <v>1782</v>
      </c>
      <c r="B40" s="2493">
        <f>SUM(B27:B39)</f>
        <v>387340</v>
      </c>
      <c r="C40" s="2493">
        <f>SUM(C27:C39)</f>
        <v>381861</v>
      </c>
      <c r="D40" s="2493">
        <f>SUM(D27:D39)</f>
        <v>383766</v>
      </c>
      <c r="E40" s="2493">
        <f>SUM(E27:E39)</f>
        <v>1905</v>
      </c>
    </row>
    <row r="41" spans="1:5" s="2494" customFormat="1" ht="69.75" customHeight="1" x14ac:dyDescent="0.3">
      <c r="A41" s="2523" t="s">
        <v>1774</v>
      </c>
      <c r="B41" s="2468"/>
      <c r="C41" s="2468"/>
      <c r="D41" s="2468"/>
      <c r="E41" s="2468"/>
    </row>
    <row r="42" spans="1:5" s="2492" customFormat="1" ht="44.25" customHeight="1" x14ac:dyDescent="0.25">
      <c r="A42" s="2520" t="s">
        <v>1775</v>
      </c>
      <c r="B42" s="2491">
        <v>36485</v>
      </c>
      <c r="C42" s="2491">
        <f t="shared" ref="C42" si="5">SUM(A42:B42)</f>
        <v>36485</v>
      </c>
      <c r="D42" s="2491">
        <v>36485</v>
      </c>
      <c r="E42" s="2491">
        <f t="shared" ref="E42:E43" si="6">D42-C42</f>
        <v>0</v>
      </c>
    </row>
    <row r="43" spans="1:5" s="2492" customFormat="1" ht="45.75" customHeight="1" x14ac:dyDescent="0.25">
      <c r="A43" s="2521" t="s">
        <v>1776</v>
      </c>
      <c r="B43" s="2495">
        <v>10360</v>
      </c>
      <c r="C43" s="2491">
        <v>11052</v>
      </c>
      <c r="D43" s="2491">
        <v>11052</v>
      </c>
      <c r="E43" s="2491">
        <f t="shared" si="6"/>
        <v>0</v>
      </c>
    </row>
    <row r="44" spans="1:5" s="2494" customFormat="1" ht="36" customHeight="1" x14ac:dyDescent="0.3">
      <c r="A44" s="2522" t="s">
        <v>1783</v>
      </c>
      <c r="B44" s="2493">
        <f>B42+B43</f>
        <v>46845</v>
      </c>
      <c r="C44" s="2493">
        <f>C42+C43</f>
        <v>47537</v>
      </c>
      <c r="D44" s="2493">
        <f>D42+D43</f>
        <v>47537</v>
      </c>
      <c r="E44" s="2493">
        <f>E42+E43</f>
        <v>0</v>
      </c>
    </row>
    <row r="45" spans="1:5" s="2496" customFormat="1" ht="36" customHeight="1" x14ac:dyDescent="0.3">
      <c r="A45" s="2524" t="s">
        <v>1777</v>
      </c>
      <c r="B45" s="2502"/>
      <c r="C45" s="2502"/>
      <c r="D45" s="2502"/>
      <c r="E45" s="2502"/>
    </row>
    <row r="46" spans="1:5" s="2492" customFormat="1" ht="47.25" customHeight="1" x14ac:dyDescent="0.25">
      <c r="A46" s="2520" t="s">
        <v>1778</v>
      </c>
      <c r="B46" s="2491">
        <v>157798</v>
      </c>
      <c r="C46" s="2491">
        <v>168961</v>
      </c>
      <c r="D46" s="2491">
        <v>173971</v>
      </c>
      <c r="E46" s="2491">
        <f t="shared" ref="E46:E48" si="7">D46-C46</f>
        <v>5010</v>
      </c>
    </row>
    <row r="47" spans="1:5" s="2492" customFormat="1" ht="23.1" customHeight="1" x14ac:dyDescent="0.25">
      <c r="A47" s="2521" t="s">
        <v>1779</v>
      </c>
      <c r="B47" s="2495">
        <v>119392</v>
      </c>
      <c r="C47" s="2491">
        <v>135054</v>
      </c>
      <c r="D47" s="2491">
        <v>135054</v>
      </c>
      <c r="E47" s="2491">
        <f t="shared" si="7"/>
        <v>0</v>
      </c>
    </row>
    <row r="48" spans="1:5" s="2496" customFormat="1" ht="48.75" customHeight="1" x14ac:dyDescent="0.3">
      <c r="A48" s="2525" t="s">
        <v>1780</v>
      </c>
      <c r="B48" s="2497">
        <v>1982</v>
      </c>
      <c r="C48" s="2497">
        <v>2234</v>
      </c>
      <c r="D48" s="2497">
        <v>2163</v>
      </c>
      <c r="E48" s="2497">
        <f t="shared" si="7"/>
        <v>-71</v>
      </c>
    </row>
    <row r="49" spans="1:5" s="2494" customFormat="1" ht="36" customHeight="1" x14ac:dyDescent="0.3">
      <c r="A49" s="2522" t="s">
        <v>1784</v>
      </c>
      <c r="B49" s="2493">
        <f>B47+B48+B46</f>
        <v>279172</v>
      </c>
      <c r="C49" s="2493">
        <f>SUM(C46:C48)</f>
        <v>306249</v>
      </c>
      <c r="D49" s="2493">
        <f>SUM(D46:D48)</f>
        <v>311188</v>
      </c>
      <c r="E49" s="2493">
        <f>SUM(E46:E48)</f>
        <v>4939</v>
      </c>
    </row>
    <row r="50" spans="1:5" s="2496" customFormat="1" ht="75.75" customHeight="1" thickBot="1" x14ac:dyDescent="0.35">
      <c r="A50" s="2498" t="s">
        <v>1785</v>
      </c>
      <c r="B50" s="2470">
        <v>57936</v>
      </c>
      <c r="C50" s="2470">
        <v>58842</v>
      </c>
      <c r="D50" s="2470">
        <v>58842</v>
      </c>
      <c r="E50" s="2470">
        <f t="shared" ref="E50:E51" si="8">D50-C50</f>
        <v>0</v>
      </c>
    </row>
    <row r="51" spans="1:5" s="2496" customFormat="1" ht="51.75" customHeight="1" thickBot="1" x14ac:dyDescent="0.35">
      <c r="A51" s="2499" t="s">
        <v>1786</v>
      </c>
      <c r="B51" s="2471"/>
      <c r="C51" s="2471">
        <v>38813</v>
      </c>
      <c r="D51" s="2471">
        <f>SUM(B51:C51)</f>
        <v>38813</v>
      </c>
      <c r="E51" s="2471">
        <f t="shared" si="8"/>
        <v>0</v>
      </c>
    </row>
    <row r="52" spans="1:5" s="2496" customFormat="1" ht="23.1" customHeight="1" thickBot="1" x14ac:dyDescent="0.35">
      <c r="A52" s="2499" t="s">
        <v>1787</v>
      </c>
      <c r="B52" s="2471">
        <v>0</v>
      </c>
      <c r="C52" s="2471">
        <f>SUM(A52:B52)</f>
        <v>0</v>
      </c>
      <c r="D52" s="2471">
        <f>SUM(B52:C52)</f>
        <v>0</v>
      </c>
      <c r="E52" s="2471">
        <f>SUM(C52:D52)</f>
        <v>0</v>
      </c>
    </row>
    <row r="53" spans="1:5" s="2501" customFormat="1" ht="23.1" customHeight="1" thickBot="1" x14ac:dyDescent="0.35">
      <c r="A53" s="2526" t="s">
        <v>1781</v>
      </c>
      <c r="B53" s="2500">
        <f>B40+B44+B49+B50+B25+B52+B51</f>
        <v>771293</v>
      </c>
      <c r="C53" s="2500">
        <f>C40+C44+C49+C50+C25+C52+C51</f>
        <v>959817</v>
      </c>
      <c r="D53" s="2500">
        <f>D40+D44+D49+D50+D25+D52+D51</f>
        <v>966661</v>
      </c>
      <c r="E53" s="2500">
        <f>E40+E44+E49+E50+E25+E52+E51</f>
        <v>6844</v>
      </c>
    </row>
    <row r="54" spans="1:5" s="2466" customFormat="1" ht="41.25" customHeight="1" thickBot="1" x14ac:dyDescent="0.35">
      <c r="A54" s="2527" t="s">
        <v>747</v>
      </c>
      <c r="B54" s="2472">
        <f>B12+B23+B53</f>
        <v>2264309</v>
      </c>
      <c r="C54" s="2472">
        <f>C12+C23+C53</f>
        <v>2532375</v>
      </c>
      <c r="D54" s="2472">
        <f>D12+D23+D53</f>
        <v>2536491</v>
      </c>
      <c r="E54" s="2472">
        <f>E12+E23+E53</f>
        <v>4116</v>
      </c>
    </row>
    <row r="55" spans="1:5" ht="12.95" customHeight="1" x14ac:dyDescent="0.2">
      <c r="A55" s="2473"/>
    </row>
  </sheetData>
  <mergeCells count="2">
    <mergeCell ref="A1:D1"/>
    <mergeCell ref="A2:D2"/>
  </mergeCells>
  <printOptions horizontalCentered="1" verticalCentered="1"/>
  <pageMargins left="0" right="0" top="0" bottom="0" header="0.39370078740157483" footer="0"/>
  <pageSetup paperSize="9" scale="47" orientation="portrait" r:id="rId1"/>
  <headerFooter alignWithMargins="0">
    <oddHeader>&amp;R&amp;"-,Félkövér"&amp;11 &amp;"Arial,Félkövér"&amp;16 5. melléklet a …../2018. (…….)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7"/>
  <sheetViews>
    <sheetView zoomScale="50" zoomScaleNormal="50" zoomScaleSheetLayoutView="50" workbookViewId="0">
      <pane xSplit="1" ySplit="8" topLeftCell="B9" activePane="bottomRight" state="frozen"/>
      <selection activeCell="G6" sqref="G6"/>
      <selection pane="topRight" activeCell="G6" sqref="G6"/>
      <selection pane="bottomLeft" activeCell="G6" sqref="G6"/>
      <selection pane="bottomRight" activeCell="AN69" sqref="AN69"/>
    </sheetView>
  </sheetViews>
  <sheetFormatPr defaultRowHeight="26.45" customHeight="1" x14ac:dyDescent="0.3"/>
  <cols>
    <col min="1" max="1" width="202.33203125" style="1964" customWidth="1"/>
    <col min="2" max="13" width="55" style="1965" customWidth="1"/>
    <col min="14" max="14" width="202" style="1964" customWidth="1"/>
    <col min="15" max="26" width="53" style="1965" customWidth="1"/>
    <col min="27" max="27" width="201.83203125" style="1966" customWidth="1"/>
    <col min="28" max="31" width="53" style="1964" customWidth="1"/>
    <col min="32" max="35" width="53" style="1967" customWidth="1"/>
    <col min="36" max="39" width="53" style="1964" customWidth="1"/>
    <col min="40" max="40" width="209.83203125" style="1966" customWidth="1"/>
    <col min="41" max="43" width="68" style="1964" customWidth="1"/>
    <col min="44" max="44" width="63" style="1964" customWidth="1"/>
    <col min="45" max="47" width="68" style="1967" customWidth="1"/>
    <col min="48" max="48" width="63" style="1967" customWidth="1"/>
    <col min="49" max="50" width="45.1640625" style="1967" customWidth="1"/>
    <col min="51" max="51" width="39.1640625" style="1967" customWidth="1"/>
    <col min="52" max="256" width="9.33203125" style="1968"/>
    <col min="257" max="257" width="176.6640625" style="1968" customWidth="1"/>
    <col min="258" max="269" width="55" style="1968" customWidth="1"/>
    <col min="270" max="270" width="176.6640625" style="1968" customWidth="1"/>
    <col min="271" max="282" width="53" style="1968" customWidth="1"/>
    <col min="283" max="283" width="176.5" style="1968" customWidth="1"/>
    <col min="284" max="295" width="53" style="1968" customWidth="1"/>
    <col min="296" max="296" width="176.5" style="1968" customWidth="1"/>
    <col min="297" max="304" width="63" style="1968" customWidth="1"/>
    <col min="305" max="306" width="45.1640625" style="1968" customWidth="1"/>
    <col min="307" max="307" width="34.1640625" style="1968" customWidth="1"/>
    <col min="308" max="512" width="9.33203125" style="1968"/>
    <col min="513" max="513" width="176.6640625" style="1968" customWidth="1"/>
    <col min="514" max="525" width="55" style="1968" customWidth="1"/>
    <col min="526" max="526" width="176.6640625" style="1968" customWidth="1"/>
    <col min="527" max="538" width="53" style="1968" customWidth="1"/>
    <col min="539" max="539" width="176.5" style="1968" customWidth="1"/>
    <col min="540" max="551" width="53" style="1968" customWidth="1"/>
    <col min="552" max="552" width="176.5" style="1968" customWidth="1"/>
    <col min="553" max="560" width="63" style="1968" customWidth="1"/>
    <col min="561" max="562" width="45.1640625" style="1968" customWidth="1"/>
    <col min="563" max="563" width="34.1640625" style="1968" customWidth="1"/>
    <col min="564" max="768" width="9.33203125" style="1968"/>
    <col min="769" max="769" width="176.6640625" style="1968" customWidth="1"/>
    <col min="770" max="781" width="55" style="1968" customWidth="1"/>
    <col min="782" max="782" width="176.6640625" style="1968" customWidth="1"/>
    <col min="783" max="794" width="53" style="1968" customWidth="1"/>
    <col min="795" max="795" width="176.5" style="1968" customWidth="1"/>
    <col min="796" max="807" width="53" style="1968" customWidth="1"/>
    <col min="808" max="808" width="176.5" style="1968" customWidth="1"/>
    <col min="809" max="816" width="63" style="1968" customWidth="1"/>
    <col min="817" max="818" width="45.1640625" style="1968" customWidth="1"/>
    <col min="819" max="819" width="34.1640625" style="1968" customWidth="1"/>
    <col min="820" max="1024" width="9.33203125" style="1968"/>
    <col min="1025" max="1025" width="176.6640625" style="1968" customWidth="1"/>
    <col min="1026" max="1037" width="55" style="1968" customWidth="1"/>
    <col min="1038" max="1038" width="176.6640625" style="1968" customWidth="1"/>
    <col min="1039" max="1050" width="53" style="1968" customWidth="1"/>
    <col min="1051" max="1051" width="176.5" style="1968" customWidth="1"/>
    <col min="1052" max="1063" width="53" style="1968" customWidth="1"/>
    <col min="1064" max="1064" width="176.5" style="1968" customWidth="1"/>
    <col min="1065" max="1072" width="63" style="1968" customWidth="1"/>
    <col min="1073" max="1074" width="45.1640625" style="1968" customWidth="1"/>
    <col min="1075" max="1075" width="34.1640625" style="1968" customWidth="1"/>
    <col min="1076" max="1280" width="9.33203125" style="1968"/>
    <col min="1281" max="1281" width="176.6640625" style="1968" customWidth="1"/>
    <col min="1282" max="1293" width="55" style="1968" customWidth="1"/>
    <col min="1294" max="1294" width="176.6640625" style="1968" customWidth="1"/>
    <col min="1295" max="1306" width="53" style="1968" customWidth="1"/>
    <col min="1307" max="1307" width="176.5" style="1968" customWidth="1"/>
    <col min="1308" max="1319" width="53" style="1968" customWidth="1"/>
    <col min="1320" max="1320" width="176.5" style="1968" customWidth="1"/>
    <col min="1321" max="1328" width="63" style="1968" customWidth="1"/>
    <col min="1329" max="1330" width="45.1640625" style="1968" customWidth="1"/>
    <col min="1331" max="1331" width="34.1640625" style="1968" customWidth="1"/>
    <col min="1332" max="1536" width="9.33203125" style="1968"/>
    <col min="1537" max="1537" width="176.6640625" style="1968" customWidth="1"/>
    <col min="1538" max="1549" width="55" style="1968" customWidth="1"/>
    <col min="1550" max="1550" width="176.6640625" style="1968" customWidth="1"/>
    <col min="1551" max="1562" width="53" style="1968" customWidth="1"/>
    <col min="1563" max="1563" width="176.5" style="1968" customWidth="1"/>
    <col min="1564" max="1575" width="53" style="1968" customWidth="1"/>
    <col min="1576" max="1576" width="176.5" style="1968" customWidth="1"/>
    <col min="1577" max="1584" width="63" style="1968" customWidth="1"/>
    <col min="1585" max="1586" width="45.1640625" style="1968" customWidth="1"/>
    <col min="1587" max="1587" width="34.1640625" style="1968" customWidth="1"/>
    <col min="1588" max="1792" width="9.33203125" style="1968"/>
    <col min="1793" max="1793" width="176.6640625" style="1968" customWidth="1"/>
    <col min="1794" max="1805" width="55" style="1968" customWidth="1"/>
    <col min="1806" max="1806" width="176.6640625" style="1968" customWidth="1"/>
    <col min="1807" max="1818" width="53" style="1968" customWidth="1"/>
    <col min="1819" max="1819" width="176.5" style="1968" customWidth="1"/>
    <col min="1820" max="1831" width="53" style="1968" customWidth="1"/>
    <col min="1832" max="1832" width="176.5" style="1968" customWidth="1"/>
    <col min="1833" max="1840" width="63" style="1968" customWidth="1"/>
    <col min="1841" max="1842" width="45.1640625" style="1968" customWidth="1"/>
    <col min="1843" max="1843" width="34.1640625" style="1968" customWidth="1"/>
    <col min="1844" max="2048" width="9.33203125" style="1968"/>
    <col min="2049" max="2049" width="176.6640625" style="1968" customWidth="1"/>
    <col min="2050" max="2061" width="55" style="1968" customWidth="1"/>
    <col min="2062" max="2062" width="176.6640625" style="1968" customWidth="1"/>
    <col min="2063" max="2074" width="53" style="1968" customWidth="1"/>
    <col min="2075" max="2075" width="176.5" style="1968" customWidth="1"/>
    <col min="2076" max="2087" width="53" style="1968" customWidth="1"/>
    <col min="2088" max="2088" width="176.5" style="1968" customWidth="1"/>
    <col min="2089" max="2096" width="63" style="1968" customWidth="1"/>
    <col min="2097" max="2098" width="45.1640625" style="1968" customWidth="1"/>
    <col min="2099" max="2099" width="34.1640625" style="1968" customWidth="1"/>
    <col min="2100" max="2304" width="9.33203125" style="1968"/>
    <col min="2305" max="2305" width="176.6640625" style="1968" customWidth="1"/>
    <col min="2306" max="2317" width="55" style="1968" customWidth="1"/>
    <col min="2318" max="2318" width="176.6640625" style="1968" customWidth="1"/>
    <col min="2319" max="2330" width="53" style="1968" customWidth="1"/>
    <col min="2331" max="2331" width="176.5" style="1968" customWidth="1"/>
    <col min="2332" max="2343" width="53" style="1968" customWidth="1"/>
    <col min="2344" max="2344" width="176.5" style="1968" customWidth="1"/>
    <col min="2345" max="2352" width="63" style="1968" customWidth="1"/>
    <col min="2353" max="2354" width="45.1640625" style="1968" customWidth="1"/>
    <col min="2355" max="2355" width="34.1640625" style="1968" customWidth="1"/>
    <col min="2356" max="2560" width="9.33203125" style="1968"/>
    <col min="2561" max="2561" width="176.6640625" style="1968" customWidth="1"/>
    <col min="2562" max="2573" width="55" style="1968" customWidth="1"/>
    <col min="2574" max="2574" width="176.6640625" style="1968" customWidth="1"/>
    <col min="2575" max="2586" width="53" style="1968" customWidth="1"/>
    <col min="2587" max="2587" width="176.5" style="1968" customWidth="1"/>
    <col min="2588" max="2599" width="53" style="1968" customWidth="1"/>
    <col min="2600" max="2600" width="176.5" style="1968" customWidth="1"/>
    <col min="2601" max="2608" width="63" style="1968" customWidth="1"/>
    <col min="2609" max="2610" width="45.1640625" style="1968" customWidth="1"/>
    <col min="2611" max="2611" width="34.1640625" style="1968" customWidth="1"/>
    <col min="2612" max="2816" width="9.33203125" style="1968"/>
    <col min="2817" max="2817" width="176.6640625" style="1968" customWidth="1"/>
    <col min="2818" max="2829" width="55" style="1968" customWidth="1"/>
    <col min="2830" max="2830" width="176.6640625" style="1968" customWidth="1"/>
    <col min="2831" max="2842" width="53" style="1968" customWidth="1"/>
    <col min="2843" max="2843" width="176.5" style="1968" customWidth="1"/>
    <col min="2844" max="2855" width="53" style="1968" customWidth="1"/>
    <col min="2856" max="2856" width="176.5" style="1968" customWidth="1"/>
    <col min="2857" max="2864" width="63" style="1968" customWidth="1"/>
    <col min="2865" max="2866" width="45.1640625" style="1968" customWidth="1"/>
    <col min="2867" max="2867" width="34.1640625" style="1968" customWidth="1"/>
    <col min="2868" max="3072" width="9.33203125" style="1968"/>
    <col min="3073" max="3073" width="176.6640625" style="1968" customWidth="1"/>
    <col min="3074" max="3085" width="55" style="1968" customWidth="1"/>
    <col min="3086" max="3086" width="176.6640625" style="1968" customWidth="1"/>
    <col min="3087" max="3098" width="53" style="1968" customWidth="1"/>
    <col min="3099" max="3099" width="176.5" style="1968" customWidth="1"/>
    <col min="3100" max="3111" width="53" style="1968" customWidth="1"/>
    <col min="3112" max="3112" width="176.5" style="1968" customWidth="1"/>
    <col min="3113" max="3120" width="63" style="1968" customWidth="1"/>
    <col min="3121" max="3122" width="45.1640625" style="1968" customWidth="1"/>
    <col min="3123" max="3123" width="34.1640625" style="1968" customWidth="1"/>
    <col min="3124" max="3328" width="9.33203125" style="1968"/>
    <col min="3329" max="3329" width="176.6640625" style="1968" customWidth="1"/>
    <col min="3330" max="3341" width="55" style="1968" customWidth="1"/>
    <col min="3342" max="3342" width="176.6640625" style="1968" customWidth="1"/>
    <col min="3343" max="3354" width="53" style="1968" customWidth="1"/>
    <col min="3355" max="3355" width="176.5" style="1968" customWidth="1"/>
    <col min="3356" max="3367" width="53" style="1968" customWidth="1"/>
    <col min="3368" max="3368" width="176.5" style="1968" customWidth="1"/>
    <col min="3369" max="3376" width="63" style="1968" customWidth="1"/>
    <col min="3377" max="3378" width="45.1640625" style="1968" customWidth="1"/>
    <col min="3379" max="3379" width="34.1640625" style="1968" customWidth="1"/>
    <col min="3380" max="3584" width="9.33203125" style="1968"/>
    <col min="3585" max="3585" width="176.6640625" style="1968" customWidth="1"/>
    <col min="3586" max="3597" width="55" style="1968" customWidth="1"/>
    <col min="3598" max="3598" width="176.6640625" style="1968" customWidth="1"/>
    <col min="3599" max="3610" width="53" style="1968" customWidth="1"/>
    <col min="3611" max="3611" width="176.5" style="1968" customWidth="1"/>
    <col min="3612" max="3623" width="53" style="1968" customWidth="1"/>
    <col min="3624" max="3624" width="176.5" style="1968" customWidth="1"/>
    <col min="3625" max="3632" width="63" style="1968" customWidth="1"/>
    <col min="3633" max="3634" width="45.1640625" style="1968" customWidth="1"/>
    <col min="3635" max="3635" width="34.1640625" style="1968" customWidth="1"/>
    <col min="3636" max="3840" width="9.33203125" style="1968"/>
    <col min="3841" max="3841" width="176.6640625" style="1968" customWidth="1"/>
    <col min="3842" max="3853" width="55" style="1968" customWidth="1"/>
    <col min="3854" max="3854" width="176.6640625" style="1968" customWidth="1"/>
    <col min="3855" max="3866" width="53" style="1968" customWidth="1"/>
    <col min="3867" max="3867" width="176.5" style="1968" customWidth="1"/>
    <col min="3868" max="3879" width="53" style="1968" customWidth="1"/>
    <col min="3880" max="3880" width="176.5" style="1968" customWidth="1"/>
    <col min="3881" max="3888" width="63" style="1968" customWidth="1"/>
    <col min="3889" max="3890" width="45.1640625" style="1968" customWidth="1"/>
    <col min="3891" max="3891" width="34.1640625" style="1968" customWidth="1"/>
    <col min="3892" max="4096" width="9.33203125" style="1968"/>
    <col min="4097" max="4097" width="176.6640625" style="1968" customWidth="1"/>
    <col min="4098" max="4109" width="55" style="1968" customWidth="1"/>
    <col min="4110" max="4110" width="176.6640625" style="1968" customWidth="1"/>
    <col min="4111" max="4122" width="53" style="1968" customWidth="1"/>
    <col min="4123" max="4123" width="176.5" style="1968" customWidth="1"/>
    <col min="4124" max="4135" width="53" style="1968" customWidth="1"/>
    <col min="4136" max="4136" width="176.5" style="1968" customWidth="1"/>
    <col min="4137" max="4144" width="63" style="1968" customWidth="1"/>
    <col min="4145" max="4146" width="45.1640625" style="1968" customWidth="1"/>
    <col min="4147" max="4147" width="34.1640625" style="1968" customWidth="1"/>
    <col min="4148" max="4352" width="9.33203125" style="1968"/>
    <col min="4353" max="4353" width="176.6640625" style="1968" customWidth="1"/>
    <col min="4354" max="4365" width="55" style="1968" customWidth="1"/>
    <col min="4366" max="4366" width="176.6640625" style="1968" customWidth="1"/>
    <col min="4367" max="4378" width="53" style="1968" customWidth="1"/>
    <col min="4379" max="4379" width="176.5" style="1968" customWidth="1"/>
    <col min="4380" max="4391" width="53" style="1968" customWidth="1"/>
    <col min="4392" max="4392" width="176.5" style="1968" customWidth="1"/>
    <col min="4393" max="4400" width="63" style="1968" customWidth="1"/>
    <col min="4401" max="4402" width="45.1640625" style="1968" customWidth="1"/>
    <col min="4403" max="4403" width="34.1640625" style="1968" customWidth="1"/>
    <col min="4404" max="4608" width="9.33203125" style="1968"/>
    <col min="4609" max="4609" width="176.6640625" style="1968" customWidth="1"/>
    <col min="4610" max="4621" width="55" style="1968" customWidth="1"/>
    <col min="4622" max="4622" width="176.6640625" style="1968" customWidth="1"/>
    <col min="4623" max="4634" width="53" style="1968" customWidth="1"/>
    <col min="4635" max="4635" width="176.5" style="1968" customWidth="1"/>
    <col min="4636" max="4647" width="53" style="1968" customWidth="1"/>
    <col min="4648" max="4648" width="176.5" style="1968" customWidth="1"/>
    <col min="4649" max="4656" width="63" style="1968" customWidth="1"/>
    <col min="4657" max="4658" width="45.1640625" style="1968" customWidth="1"/>
    <col min="4659" max="4659" width="34.1640625" style="1968" customWidth="1"/>
    <col min="4660" max="4864" width="9.33203125" style="1968"/>
    <col min="4865" max="4865" width="176.6640625" style="1968" customWidth="1"/>
    <col min="4866" max="4877" width="55" style="1968" customWidth="1"/>
    <col min="4878" max="4878" width="176.6640625" style="1968" customWidth="1"/>
    <col min="4879" max="4890" width="53" style="1968" customWidth="1"/>
    <col min="4891" max="4891" width="176.5" style="1968" customWidth="1"/>
    <col min="4892" max="4903" width="53" style="1968" customWidth="1"/>
    <col min="4904" max="4904" width="176.5" style="1968" customWidth="1"/>
    <col min="4905" max="4912" width="63" style="1968" customWidth="1"/>
    <col min="4913" max="4914" width="45.1640625" style="1968" customWidth="1"/>
    <col min="4915" max="4915" width="34.1640625" style="1968" customWidth="1"/>
    <col min="4916" max="5120" width="9.33203125" style="1968"/>
    <col min="5121" max="5121" width="176.6640625" style="1968" customWidth="1"/>
    <col min="5122" max="5133" width="55" style="1968" customWidth="1"/>
    <col min="5134" max="5134" width="176.6640625" style="1968" customWidth="1"/>
    <col min="5135" max="5146" width="53" style="1968" customWidth="1"/>
    <col min="5147" max="5147" width="176.5" style="1968" customWidth="1"/>
    <col min="5148" max="5159" width="53" style="1968" customWidth="1"/>
    <col min="5160" max="5160" width="176.5" style="1968" customWidth="1"/>
    <col min="5161" max="5168" width="63" style="1968" customWidth="1"/>
    <col min="5169" max="5170" width="45.1640625" style="1968" customWidth="1"/>
    <col min="5171" max="5171" width="34.1640625" style="1968" customWidth="1"/>
    <col min="5172" max="5376" width="9.33203125" style="1968"/>
    <col min="5377" max="5377" width="176.6640625" style="1968" customWidth="1"/>
    <col min="5378" max="5389" width="55" style="1968" customWidth="1"/>
    <col min="5390" max="5390" width="176.6640625" style="1968" customWidth="1"/>
    <col min="5391" max="5402" width="53" style="1968" customWidth="1"/>
    <col min="5403" max="5403" width="176.5" style="1968" customWidth="1"/>
    <col min="5404" max="5415" width="53" style="1968" customWidth="1"/>
    <col min="5416" max="5416" width="176.5" style="1968" customWidth="1"/>
    <col min="5417" max="5424" width="63" style="1968" customWidth="1"/>
    <col min="5425" max="5426" width="45.1640625" style="1968" customWidth="1"/>
    <col min="5427" max="5427" width="34.1640625" style="1968" customWidth="1"/>
    <col min="5428" max="5632" width="9.33203125" style="1968"/>
    <col min="5633" max="5633" width="176.6640625" style="1968" customWidth="1"/>
    <col min="5634" max="5645" width="55" style="1968" customWidth="1"/>
    <col min="5646" max="5646" width="176.6640625" style="1968" customWidth="1"/>
    <col min="5647" max="5658" width="53" style="1968" customWidth="1"/>
    <col min="5659" max="5659" width="176.5" style="1968" customWidth="1"/>
    <col min="5660" max="5671" width="53" style="1968" customWidth="1"/>
    <col min="5672" max="5672" width="176.5" style="1968" customWidth="1"/>
    <col min="5673" max="5680" width="63" style="1968" customWidth="1"/>
    <col min="5681" max="5682" width="45.1640625" style="1968" customWidth="1"/>
    <col min="5683" max="5683" width="34.1640625" style="1968" customWidth="1"/>
    <col min="5684" max="5888" width="9.33203125" style="1968"/>
    <col min="5889" max="5889" width="176.6640625" style="1968" customWidth="1"/>
    <col min="5890" max="5901" width="55" style="1968" customWidth="1"/>
    <col min="5902" max="5902" width="176.6640625" style="1968" customWidth="1"/>
    <col min="5903" max="5914" width="53" style="1968" customWidth="1"/>
    <col min="5915" max="5915" width="176.5" style="1968" customWidth="1"/>
    <col min="5916" max="5927" width="53" style="1968" customWidth="1"/>
    <col min="5928" max="5928" width="176.5" style="1968" customWidth="1"/>
    <col min="5929" max="5936" width="63" style="1968" customWidth="1"/>
    <col min="5937" max="5938" width="45.1640625" style="1968" customWidth="1"/>
    <col min="5939" max="5939" width="34.1640625" style="1968" customWidth="1"/>
    <col min="5940" max="6144" width="9.33203125" style="1968"/>
    <col min="6145" max="6145" width="176.6640625" style="1968" customWidth="1"/>
    <col min="6146" max="6157" width="55" style="1968" customWidth="1"/>
    <col min="6158" max="6158" width="176.6640625" style="1968" customWidth="1"/>
    <col min="6159" max="6170" width="53" style="1968" customWidth="1"/>
    <col min="6171" max="6171" width="176.5" style="1968" customWidth="1"/>
    <col min="6172" max="6183" width="53" style="1968" customWidth="1"/>
    <col min="6184" max="6184" width="176.5" style="1968" customWidth="1"/>
    <col min="6185" max="6192" width="63" style="1968" customWidth="1"/>
    <col min="6193" max="6194" width="45.1640625" style="1968" customWidth="1"/>
    <col min="6195" max="6195" width="34.1640625" style="1968" customWidth="1"/>
    <col min="6196" max="6400" width="9.33203125" style="1968"/>
    <col min="6401" max="6401" width="176.6640625" style="1968" customWidth="1"/>
    <col min="6402" max="6413" width="55" style="1968" customWidth="1"/>
    <col min="6414" max="6414" width="176.6640625" style="1968" customWidth="1"/>
    <col min="6415" max="6426" width="53" style="1968" customWidth="1"/>
    <col min="6427" max="6427" width="176.5" style="1968" customWidth="1"/>
    <col min="6428" max="6439" width="53" style="1968" customWidth="1"/>
    <col min="6440" max="6440" width="176.5" style="1968" customWidth="1"/>
    <col min="6441" max="6448" width="63" style="1968" customWidth="1"/>
    <col min="6449" max="6450" width="45.1640625" style="1968" customWidth="1"/>
    <col min="6451" max="6451" width="34.1640625" style="1968" customWidth="1"/>
    <col min="6452" max="6656" width="9.33203125" style="1968"/>
    <col min="6657" max="6657" width="176.6640625" style="1968" customWidth="1"/>
    <col min="6658" max="6669" width="55" style="1968" customWidth="1"/>
    <col min="6670" max="6670" width="176.6640625" style="1968" customWidth="1"/>
    <col min="6671" max="6682" width="53" style="1968" customWidth="1"/>
    <col min="6683" max="6683" width="176.5" style="1968" customWidth="1"/>
    <col min="6684" max="6695" width="53" style="1968" customWidth="1"/>
    <col min="6696" max="6696" width="176.5" style="1968" customWidth="1"/>
    <col min="6697" max="6704" width="63" style="1968" customWidth="1"/>
    <col min="6705" max="6706" width="45.1640625" style="1968" customWidth="1"/>
    <col min="6707" max="6707" width="34.1640625" style="1968" customWidth="1"/>
    <col min="6708" max="6912" width="9.33203125" style="1968"/>
    <col min="6913" max="6913" width="176.6640625" style="1968" customWidth="1"/>
    <col min="6914" max="6925" width="55" style="1968" customWidth="1"/>
    <col min="6926" max="6926" width="176.6640625" style="1968" customWidth="1"/>
    <col min="6927" max="6938" width="53" style="1968" customWidth="1"/>
    <col min="6939" max="6939" width="176.5" style="1968" customWidth="1"/>
    <col min="6940" max="6951" width="53" style="1968" customWidth="1"/>
    <col min="6952" max="6952" width="176.5" style="1968" customWidth="1"/>
    <col min="6953" max="6960" width="63" style="1968" customWidth="1"/>
    <col min="6961" max="6962" width="45.1640625" style="1968" customWidth="1"/>
    <col min="6963" max="6963" width="34.1640625" style="1968" customWidth="1"/>
    <col min="6964" max="7168" width="9.33203125" style="1968"/>
    <col min="7169" max="7169" width="176.6640625" style="1968" customWidth="1"/>
    <col min="7170" max="7181" width="55" style="1968" customWidth="1"/>
    <col min="7182" max="7182" width="176.6640625" style="1968" customWidth="1"/>
    <col min="7183" max="7194" width="53" style="1968" customWidth="1"/>
    <col min="7195" max="7195" width="176.5" style="1968" customWidth="1"/>
    <col min="7196" max="7207" width="53" style="1968" customWidth="1"/>
    <col min="7208" max="7208" width="176.5" style="1968" customWidth="1"/>
    <col min="7209" max="7216" width="63" style="1968" customWidth="1"/>
    <col min="7217" max="7218" width="45.1640625" style="1968" customWidth="1"/>
    <col min="7219" max="7219" width="34.1640625" style="1968" customWidth="1"/>
    <col min="7220" max="7424" width="9.33203125" style="1968"/>
    <col min="7425" max="7425" width="176.6640625" style="1968" customWidth="1"/>
    <col min="7426" max="7437" width="55" style="1968" customWidth="1"/>
    <col min="7438" max="7438" width="176.6640625" style="1968" customWidth="1"/>
    <col min="7439" max="7450" width="53" style="1968" customWidth="1"/>
    <col min="7451" max="7451" width="176.5" style="1968" customWidth="1"/>
    <col min="7452" max="7463" width="53" style="1968" customWidth="1"/>
    <col min="7464" max="7464" width="176.5" style="1968" customWidth="1"/>
    <col min="7465" max="7472" width="63" style="1968" customWidth="1"/>
    <col min="7473" max="7474" width="45.1640625" style="1968" customWidth="1"/>
    <col min="7475" max="7475" width="34.1640625" style="1968" customWidth="1"/>
    <col min="7476" max="7680" width="9.33203125" style="1968"/>
    <col min="7681" max="7681" width="176.6640625" style="1968" customWidth="1"/>
    <col min="7682" max="7693" width="55" style="1968" customWidth="1"/>
    <col min="7694" max="7694" width="176.6640625" style="1968" customWidth="1"/>
    <col min="7695" max="7706" width="53" style="1968" customWidth="1"/>
    <col min="7707" max="7707" width="176.5" style="1968" customWidth="1"/>
    <col min="7708" max="7719" width="53" style="1968" customWidth="1"/>
    <col min="7720" max="7720" width="176.5" style="1968" customWidth="1"/>
    <col min="7721" max="7728" width="63" style="1968" customWidth="1"/>
    <col min="7729" max="7730" width="45.1640625" style="1968" customWidth="1"/>
    <col min="7731" max="7731" width="34.1640625" style="1968" customWidth="1"/>
    <col min="7732" max="7936" width="9.33203125" style="1968"/>
    <col min="7937" max="7937" width="176.6640625" style="1968" customWidth="1"/>
    <col min="7938" max="7949" width="55" style="1968" customWidth="1"/>
    <col min="7950" max="7950" width="176.6640625" style="1968" customWidth="1"/>
    <col min="7951" max="7962" width="53" style="1968" customWidth="1"/>
    <col min="7963" max="7963" width="176.5" style="1968" customWidth="1"/>
    <col min="7964" max="7975" width="53" style="1968" customWidth="1"/>
    <col min="7976" max="7976" width="176.5" style="1968" customWidth="1"/>
    <col min="7977" max="7984" width="63" style="1968" customWidth="1"/>
    <col min="7985" max="7986" width="45.1640625" style="1968" customWidth="1"/>
    <col min="7987" max="7987" width="34.1640625" style="1968" customWidth="1"/>
    <col min="7988" max="8192" width="9.33203125" style="1968"/>
    <col min="8193" max="8193" width="176.6640625" style="1968" customWidth="1"/>
    <col min="8194" max="8205" width="55" style="1968" customWidth="1"/>
    <col min="8206" max="8206" width="176.6640625" style="1968" customWidth="1"/>
    <col min="8207" max="8218" width="53" style="1968" customWidth="1"/>
    <col min="8219" max="8219" width="176.5" style="1968" customWidth="1"/>
    <col min="8220" max="8231" width="53" style="1968" customWidth="1"/>
    <col min="8232" max="8232" width="176.5" style="1968" customWidth="1"/>
    <col min="8233" max="8240" width="63" style="1968" customWidth="1"/>
    <col min="8241" max="8242" width="45.1640625" style="1968" customWidth="1"/>
    <col min="8243" max="8243" width="34.1640625" style="1968" customWidth="1"/>
    <col min="8244" max="8448" width="9.33203125" style="1968"/>
    <col min="8449" max="8449" width="176.6640625" style="1968" customWidth="1"/>
    <col min="8450" max="8461" width="55" style="1968" customWidth="1"/>
    <col min="8462" max="8462" width="176.6640625" style="1968" customWidth="1"/>
    <col min="8463" max="8474" width="53" style="1968" customWidth="1"/>
    <col min="8475" max="8475" width="176.5" style="1968" customWidth="1"/>
    <col min="8476" max="8487" width="53" style="1968" customWidth="1"/>
    <col min="8488" max="8488" width="176.5" style="1968" customWidth="1"/>
    <col min="8489" max="8496" width="63" style="1968" customWidth="1"/>
    <col min="8497" max="8498" width="45.1640625" style="1968" customWidth="1"/>
    <col min="8499" max="8499" width="34.1640625" style="1968" customWidth="1"/>
    <col min="8500" max="8704" width="9.33203125" style="1968"/>
    <col min="8705" max="8705" width="176.6640625" style="1968" customWidth="1"/>
    <col min="8706" max="8717" width="55" style="1968" customWidth="1"/>
    <col min="8718" max="8718" width="176.6640625" style="1968" customWidth="1"/>
    <col min="8719" max="8730" width="53" style="1968" customWidth="1"/>
    <col min="8731" max="8731" width="176.5" style="1968" customWidth="1"/>
    <col min="8732" max="8743" width="53" style="1968" customWidth="1"/>
    <col min="8744" max="8744" width="176.5" style="1968" customWidth="1"/>
    <col min="8745" max="8752" width="63" style="1968" customWidth="1"/>
    <col min="8753" max="8754" width="45.1640625" style="1968" customWidth="1"/>
    <col min="8755" max="8755" width="34.1640625" style="1968" customWidth="1"/>
    <col min="8756" max="8960" width="9.33203125" style="1968"/>
    <col min="8961" max="8961" width="176.6640625" style="1968" customWidth="1"/>
    <col min="8962" max="8973" width="55" style="1968" customWidth="1"/>
    <col min="8974" max="8974" width="176.6640625" style="1968" customWidth="1"/>
    <col min="8975" max="8986" width="53" style="1968" customWidth="1"/>
    <col min="8987" max="8987" width="176.5" style="1968" customWidth="1"/>
    <col min="8988" max="8999" width="53" style="1968" customWidth="1"/>
    <col min="9000" max="9000" width="176.5" style="1968" customWidth="1"/>
    <col min="9001" max="9008" width="63" style="1968" customWidth="1"/>
    <col min="9009" max="9010" width="45.1640625" style="1968" customWidth="1"/>
    <col min="9011" max="9011" width="34.1640625" style="1968" customWidth="1"/>
    <col min="9012" max="9216" width="9.33203125" style="1968"/>
    <col min="9217" max="9217" width="176.6640625" style="1968" customWidth="1"/>
    <col min="9218" max="9229" width="55" style="1968" customWidth="1"/>
    <col min="9230" max="9230" width="176.6640625" style="1968" customWidth="1"/>
    <col min="9231" max="9242" width="53" style="1968" customWidth="1"/>
    <col min="9243" max="9243" width="176.5" style="1968" customWidth="1"/>
    <col min="9244" max="9255" width="53" style="1968" customWidth="1"/>
    <col min="9256" max="9256" width="176.5" style="1968" customWidth="1"/>
    <col min="9257" max="9264" width="63" style="1968" customWidth="1"/>
    <col min="9265" max="9266" width="45.1640625" style="1968" customWidth="1"/>
    <col min="9267" max="9267" width="34.1640625" style="1968" customWidth="1"/>
    <col min="9268" max="9472" width="9.33203125" style="1968"/>
    <col min="9473" max="9473" width="176.6640625" style="1968" customWidth="1"/>
    <col min="9474" max="9485" width="55" style="1968" customWidth="1"/>
    <col min="9486" max="9486" width="176.6640625" style="1968" customWidth="1"/>
    <col min="9487" max="9498" width="53" style="1968" customWidth="1"/>
    <col min="9499" max="9499" width="176.5" style="1968" customWidth="1"/>
    <col min="9500" max="9511" width="53" style="1968" customWidth="1"/>
    <col min="9512" max="9512" width="176.5" style="1968" customWidth="1"/>
    <col min="9513" max="9520" width="63" style="1968" customWidth="1"/>
    <col min="9521" max="9522" width="45.1640625" style="1968" customWidth="1"/>
    <col min="9523" max="9523" width="34.1640625" style="1968" customWidth="1"/>
    <col min="9524" max="9728" width="9.33203125" style="1968"/>
    <col min="9729" max="9729" width="176.6640625" style="1968" customWidth="1"/>
    <col min="9730" max="9741" width="55" style="1968" customWidth="1"/>
    <col min="9742" max="9742" width="176.6640625" style="1968" customWidth="1"/>
    <col min="9743" max="9754" width="53" style="1968" customWidth="1"/>
    <col min="9755" max="9755" width="176.5" style="1968" customWidth="1"/>
    <col min="9756" max="9767" width="53" style="1968" customWidth="1"/>
    <col min="9768" max="9768" width="176.5" style="1968" customWidth="1"/>
    <col min="9769" max="9776" width="63" style="1968" customWidth="1"/>
    <col min="9777" max="9778" width="45.1640625" style="1968" customWidth="1"/>
    <col min="9779" max="9779" width="34.1640625" style="1968" customWidth="1"/>
    <col min="9780" max="9984" width="9.33203125" style="1968"/>
    <col min="9985" max="9985" width="176.6640625" style="1968" customWidth="1"/>
    <col min="9986" max="9997" width="55" style="1968" customWidth="1"/>
    <col min="9998" max="9998" width="176.6640625" style="1968" customWidth="1"/>
    <col min="9999" max="10010" width="53" style="1968" customWidth="1"/>
    <col min="10011" max="10011" width="176.5" style="1968" customWidth="1"/>
    <col min="10012" max="10023" width="53" style="1968" customWidth="1"/>
    <col min="10024" max="10024" width="176.5" style="1968" customWidth="1"/>
    <col min="10025" max="10032" width="63" style="1968" customWidth="1"/>
    <col min="10033" max="10034" width="45.1640625" style="1968" customWidth="1"/>
    <col min="10035" max="10035" width="34.1640625" style="1968" customWidth="1"/>
    <col min="10036" max="10240" width="9.33203125" style="1968"/>
    <col min="10241" max="10241" width="176.6640625" style="1968" customWidth="1"/>
    <col min="10242" max="10253" width="55" style="1968" customWidth="1"/>
    <col min="10254" max="10254" width="176.6640625" style="1968" customWidth="1"/>
    <col min="10255" max="10266" width="53" style="1968" customWidth="1"/>
    <col min="10267" max="10267" width="176.5" style="1968" customWidth="1"/>
    <col min="10268" max="10279" width="53" style="1968" customWidth="1"/>
    <col min="10280" max="10280" width="176.5" style="1968" customWidth="1"/>
    <col min="10281" max="10288" width="63" style="1968" customWidth="1"/>
    <col min="10289" max="10290" width="45.1640625" style="1968" customWidth="1"/>
    <col min="10291" max="10291" width="34.1640625" style="1968" customWidth="1"/>
    <col min="10292" max="10496" width="9.33203125" style="1968"/>
    <col min="10497" max="10497" width="176.6640625" style="1968" customWidth="1"/>
    <col min="10498" max="10509" width="55" style="1968" customWidth="1"/>
    <col min="10510" max="10510" width="176.6640625" style="1968" customWidth="1"/>
    <col min="10511" max="10522" width="53" style="1968" customWidth="1"/>
    <col min="10523" max="10523" width="176.5" style="1968" customWidth="1"/>
    <col min="10524" max="10535" width="53" style="1968" customWidth="1"/>
    <col min="10536" max="10536" width="176.5" style="1968" customWidth="1"/>
    <col min="10537" max="10544" width="63" style="1968" customWidth="1"/>
    <col min="10545" max="10546" width="45.1640625" style="1968" customWidth="1"/>
    <col min="10547" max="10547" width="34.1640625" style="1968" customWidth="1"/>
    <col min="10548" max="10752" width="9.33203125" style="1968"/>
    <col min="10753" max="10753" width="176.6640625" style="1968" customWidth="1"/>
    <col min="10754" max="10765" width="55" style="1968" customWidth="1"/>
    <col min="10766" max="10766" width="176.6640625" style="1968" customWidth="1"/>
    <col min="10767" max="10778" width="53" style="1968" customWidth="1"/>
    <col min="10779" max="10779" width="176.5" style="1968" customWidth="1"/>
    <col min="10780" max="10791" width="53" style="1968" customWidth="1"/>
    <col min="10792" max="10792" width="176.5" style="1968" customWidth="1"/>
    <col min="10793" max="10800" width="63" style="1968" customWidth="1"/>
    <col min="10801" max="10802" width="45.1640625" style="1968" customWidth="1"/>
    <col min="10803" max="10803" width="34.1640625" style="1968" customWidth="1"/>
    <col min="10804" max="11008" width="9.33203125" style="1968"/>
    <col min="11009" max="11009" width="176.6640625" style="1968" customWidth="1"/>
    <col min="11010" max="11021" width="55" style="1968" customWidth="1"/>
    <col min="11022" max="11022" width="176.6640625" style="1968" customWidth="1"/>
    <col min="11023" max="11034" width="53" style="1968" customWidth="1"/>
    <col min="11035" max="11035" width="176.5" style="1968" customWidth="1"/>
    <col min="11036" max="11047" width="53" style="1968" customWidth="1"/>
    <col min="11048" max="11048" width="176.5" style="1968" customWidth="1"/>
    <col min="11049" max="11056" width="63" style="1968" customWidth="1"/>
    <col min="11057" max="11058" width="45.1640625" style="1968" customWidth="1"/>
    <col min="11059" max="11059" width="34.1640625" style="1968" customWidth="1"/>
    <col min="11060" max="11264" width="9.33203125" style="1968"/>
    <col min="11265" max="11265" width="176.6640625" style="1968" customWidth="1"/>
    <col min="11266" max="11277" width="55" style="1968" customWidth="1"/>
    <col min="11278" max="11278" width="176.6640625" style="1968" customWidth="1"/>
    <col min="11279" max="11290" width="53" style="1968" customWidth="1"/>
    <col min="11291" max="11291" width="176.5" style="1968" customWidth="1"/>
    <col min="11292" max="11303" width="53" style="1968" customWidth="1"/>
    <col min="11304" max="11304" width="176.5" style="1968" customWidth="1"/>
    <col min="11305" max="11312" width="63" style="1968" customWidth="1"/>
    <col min="11313" max="11314" width="45.1640625" style="1968" customWidth="1"/>
    <col min="11315" max="11315" width="34.1640625" style="1968" customWidth="1"/>
    <col min="11316" max="11520" width="9.33203125" style="1968"/>
    <col min="11521" max="11521" width="176.6640625" style="1968" customWidth="1"/>
    <col min="11522" max="11533" width="55" style="1968" customWidth="1"/>
    <col min="11534" max="11534" width="176.6640625" style="1968" customWidth="1"/>
    <col min="11535" max="11546" width="53" style="1968" customWidth="1"/>
    <col min="11547" max="11547" width="176.5" style="1968" customWidth="1"/>
    <col min="11548" max="11559" width="53" style="1968" customWidth="1"/>
    <col min="11560" max="11560" width="176.5" style="1968" customWidth="1"/>
    <col min="11561" max="11568" width="63" style="1968" customWidth="1"/>
    <col min="11569" max="11570" width="45.1640625" style="1968" customWidth="1"/>
    <col min="11571" max="11571" width="34.1640625" style="1968" customWidth="1"/>
    <col min="11572" max="11776" width="9.33203125" style="1968"/>
    <col min="11777" max="11777" width="176.6640625" style="1968" customWidth="1"/>
    <col min="11778" max="11789" width="55" style="1968" customWidth="1"/>
    <col min="11790" max="11790" width="176.6640625" style="1968" customWidth="1"/>
    <col min="11791" max="11802" width="53" style="1968" customWidth="1"/>
    <col min="11803" max="11803" width="176.5" style="1968" customWidth="1"/>
    <col min="11804" max="11815" width="53" style="1968" customWidth="1"/>
    <col min="11816" max="11816" width="176.5" style="1968" customWidth="1"/>
    <col min="11817" max="11824" width="63" style="1968" customWidth="1"/>
    <col min="11825" max="11826" width="45.1640625" style="1968" customWidth="1"/>
    <col min="11827" max="11827" width="34.1640625" style="1968" customWidth="1"/>
    <col min="11828" max="12032" width="9.33203125" style="1968"/>
    <col min="12033" max="12033" width="176.6640625" style="1968" customWidth="1"/>
    <col min="12034" max="12045" width="55" style="1968" customWidth="1"/>
    <col min="12046" max="12046" width="176.6640625" style="1968" customWidth="1"/>
    <col min="12047" max="12058" width="53" style="1968" customWidth="1"/>
    <col min="12059" max="12059" width="176.5" style="1968" customWidth="1"/>
    <col min="12060" max="12071" width="53" style="1968" customWidth="1"/>
    <col min="12072" max="12072" width="176.5" style="1968" customWidth="1"/>
    <col min="12073" max="12080" width="63" style="1968" customWidth="1"/>
    <col min="12081" max="12082" width="45.1640625" style="1968" customWidth="1"/>
    <col min="12083" max="12083" width="34.1640625" style="1968" customWidth="1"/>
    <col min="12084" max="12288" width="9.33203125" style="1968"/>
    <col min="12289" max="12289" width="176.6640625" style="1968" customWidth="1"/>
    <col min="12290" max="12301" width="55" style="1968" customWidth="1"/>
    <col min="12302" max="12302" width="176.6640625" style="1968" customWidth="1"/>
    <col min="12303" max="12314" width="53" style="1968" customWidth="1"/>
    <col min="12315" max="12315" width="176.5" style="1968" customWidth="1"/>
    <col min="12316" max="12327" width="53" style="1968" customWidth="1"/>
    <col min="12328" max="12328" width="176.5" style="1968" customWidth="1"/>
    <col min="12329" max="12336" width="63" style="1968" customWidth="1"/>
    <col min="12337" max="12338" width="45.1640625" style="1968" customWidth="1"/>
    <col min="12339" max="12339" width="34.1640625" style="1968" customWidth="1"/>
    <col min="12340" max="12544" width="9.33203125" style="1968"/>
    <col min="12545" max="12545" width="176.6640625" style="1968" customWidth="1"/>
    <col min="12546" max="12557" width="55" style="1968" customWidth="1"/>
    <col min="12558" max="12558" width="176.6640625" style="1968" customWidth="1"/>
    <col min="12559" max="12570" width="53" style="1968" customWidth="1"/>
    <col min="12571" max="12571" width="176.5" style="1968" customWidth="1"/>
    <col min="12572" max="12583" width="53" style="1968" customWidth="1"/>
    <col min="12584" max="12584" width="176.5" style="1968" customWidth="1"/>
    <col min="12585" max="12592" width="63" style="1968" customWidth="1"/>
    <col min="12593" max="12594" width="45.1640625" style="1968" customWidth="1"/>
    <col min="12595" max="12595" width="34.1640625" style="1968" customWidth="1"/>
    <col min="12596" max="12800" width="9.33203125" style="1968"/>
    <col min="12801" max="12801" width="176.6640625" style="1968" customWidth="1"/>
    <col min="12802" max="12813" width="55" style="1968" customWidth="1"/>
    <col min="12814" max="12814" width="176.6640625" style="1968" customWidth="1"/>
    <col min="12815" max="12826" width="53" style="1968" customWidth="1"/>
    <col min="12827" max="12827" width="176.5" style="1968" customWidth="1"/>
    <col min="12828" max="12839" width="53" style="1968" customWidth="1"/>
    <col min="12840" max="12840" width="176.5" style="1968" customWidth="1"/>
    <col min="12841" max="12848" width="63" style="1968" customWidth="1"/>
    <col min="12849" max="12850" width="45.1640625" style="1968" customWidth="1"/>
    <col min="12851" max="12851" width="34.1640625" style="1968" customWidth="1"/>
    <col min="12852" max="13056" width="9.33203125" style="1968"/>
    <col min="13057" max="13057" width="176.6640625" style="1968" customWidth="1"/>
    <col min="13058" max="13069" width="55" style="1968" customWidth="1"/>
    <col min="13070" max="13070" width="176.6640625" style="1968" customWidth="1"/>
    <col min="13071" max="13082" width="53" style="1968" customWidth="1"/>
    <col min="13083" max="13083" width="176.5" style="1968" customWidth="1"/>
    <col min="13084" max="13095" width="53" style="1968" customWidth="1"/>
    <col min="13096" max="13096" width="176.5" style="1968" customWidth="1"/>
    <col min="13097" max="13104" width="63" style="1968" customWidth="1"/>
    <col min="13105" max="13106" width="45.1640625" style="1968" customWidth="1"/>
    <col min="13107" max="13107" width="34.1640625" style="1968" customWidth="1"/>
    <col min="13108" max="13312" width="9.33203125" style="1968"/>
    <col min="13313" max="13313" width="176.6640625" style="1968" customWidth="1"/>
    <col min="13314" max="13325" width="55" style="1968" customWidth="1"/>
    <col min="13326" max="13326" width="176.6640625" style="1968" customWidth="1"/>
    <col min="13327" max="13338" width="53" style="1968" customWidth="1"/>
    <col min="13339" max="13339" width="176.5" style="1968" customWidth="1"/>
    <col min="13340" max="13351" width="53" style="1968" customWidth="1"/>
    <col min="13352" max="13352" width="176.5" style="1968" customWidth="1"/>
    <col min="13353" max="13360" width="63" style="1968" customWidth="1"/>
    <col min="13361" max="13362" width="45.1640625" style="1968" customWidth="1"/>
    <col min="13363" max="13363" width="34.1640625" style="1968" customWidth="1"/>
    <col min="13364" max="13568" width="9.33203125" style="1968"/>
    <col min="13569" max="13569" width="176.6640625" style="1968" customWidth="1"/>
    <col min="13570" max="13581" width="55" style="1968" customWidth="1"/>
    <col min="13582" max="13582" width="176.6640625" style="1968" customWidth="1"/>
    <col min="13583" max="13594" width="53" style="1968" customWidth="1"/>
    <col min="13595" max="13595" width="176.5" style="1968" customWidth="1"/>
    <col min="13596" max="13607" width="53" style="1968" customWidth="1"/>
    <col min="13608" max="13608" width="176.5" style="1968" customWidth="1"/>
    <col min="13609" max="13616" width="63" style="1968" customWidth="1"/>
    <col min="13617" max="13618" width="45.1640625" style="1968" customWidth="1"/>
    <col min="13619" max="13619" width="34.1640625" style="1968" customWidth="1"/>
    <col min="13620" max="13824" width="9.33203125" style="1968"/>
    <col min="13825" max="13825" width="176.6640625" style="1968" customWidth="1"/>
    <col min="13826" max="13837" width="55" style="1968" customWidth="1"/>
    <col min="13838" max="13838" width="176.6640625" style="1968" customWidth="1"/>
    <col min="13839" max="13850" width="53" style="1968" customWidth="1"/>
    <col min="13851" max="13851" width="176.5" style="1968" customWidth="1"/>
    <col min="13852" max="13863" width="53" style="1968" customWidth="1"/>
    <col min="13864" max="13864" width="176.5" style="1968" customWidth="1"/>
    <col min="13865" max="13872" width="63" style="1968" customWidth="1"/>
    <col min="13873" max="13874" width="45.1640625" style="1968" customWidth="1"/>
    <col min="13875" max="13875" width="34.1640625" style="1968" customWidth="1"/>
    <col min="13876" max="14080" width="9.33203125" style="1968"/>
    <col min="14081" max="14081" width="176.6640625" style="1968" customWidth="1"/>
    <col min="14082" max="14093" width="55" style="1968" customWidth="1"/>
    <col min="14094" max="14094" width="176.6640625" style="1968" customWidth="1"/>
    <col min="14095" max="14106" width="53" style="1968" customWidth="1"/>
    <col min="14107" max="14107" width="176.5" style="1968" customWidth="1"/>
    <col min="14108" max="14119" width="53" style="1968" customWidth="1"/>
    <col min="14120" max="14120" width="176.5" style="1968" customWidth="1"/>
    <col min="14121" max="14128" width="63" style="1968" customWidth="1"/>
    <col min="14129" max="14130" width="45.1640625" style="1968" customWidth="1"/>
    <col min="14131" max="14131" width="34.1640625" style="1968" customWidth="1"/>
    <col min="14132" max="14336" width="9.33203125" style="1968"/>
    <col min="14337" max="14337" width="176.6640625" style="1968" customWidth="1"/>
    <col min="14338" max="14349" width="55" style="1968" customWidth="1"/>
    <col min="14350" max="14350" width="176.6640625" style="1968" customWidth="1"/>
    <col min="14351" max="14362" width="53" style="1968" customWidth="1"/>
    <col min="14363" max="14363" width="176.5" style="1968" customWidth="1"/>
    <col min="14364" max="14375" width="53" style="1968" customWidth="1"/>
    <col min="14376" max="14376" width="176.5" style="1968" customWidth="1"/>
    <col min="14377" max="14384" width="63" style="1968" customWidth="1"/>
    <col min="14385" max="14386" width="45.1640625" style="1968" customWidth="1"/>
    <col min="14387" max="14387" width="34.1640625" style="1968" customWidth="1"/>
    <col min="14388" max="14592" width="9.33203125" style="1968"/>
    <col min="14593" max="14593" width="176.6640625" style="1968" customWidth="1"/>
    <col min="14594" max="14605" width="55" style="1968" customWidth="1"/>
    <col min="14606" max="14606" width="176.6640625" style="1968" customWidth="1"/>
    <col min="14607" max="14618" width="53" style="1968" customWidth="1"/>
    <col min="14619" max="14619" width="176.5" style="1968" customWidth="1"/>
    <col min="14620" max="14631" width="53" style="1968" customWidth="1"/>
    <col min="14632" max="14632" width="176.5" style="1968" customWidth="1"/>
    <col min="14633" max="14640" width="63" style="1968" customWidth="1"/>
    <col min="14641" max="14642" width="45.1640625" style="1968" customWidth="1"/>
    <col min="14643" max="14643" width="34.1640625" style="1968" customWidth="1"/>
    <col min="14644" max="14848" width="9.33203125" style="1968"/>
    <col min="14849" max="14849" width="176.6640625" style="1968" customWidth="1"/>
    <col min="14850" max="14861" width="55" style="1968" customWidth="1"/>
    <col min="14862" max="14862" width="176.6640625" style="1968" customWidth="1"/>
    <col min="14863" max="14874" width="53" style="1968" customWidth="1"/>
    <col min="14875" max="14875" width="176.5" style="1968" customWidth="1"/>
    <col min="14876" max="14887" width="53" style="1968" customWidth="1"/>
    <col min="14888" max="14888" width="176.5" style="1968" customWidth="1"/>
    <col min="14889" max="14896" width="63" style="1968" customWidth="1"/>
    <col min="14897" max="14898" width="45.1640625" style="1968" customWidth="1"/>
    <col min="14899" max="14899" width="34.1640625" style="1968" customWidth="1"/>
    <col min="14900" max="15104" width="9.33203125" style="1968"/>
    <col min="15105" max="15105" width="176.6640625" style="1968" customWidth="1"/>
    <col min="15106" max="15117" width="55" style="1968" customWidth="1"/>
    <col min="15118" max="15118" width="176.6640625" style="1968" customWidth="1"/>
    <col min="15119" max="15130" width="53" style="1968" customWidth="1"/>
    <col min="15131" max="15131" width="176.5" style="1968" customWidth="1"/>
    <col min="15132" max="15143" width="53" style="1968" customWidth="1"/>
    <col min="15144" max="15144" width="176.5" style="1968" customWidth="1"/>
    <col min="15145" max="15152" width="63" style="1968" customWidth="1"/>
    <col min="15153" max="15154" width="45.1640625" style="1968" customWidth="1"/>
    <col min="15155" max="15155" width="34.1640625" style="1968" customWidth="1"/>
    <col min="15156" max="15360" width="9.33203125" style="1968"/>
    <col min="15361" max="15361" width="176.6640625" style="1968" customWidth="1"/>
    <col min="15362" max="15373" width="55" style="1968" customWidth="1"/>
    <col min="15374" max="15374" width="176.6640625" style="1968" customWidth="1"/>
    <col min="15375" max="15386" width="53" style="1968" customWidth="1"/>
    <col min="15387" max="15387" width="176.5" style="1968" customWidth="1"/>
    <col min="15388" max="15399" width="53" style="1968" customWidth="1"/>
    <col min="15400" max="15400" width="176.5" style="1968" customWidth="1"/>
    <col min="15401" max="15408" width="63" style="1968" customWidth="1"/>
    <col min="15409" max="15410" width="45.1640625" style="1968" customWidth="1"/>
    <col min="15411" max="15411" width="34.1640625" style="1968" customWidth="1"/>
    <col min="15412" max="15616" width="9.33203125" style="1968"/>
    <col min="15617" max="15617" width="176.6640625" style="1968" customWidth="1"/>
    <col min="15618" max="15629" width="55" style="1968" customWidth="1"/>
    <col min="15630" max="15630" width="176.6640625" style="1968" customWidth="1"/>
    <col min="15631" max="15642" width="53" style="1968" customWidth="1"/>
    <col min="15643" max="15643" width="176.5" style="1968" customWidth="1"/>
    <col min="15644" max="15655" width="53" style="1968" customWidth="1"/>
    <col min="15656" max="15656" width="176.5" style="1968" customWidth="1"/>
    <col min="15657" max="15664" width="63" style="1968" customWidth="1"/>
    <col min="15665" max="15666" width="45.1640625" style="1968" customWidth="1"/>
    <col min="15667" max="15667" width="34.1640625" style="1968" customWidth="1"/>
    <col min="15668" max="15872" width="9.33203125" style="1968"/>
    <col min="15873" max="15873" width="176.6640625" style="1968" customWidth="1"/>
    <col min="15874" max="15885" width="55" style="1968" customWidth="1"/>
    <col min="15886" max="15886" width="176.6640625" style="1968" customWidth="1"/>
    <col min="15887" max="15898" width="53" style="1968" customWidth="1"/>
    <col min="15899" max="15899" width="176.5" style="1968" customWidth="1"/>
    <col min="15900" max="15911" width="53" style="1968" customWidth="1"/>
    <col min="15912" max="15912" width="176.5" style="1968" customWidth="1"/>
    <col min="15913" max="15920" width="63" style="1968" customWidth="1"/>
    <col min="15921" max="15922" width="45.1640625" style="1968" customWidth="1"/>
    <col min="15923" max="15923" width="34.1640625" style="1968" customWidth="1"/>
    <col min="15924" max="16128" width="9.33203125" style="1968"/>
    <col min="16129" max="16129" width="176.6640625" style="1968" customWidth="1"/>
    <col min="16130" max="16141" width="55" style="1968" customWidth="1"/>
    <col min="16142" max="16142" width="176.6640625" style="1968" customWidth="1"/>
    <col min="16143" max="16154" width="53" style="1968" customWidth="1"/>
    <col min="16155" max="16155" width="176.5" style="1968" customWidth="1"/>
    <col min="16156" max="16167" width="53" style="1968" customWidth="1"/>
    <col min="16168" max="16168" width="176.5" style="1968" customWidth="1"/>
    <col min="16169" max="16176" width="63" style="1968" customWidth="1"/>
    <col min="16177" max="16178" width="45.1640625" style="1968" customWidth="1"/>
    <col min="16179" max="16179" width="34.1640625" style="1968" customWidth="1"/>
    <col min="16180" max="16384" width="9.33203125" style="1968"/>
  </cols>
  <sheetData>
    <row r="1" spans="1:51" ht="38.25" customHeight="1" x14ac:dyDescent="0.3"/>
    <row r="2" spans="1:51" s="1970" customFormat="1" ht="54" customHeight="1" x14ac:dyDescent="0.7">
      <c r="A2" s="2601" t="s">
        <v>702</v>
      </c>
      <c r="B2" s="2601"/>
      <c r="C2" s="2601"/>
      <c r="D2" s="2601"/>
      <c r="E2" s="2601"/>
      <c r="F2" s="2601"/>
      <c r="G2" s="2601"/>
      <c r="H2" s="2601"/>
      <c r="I2" s="2601"/>
      <c r="J2" s="2601"/>
      <c r="K2" s="2601"/>
      <c r="L2" s="2601"/>
      <c r="M2" s="2601"/>
      <c r="N2" s="2602" t="s">
        <v>702</v>
      </c>
      <c r="O2" s="2602"/>
      <c r="P2" s="2602"/>
      <c r="Q2" s="2602"/>
      <c r="R2" s="2602"/>
      <c r="S2" s="2602"/>
      <c r="T2" s="2602"/>
      <c r="U2" s="2602"/>
      <c r="V2" s="2602"/>
      <c r="W2" s="2602"/>
      <c r="X2" s="2602"/>
      <c r="Y2" s="2602"/>
      <c r="Z2" s="2602"/>
      <c r="AA2" s="2602" t="s">
        <v>702</v>
      </c>
      <c r="AB2" s="2602"/>
      <c r="AC2" s="2602"/>
      <c r="AD2" s="2602"/>
      <c r="AE2" s="2602"/>
      <c r="AF2" s="2602"/>
      <c r="AG2" s="2602"/>
      <c r="AH2" s="2602"/>
      <c r="AI2" s="2602"/>
      <c r="AJ2" s="2602"/>
      <c r="AK2" s="2602"/>
      <c r="AL2" s="2602"/>
      <c r="AM2" s="2602"/>
      <c r="AN2" s="2602" t="s">
        <v>702</v>
      </c>
      <c r="AO2" s="2602"/>
      <c r="AP2" s="2602"/>
      <c r="AQ2" s="2602"/>
      <c r="AR2" s="2602"/>
      <c r="AS2" s="2602"/>
      <c r="AT2" s="2602"/>
      <c r="AU2" s="2602"/>
      <c r="AV2" s="2602"/>
      <c r="AW2" s="1969"/>
      <c r="AX2" s="1969"/>
      <c r="AY2" s="1969"/>
    </row>
    <row r="3" spans="1:51" s="1970" customFormat="1" ht="54" customHeight="1" x14ac:dyDescent="0.7">
      <c r="A3" s="2601" t="s">
        <v>1379</v>
      </c>
      <c r="B3" s="2601"/>
      <c r="C3" s="2601"/>
      <c r="D3" s="2601"/>
      <c r="E3" s="2601"/>
      <c r="F3" s="2601"/>
      <c r="G3" s="2601"/>
      <c r="H3" s="2601"/>
      <c r="I3" s="2601"/>
      <c r="J3" s="2601"/>
      <c r="K3" s="2601"/>
      <c r="L3" s="2601"/>
      <c r="M3" s="2601"/>
      <c r="N3" s="2602" t="s">
        <v>1379</v>
      </c>
      <c r="O3" s="2602"/>
      <c r="P3" s="2602"/>
      <c r="Q3" s="2602"/>
      <c r="R3" s="2602"/>
      <c r="S3" s="2602"/>
      <c r="T3" s="2602"/>
      <c r="U3" s="2602"/>
      <c r="V3" s="2602"/>
      <c r="W3" s="2602"/>
      <c r="X3" s="2602"/>
      <c r="Y3" s="2602"/>
      <c r="Z3" s="2602"/>
      <c r="AA3" s="2602" t="s">
        <v>1379</v>
      </c>
      <c r="AB3" s="2602"/>
      <c r="AC3" s="2602"/>
      <c r="AD3" s="2602"/>
      <c r="AE3" s="2602"/>
      <c r="AF3" s="2602"/>
      <c r="AG3" s="2602"/>
      <c r="AH3" s="2602"/>
      <c r="AI3" s="2602"/>
      <c r="AJ3" s="2602"/>
      <c r="AK3" s="2602"/>
      <c r="AL3" s="2602"/>
      <c r="AM3" s="2602"/>
      <c r="AN3" s="2602" t="s">
        <v>1379</v>
      </c>
      <c r="AO3" s="2602"/>
      <c r="AP3" s="2602"/>
      <c r="AQ3" s="2602"/>
      <c r="AR3" s="2602"/>
      <c r="AS3" s="2602"/>
      <c r="AT3" s="2602"/>
      <c r="AU3" s="2602"/>
      <c r="AV3" s="2602"/>
      <c r="AW3" s="1969"/>
      <c r="AX3" s="1969"/>
      <c r="AY3" s="1969"/>
    </row>
    <row r="4" spans="1:51" ht="62.25" customHeight="1" thickBot="1" x14ac:dyDescent="0.35"/>
    <row r="5" spans="1:51" s="1925" customFormat="1" ht="55.5" customHeight="1" x14ac:dyDescent="0.6">
      <c r="A5" s="1924"/>
      <c r="B5" s="2592" t="s">
        <v>1252</v>
      </c>
      <c r="C5" s="2593"/>
      <c r="D5" s="2593"/>
      <c r="E5" s="2594"/>
      <c r="F5" s="2603" t="s">
        <v>1392</v>
      </c>
      <c r="G5" s="2604"/>
      <c r="H5" s="2604"/>
      <c r="I5" s="2605"/>
      <c r="J5" s="2592" t="s">
        <v>1380</v>
      </c>
      <c r="K5" s="2593"/>
      <c r="L5" s="2593"/>
      <c r="M5" s="2594"/>
      <c r="N5" s="1924"/>
      <c r="O5" s="2592" t="s">
        <v>1262</v>
      </c>
      <c r="P5" s="2593"/>
      <c r="Q5" s="2593"/>
      <c r="R5" s="2594"/>
      <c r="S5" s="2592" t="s">
        <v>1264</v>
      </c>
      <c r="T5" s="2593"/>
      <c r="U5" s="2593"/>
      <c r="V5" s="2594"/>
      <c r="W5" s="2592" t="s">
        <v>1266</v>
      </c>
      <c r="X5" s="2593"/>
      <c r="Y5" s="2593"/>
      <c r="Z5" s="2594"/>
      <c r="AA5" s="2066"/>
      <c r="AB5" s="2592" t="s">
        <v>322</v>
      </c>
      <c r="AC5" s="2593"/>
      <c r="AD5" s="2593"/>
      <c r="AE5" s="2594"/>
      <c r="AF5" s="2592" t="s">
        <v>1271</v>
      </c>
      <c r="AG5" s="2593"/>
      <c r="AH5" s="2593"/>
      <c r="AI5" s="2594"/>
      <c r="AJ5" s="2592" t="s">
        <v>1275</v>
      </c>
      <c r="AK5" s="2593"/>
      <c r="AL5" s="2593"/>
      <c r="AM5" s="2594"/>
      <c r="AN5" s="2066"/>
      <c r="AO5" s="2592" t="s">
        <v>1277</v>
      </c>
      <c r="AP5" s="2593"/>
      <c r="AQ5" s="2593"/>
      <c r="AR5" s="2594"/>
      <c r="AS5" s="2592" t="s">
        <v>1381</v>
      </c>
      <c r="AT5" s="2593"/>
      <c r="AU5" s="2593"/>
      <c r="AV5" s="2594"/>
      <c r="AW5" s="2023"/>
      <c r="AX5" s="2023"/>
      <c r="AY5" s="2023"/>
    </row>
    <row r="6" spans="1:51" s="1925" customFormat="1" ht="54" customHeight="1" x14ac:dyDescent="0.6">
      <c r="A6" s="2067"/>
      <c r="B6" s="2595"/>
      <c r="C6" s="2596"/>
      <c r="D6" s="2596"/>
      <c r="E6" s="2597"/>
      <c r="F6" s="2606"/>
      <c r="G6" s="2607"/>
      <c r="H6" s="2607"/>
      <c r="I6" s="2608"/>
      <c r="J6" s="2595"/>
      <c r="K6" s="2596"/>
      <c r="L6" s="2596"/>
      <c r="M6" s="2597"/>
      <c r="N6" s="2067"/>
      <c r="O6" s="2595"/>
      <c r="P6" s="2596"/>
      <c r="Q6" s="2596"/>
      <c r="R6" s="2597"/>
      <c r="S6" s="2595"/>
      <c r="T6" s="2596"/>
      <c r="U6" s="2596"/>
      <c r="V6" s="2597"/>
      <c r="W6" s="2595"/>
      <c r="X6" s="2596"/>
      <c r="Y6" s="2596"/>
      <c r="Z6" s="2597"/>
      <c r="AA6" s="2068"/>
      <c r="AB6" s="2595"/>
      <c r="AC6" s="2596"/>
      <c r="AD6" s="2596"/>
      <c r="AE6" s="2597"/>
      <c r="AF6" s="2595"/>
      <c r="AG6" s="2596"/>
      <c r="AH6" s="2596"/>
      <c r="AI6" s="2597"/>
      <c r="AJ6" s="2595"/>
      <c r="AK6" s="2596"/>
      <c r="AL6" s="2596"/>
      <c r="AM6" s="2597"/>
      <c r="AN6" s="2068"/>
      <c r="AO6" s="2595"/>
      <c r="AP6" s="2596"/>
      <c r="AQ6" s="2596"/>
      <c r="AR6" s="2597"/>
      <c r="AS6" s="2595"/>
      <c r="AT6" s="2596"/>
      <c r="AU6" s="2596"/>
      <c r="AV6" s="2597"/>
      <c r="AW6" s="2069"/>
      <c r="AX6" s="2069"/>
      <c r="AY6" s="2069"/>
    </row>
    <row r="7" spans="1:51" s="1927" customFormat="1" ht="106.5" customHeight="1" thickBot="1" x14ac:dyDescent="0.65">
      <c r="A7" s="1926" t="s">
        <v>1138</v>
      </c>
      <c r="B7" s="2598"/>
      <c r="C7" s="2599"/>
      <c r="D7" s="2599"/>
      <c r="E7" s="2600"/>
      <c r="F7" s="2609"/>
      <c r="G7" s="2610"/>
      <c r="H7" s="2610"/>
      <c r="I7" s="2611"/>
      <c r="J7" s="2598"/>
      <c r="K7" s="2599"/>
      <c r="L7" s="2599"/>
      <c r="M7" s="2600"/>
      <c r="N7" s="1926" t="s">
        <v>1138</v>
      </c>
      <c r="O7" s="2598"/>
      <c r="P7" s="2599"/>
      <c r="Q7" s="2599"/>
      <c r="R7" s="2600"/>
      <c r="S7" s="2598"/>
      <c r="T7" s="2599"/>
      <c r="U7" s="2599"/>
      <c r="V7" s="2600"/>
      <c r="W7" s="2598"/>
      <c r="X7" s="2599"/>
      <c r="Y7" s="2599"/>
      <c r="Z7" s="2600"/>
      <c r="AA7" s="1926" t="s">
        <v>1138</v>
      </c>
      <c r="AB7" s="2598"/>
      <c r="AC7" s="2599"/>
      <c r="AD7" s="2599"/>
      <c r="AE7" s="2600"/>
      <c r="AF7" s="2598"/>
      <c r="AG7" s="2599"/>
      <c r="AH7" s="2599"/>
      <c r="AI7" s="2600"/>
      <c r="AJ7" s="2598"/>
      <c r="AK7" s="2599"/>
      <c r="AL7" s="2599"/>
      <c r="AM7" s="2600"/>
      <c r="AN7" s="1926" t="s">
        <v>1138</v>
      </c>
      <c r="AO7" s="2598"/>
      <c r="AP7" s="2599"/>
      <c r="AQ7" s="2599"/>
      <c r="AR7" s="2600"/>
      <c r="AS7" s="2598"/>
      <c r="AT7" s="2599"/>
      <c r="AU7" s="2599"/>
      <c r="AV7" s="2600"/>
      <c r="AW7" s="2069"/>
      <c r="AX7" s="2069"/>
      <c r="AY7" s="2069"/>
    </row>
    <row r="8" spans="1:51" s="1927" customFormat="1" ht="138" customHeight="1" thickBot="1" x14ac:dyDescent="0.65">
      <c r="A8" s="2024">
        <v>2017</v>
      </c>
      <c r="B8" s="1929" t="s">
        <v>1344</v>
      </c>
      <c r="C8" s="1929" t="s">
        <v>1382</v>
      </c>
      <c r="D8" s="1929" t="s">
        <v>178</v>
      </c>
      <c r="E8" s="1929" t="s">
        <v>1383</v>
      </c>
      <c r="F8" s="1929" t="s">
        <v>1344</v>
      </c>
      <c r="G8" s="1929" t="s">
        <v>1382</v>
      </c>
      <c r="H8" s="1929" t="s">
        <v>178</v>
      </c>
      <c r="I8" s="1929" t="s">
        <v>1383</v>
      </c>
      <c r="J8" s="1929" t="s">
        <v>1344</v>
      </c>
      <c r="K8" s="1929" t="s">
        <v>1382</v>
      </c>
      <c r="L8" s="1929" t="s">
        <v>178</v>
      </c>
      <c r="M8" s="1929" t="s">
        <v>1383</v>
      </c>
      <c r="N8" s="2024">
        <v>2017</v>
      </c>
      <c r="O8" s="1929" t="s">
        <v>1344</v>
      </c>
      <c r="P8" s="1929" t="s">
        <v>1382</v>
      </c>
      <c r="Q8" s="1929" t="s">
        <v>178</v>
      </c>
      <c r="R8" s="1929" t="s">
        <v>1383</v>
      </c>
      <c r="S8" s="1929" t="s">
        <v>1344</v>
      </c>
      <c r="T8" s="1929" t="s">
        <v>1382</v>
      </c>
      <c r="U8" s="1929" t="s">
        <v>178</v>
      </c>
      <c r="V8" s="1929" t="s">
        <v>1383</v>
      </c>
      <c r="W8" s="1929" t="s">
        <v>1344</v>
      </c>
      <c r="X8" s="1929" t="s">
        <v>1382</v>
      </c>
      <c r="Y8" s="1929" t="s">
        <v>178</v>
      </c>
      <c r="Z8" s="1929" t="s">
        <v>1383</v>
      </c>
      <c r="AA8" s="2024">
        <v>2017</v>
      </c>
      <c r="AB8" s="1929" t="s">
        <v>1344</v>
      </c>
      <c r="AC8" s="1929" t="s">
        <v>1382</v>
      </c>
      <c r="AD8" s="1929" t="s">
        <v>178</v>
      </c>
      <c r="AE8" s="1929" t="s">
        <v>1383</v>
      </c>
      <c r="AF8" s="1929" t="s">
        <v>1344</v>
      </c>
      <c r="AG8" s="1929" t="s">
        <v>1382</v>
      </c>
      <c r="AH8" s="1929" t="s">
        <v>178</v>
      </c>
      <c r="AI8" s="1929" t="s">
        <v>1383</v>
      </c>
      <c r="AJ8" s="1929" t="s">
        <v>1344</v>
      </c>
      <c r="AK8" s="1929" t="s">
        <v>1382</v>
      </c>
      <c r="AL8" s="1929" t="s">
        <v>178</v>
      </c>
      <c r="AM8" s="1929" t="s">
        <v>1383</v>
      </c>
      <c r="AN8" s="2024">
        <v>2017</v>
      </c>
      <c r="AO8" s="1929" t="s">
        <v>1344</v>
      </c>
      <c r="AP8" s="1929" t="s">
        <v>1382</v>
      </c>
      <c r="AQ8" s="1929" t="s">
        <v>178</v>
      </c>
      <c r="AR8" s="1929" t="s">
        <v>1383</v>
      </c>
      <c r="AS8" s="1929" t="s">
        <v>1344</v>
      </c>
      <c r="AT8" s="1929" t="s">
        <v>1382</v>
      </c>
      <c r="AU8" s="1929" t="s">
        <v>178</v>
      </c>
      <c r="AV8" s="1929" t="s">
        <v>1383</v>
      </c>
      <c r="AW8" s="2070" t="s">
        <v>1384</v>
      </c>
      <c r="AX8" s="2070" t="s">
        <v>1385</v>
      </c>
      <c r="AY8" s="2070" t="s">
        <v>178</v>
      </c>
    </row>
    <row r="9" spans="1:51" s="1974" customFormat="1" ht="45.75" customHeight="1" x14ac:dyDescent="0.5">
      <c r="A9" s="1972" t="s">
        <v>1141</v>
      </c>
      <c r="B9" s="1973"/>
      <c r="C9" s="1973"/>
      <c r="D9" s="1973"/>
      <c r="E9" s="1973"/>
      <c r="F9" s="1973"/>
      <c r="G9" s="1973"/>
      <c r="H9" s="1973"/>
      <c r="I9" s="1973"/>
      <c r="J9" s="1973"/>
      <c r="K9" s="1973"/>
      <c r="L9" s="1973"/>
      <c r="M9" s="1973"/>
      <c r="N9" s="1972" t="s">
        <v>1141</v>
      </c>
      <c r="O9" s="1973"/>
      <c r="P9" s="1973"/>
      <c r="Q9" s="1973"/>
      <c r="R9" s="1973"/>
      <c r="S9" s="1973"/>
      <c r="T9" s="1973"/>
      <c r="U9" s="1973"/>
      <c r="V9" s="1973"/>
      <c r="W9" s="1973"/>
      <c r="X9" s="1973"/>
      <c r="Y9" s="1973"/>
      <c r="Z9" s="1973"/>
      <c r="AA9" s="1972" t="s">
        <v>1141</v>
      </c>
      <c r="AB9" s="1972"/>
      <c r="AC9" s="1972"/>
      <c r="AD9" s="1972"/>
      <c r="AE9" s="1972"/>
      <c r="AF9" s="1972"/>
      <c r="AG9" s="1972"/>
      <c r="AH9" s="1972"/>
      <c r="AI9" s="1972"/>
      <c r="AJ9" s="1973"/>
      <c r="AK9" s="1973"/>
      <c r="AL9" s="1973"/>
      <c r="AM9" s="1973"/>
      <c r="AN9" s="1972" t="s">
        <v>1141</v>
      </c>
      <c r="AO9" s="1972"/>
      <c r="AP9" s="1972"/>
      <c r="AQ9" s="1972"/>
      <c r="AR9" s="1972"/>
      <c r="AS9" s="1972"/>
      <c r="AT9" s="1972"/>
      <c r="AU9" s="1972"/>
      <c r="AV9" s="1972"/>
      <c r="AW9" s="1972"/>
      <c r="AX9" s="1972"/>
      <c r="AY9" s="1972"/>
    </row>
    <row r="10" spans="1:51" s="1974" customFormat="1" ht="49.5" customHeight="1" x14ac:dyDescent="0.5">
      <c r="A10" s="1975" t="s">
        <v>1145</v>
      </c>
      <c r="B10" s="1976">
        <v>116367</v>
      </c>
      <c r="C10" s="1976">
        <v>120052</v>
      </c>
      <c r="D10" s="1976">
        <v>113253</v>
      </c>
      <c r="E10" s="1977">
        <f t="shared" ref="E10:E30" si="0">D10/C10</f>
        <v>0.94336620797654347</v>
      </c>
      <c r="F10" s="2021">
        <v>27858</v>
      </c>
      <c r="G10" s="2021">
        <v>28674</v>
      </c>
      <c r="H10" s="2021">
        <v>27195</v>
      </c>
      <c r="I10" s="1977">
        <f t="shared" ref="I10:I30" si="1">H10/G10</f>
        <v>0.94842017158401337</v>
      </c>
      <c r="J10" s="2021">
        <v>3834</v>
      </c>
      <c r="K10" s="2021">
        <v>6050</v>
      </c>
      <c r="L10" s="2021">
        <v>4820</v>
      </c>
      <c r="M10" s="1977">
        <f t="shared" ref="M10:M30" si="2">L10/K10</f>
        <v>0.79669421487603309</v>
      </c>
      <c r="N10" s="1975" t="s">
        <v>1145</v>
      </c>
      <c r="O10" s="1976">
        <v>0</v>
      </c>
      <c r="P10" s="1976">
        <v>0</v>
      </c>
      <c r="Q10" s="1976"/>
      <c r="R10" s="1977"/>
      <c r="S10" s="1976">
        <v>0</v>
      </c>
      <c r="T10" s="1976">
        <v>0</v>
      </c>
      <c r="U10" s="1976"/>
      <c r="V10" s="1977"/>
      <c r="W10" s="1976">
        <f t="shared" ref="W10:Y27" si="3">B10+F10+J10+O10+S10</f>
        <v>148059</v>
      </c>
      <c r="X10" s="1976">
        <f t="shared" si="3"/>
        <v>154776</v>
      </c>
      <c r="Y10" s="1976">
        <f t="shared" si="3"/>
        <v>145268</v>
      </c>
      <c r="Z10" s="1977">
        <f t="shared" ref="Z10:Z30" si="4">Y10/X10</f>
        <v>0.93856928722799404</v>
      </c>
      <c r="AA10" s="1975" t="s">
        <v>1145</v>
      </c>
      <c r="AB10" s="1976">
        <v>0</v>
      </c>
      <c r="AC10" s="1976">
        <v>4186</v>
      </c>
      <c r="AD10" s="1976">
        <v>4186</v>
      </c>
      <c r="AE10" s="1977">
        <f t="shared" ref="AE10:AE30" si="5">AD10/AC10</f>
        <v>1</v>
      </c>
      <c r="AF10" s="1976">
        <v>0</v>
      </c>
      <c r="AG10" s="1976">
        <v>0</v>
      </c>
      <c r="AH10" s="1976"/>
      <c r="AI10" s="1977"/>
      <c r="AJ10" s="1976">
        <v>0</v>
      </c>
      <c r="AK10" s="1976">
        <v>0</v>
      </c>
      <c r="AL10" s="1976"/>
      <c r="AM10" s="1977"/>
      <c r="AN10" s="1975" t="s">
        <v>1145</v>
      </c>
      <c r="AO10" s="1976">
        <f t="shared" ref="AO10:AQ27" si="6">AB10+AF10+AJ10</f>
        <v>0</v>
      </c>
      <c r="AP10" s="1976">
        <f t="shared" si="6"/>
        <v>4186</v>
      </c>
      <c r="AQ10" s="1976">
        <f t="shared" si="6"/>
        <v>4186</v>
      </c>
      <c r="AR10" s="1977">
        <f t="shared" ref="AR10:AR30" si="7">AQ10/AP10</f>
        <v>1</v>
      </c>
      <c r="AS10" s="1976">
        <f t="shared" ref="AS10:AU27" si="8">W10+AO10</f>
        <v>148059</v>
      </c>
      <c r="AT10" s="1976">
        <f t="shared" si="8"/>
        <v>158962</v>
      </c>
      <c r="AU10" s="1976">
        <f t="shared" si="8"/>
        <v>149454</v>
      </c>
      <c r="AV10" s="1977">
        <f t="shared" ref="AV10:AV30" si="9">AU10/AT10</f>
        <v>0.94018696292195614</v>
      </c>
      <c r="AW10" s="1976">
        <v>0</v>
      </c>
      <c r="AX10" s="1976">
        <v>0</v>
      </c>
      <c r="AY10" s="1976">
        <v>-344</v>
      </c>
    </row>
    <row r="11" spans="1:51" s="1974" customFormat="1" ht="49.5" customHeight="1" x14ac:dyDescent="0.5">
      <c r="A11" s="1975" t="s">
        <v>1353</v>
      </c>
      <c r="B11" s="1976">
        <v>76466</v>
      </c>
      <c r="C11" s="1976">
        <v>80148</v>
      </c>
      <c r="D11" s="1976">
        <v>77879</v>
      </c>
      <c r="E11" s="1977">
        <f t="shared" si="0"/>
        <v>0.97168987373359283</v>
      </c>
      <c r="F11" s="2021">
        <v>17273</v>
      </c>
      <c r="G11" s="2021">
        <v>18176</v>
      </c>
      <c r="H11" s="2021">
        <v>17468</v>
      </c>
      <c r="I11" s="1977">
        <f t="shared" si="1"/>
        <v>0.96104753521126762</v>
      </c>
      <c r="J11" s="2021">
        <v>2817</v>
      </c>
      <c r="K11" s="2021">
        <v>3088</v>
      </c>
      <c r="L11" s="2021">
        <v>2881</v>
      </c>
      <c r="M11" s="1977">
        <f t="shared" si="2"/>
        <v>0.9329663212435233</v>
      </c>
      <c r="N11" s="1975" t="s">
        <v>1353</v>
      </c>
      <c r="O11" s="1976">
        <v>0</v>
      </c>
      <c r="P11" s="1976">
        <v>0</v>
      </c>
      <c r="Q11" s="1976"/>
      <c r="R11" s="1977"/>
      <c r="S11" s="1976">
        <v>0</v>
      </c>
      <c r="T11" s="1976">
        <v>0</v>
      </c>
      <c r="U11" s="1976"/>
      <c r="V11" s="1977"/>
      <c r="W11" s="1976">
        <f t="shared" si="3"/>
        <v>96556</v>
      </c>
      <c r="X11" s="1976">
        <f t="shared" si="3"/>
        <v>101412</v>
      </c>
      <c r="Y11" s="1976">
        <f t="shared" si="3"/>
        <v>98228</v>
      </c>
      <c r="Z11" s="1977">
        <f t="shared" si="4"/>
        <v>0.96860332110598346</v>
      </c>
      <c r="AA11" s="1975" t="s">
        <v>1353</v>
      </c>
      <c r="AB11" s="1976">
        <v>0</v>
      </c>
      <c r="AC11" s="1976">
        <v>947</v>
      </c>
      <c r="AD11" s="1976">
        <v>947</v>
      </c>
      <c r="AE11" s="1977">
        <f t="shared" si="5"/>
        <v>1</v>
      </c>
      <c r="AF11" s="1976">
        <v>0</v>
      </c>
      <c r="AG11" s="1976">
        <v>520</v>
      </c>
      <c r="AH11" s="1976">
        <v>519</v>
      </c>
      <c r="AI11" s="1977">
        <f>AH11/AG11</f>
        <v>0.99807692307692308</v>
      </c>
      <c r="AJ11" s="1976">
        <v>0</v>
      </c>
      <c r="AK11" s="1976">
        <v>0</v>
      </c>
      <c r="AL11" s="1976"/>
      <c r="AM11" s="1977"/>
      <c r="AN11" s="1975" t="s">
        <v>1353</v>
      </c>
      <c r="AO11" s="1976">
        <f t="shared" si="6"/>
        <v>0</v>
      </c>
      <c r="AP11" s="1976">
        <f t="shared" si="6"/>
        <v>1467</v>
      </c>
      <c r="AQ11" s="1976">
        <f t="shared" si="6"/>
        <v>1466</v>
      </c>
      <c r="AR11" s="1977">
        <f t="shared" si="7"/>
        <v>0.9993183367416496</v>
      </c>
      <c r="AS11" s="1976">
        <f t="shared" si="8"/>
        <v>96556</v>
      </c>
      <c r="AT11" s="1976">
        <f t="shared" si="8"/>
        <v>102879</v>
      </c>
      <c r="AU11" s="1976">
        <f t="shared" si="8"/>
        <v>99694</v>
      </c>
      <c r="AV11" s="1977">
        <f t="shared" si="9"/>
        <v>0.96904130094577123</v>
      </c>
      <c r="AW11" s="1976">
        <v>0</v>
      </c>
      <c r="AX11" s="1976">
        <v>0</v>
      </c>
      <c r="AY11" s="1976">
        <v>-160</v>
      </c>
    </row>
    <row r="12" spans="1:51" s="1974" customFormat="1" ht="49.5" customHeight="1" x14ac:dyDescent="0.5">
      <c r="A12" s="1975" t="s">
        <v>1354</v>
      </c>
      <c r="B12" s="1976">
        <v>72889</v>
      </c>
      <c r="C12" s="1976">
        <v>72958</v>
      </c>
      <c r="D12" s="1976">
        <v>68290</v>
      </c>
      <c r="E12" s="1977">
        <f t="shared" si="0"/>
        <v>0.936017982949094</v>
      </c>
      <c r="F12" s="2021">
        <v>16267</v>
      </c>
      <c r="G12" s="2021">
        <v>16457</v>
      </c>
      <c r="H12" s="2021">
        <v>15482</v>
      </c>
      <c r="I12" s="1977">
        <f t="shared" si="1"/>
        <v>0.94075469405116363</v>
      </c>
      <c r="J12" s="2021">
        <v>3334</v>
      </c>
      <c r="K12" s="2021">
        <v>5678</v>
      </c>
      <c r="L12" s="2021">
        <v>4926</v>
      </c>
      <c r="M12" s="1977">
        <f t="shared" si="2"/>
        <v>0.86755899964776328</v>
      </c>
      <c r="N12" s="1975" t="s">
        <v>1354</v>
      </c>
      <c r="O12" s="1976">
        <v>0</v>
      </c>
      <c r="P12" s="1976">
        <v>0</v>
      </c>
      <c r="Q12" s="1976"/>
      <c r="R12" s="1977"/>
      <c r="S12" s="1976">
        <v>0</v>
      </c>
      <c r="T12" s="1976">
        <v>0</v>
      </c>
      <c r="U12" s="1976"/>
      <c r="V12" s="1977"/>
      <c r="W12" s="1976">
        <f t="shared" si="3"/>
        <v>92490</v>
      </c>
      <c r="X12" s="1976">
        <f t="shared" si="3"/>
        <v>95093</v>
      </c>
      <c r="Y12" s="1976">
        <f t="shared" si="3"/>
        <v>88698</v>
      </c>
      <c r="Z12" s="1977">
        <f t="shared" si="4"/>
        <v>0.93275004469308997</v>
      </c>
      <c r="AA12" s="1975" t="s">
        <v>1354</v>
      </c>
      <c r="AB12" s="1976">
        <v>0</v>
      </c>
      <c r="AC12" s="1976">
        <v>1507</v>
      </c>
      <c r="AD12" s="1976">
        <v>1507</v>
      </c>
      <c r="AE12" s="1977">
        <f t="shared" si="5"/>
        <v>1</v>
      </c>
      <c r="AF12" s="1976">
        <v>0</v>
      </c>
      <c r="AG12" s="1976">
        <v>1478</v>
      </c>
      <c r="AH12" s="1976">
        <v>1477</v>
      </c>
      <c r="AI12" s="1977">
        <f>AH12/AG12</f>
        <v>0.99932341001353175</v>
      </c>
      <c r="AJ12" s="1976">
        <v>0</v>
      </c>
      <c r="AK12" s="1976">
        <v>0</v>
      </c>
      <c r="AL12" s="1976"/>
      <c r="AM12" s="1977"/>
      <c r="AN12" s="1975" t="s">
        <v>1354</v>
      </c>
      <c r="AO12" s="1976">
        <f t="shared" si="6"/>
        <v>0</v>
      </c>
      <c r="AP12" s="1976">
        <f t="shared" si="6"/>
        <v>2985</v>
      </c>
      <c r="AQ12" s="1976">
        <f t="shared" si="6"/>
        <v>2984</v>
      </c>
      <c r="AR12" s="1977">
        <f t="shared" si="7"/>
        <v>0.99966499162479061</v>
      </c>
      <c r="AS12" s="1976">
        <f t="shared" si="8"/>
        <v>92490</v>
      </c>
      <c r="AT12" s="1976">
        <f t="shared" si="8"/>
        <v>98078</v>
      </c>
      <c r="AU12" s="1976">
        <f t="shared" si="8"/>
        <v>91682</v>
      </c>
      <c r="AV12" s="1977">
        <f t="shared" si="9"/>
        <v>0.93478659842166434</v>
      </c>
      <c r="AW12" s="1976">
        <v>0</v>
      </c>
      <c r="AX12" s="1976">
        <v>0</v>
      </c>
      <c r="AY12" s="1976">
        <v>-1560</v>
      </c>
    </row>
    <row r="13" spans="1:51" s="1974" customFormat="1" ht="49.5" customHeight="1" x14ac:dyDescent="0.5">
      <c r="A13" s="1975" t="s">
        <v>1355</v>
      </c>
      <c r="B13" s="1976">
        <v>96734</v>
      </c>
      <c r="C13" s="1976">
        <v>97350</v>
      </c>
      <c r="D13" s="2021">
        <v>94972</v>
      </c>
      <c r="E13" s="1977">
        <f t="shared" si="0"/>
        <v>0.97557267591165897</v>
      </c>
      <c r="F13" s="2021">
        <v>23093</v>
      </c>
      <c r="G13" s="2021">
        <v>23571</v>
      </c>
      <c r="H13" s="2021">
        <v>23120</v>
      </c>
      <c r="I13" s="1977">
        <f t="shared" si="1"/>
        <v>0.98086631878155361</v>
      </c>
      <c r="J13" s="2021">
        <v>3327</v>
      </c>
      <c r="K13" s="2021">
        <v>4916</v>
      </c>
      <c r="L13" s="2021">
        <v>4278</v>
      </c>
      <c r="M13" s="1977">
        <f t="shared" si="2"/>
        <v>0.87021969080553296</v>
      </c>
      <c r="N13" s="1975" t="s">
        <v>1355</v>
      </c>
      <c r="O13" s="1976">
        <v>0</v>
      </c>
      <c r="P13" s="1976">
        <v>0</v>
      </c>
      <c r="Q13" s="1976"/>
      <c r="R13" s="1977"/>
      <c r="S13" s="1976">
        <v>0</v>
      </c>
      <c r="T13" s="1976">
        <v>0</v>
      </c>
      <c r="U13" s="1976"/>
      <c r="V13" s="1977"/>
      <c r="W13" s="1976">
        <f t="shared" si="3"/>
        <v>123154</v>
      </c>
      <c r="X13" s="1976">
        <f t="shared" si="3"/>
        <v>125837</v>
      </c>
      <c r="Y13" s="1976">
        <f t="shared" si="3"/>
        <v>122370</v>
      </c>
      <c r="Z13" s="1977">
        <f t="shared" si="4"/>
        <v>0.97244848494480951</v>
      </c>
      <c r="AA13" s="1975" t="s">
        <v>1355</v>
      </c>
      <c r="AB13" s="1976">
        <v>0</v>
      </c>
      <c r="AC13" s="1976">
        <v>3189</v>
      </c>
      <c r="AD13" s="1976">
        <v>3189</v>
      </c>
      <c r="AE13" s="1977">
        <f t="shared" si="5"/>
        <v>1</v>
      </c>
      <c r="AF13" s="1976">
        <v>0</v>
      </c>
      <c r="AG13" s="1976">
        <v>0</v>
      </c>
      <c r="AH13" s="1976"/>
      <c r="AI13" s="1977"/>
      <c r="AJ13" s="1976">
        <v>0</v>
      </c>
      <c r="AK13" s="1976">
        <v>0</v>
      </c>
      <c r="AL13" s="1976"/>
      <c r="AM13" s="1977"/>
      <c r="AN13" s="1975" t="s">
        <v>1355</v>
      </c>
      <c r="AO13" s="1976">
        <f t="shared" si="6"/>
        <v>0</v>
      </c>
      <c r="AP13" s="1976">
        <f t="shared" si="6"/>
        <v>3189</v>
      </c>
      <c r="AQ13" s="1976">
        <f t="shared" si="6"/>
        <v>3189</v>
      </c>
      <c r="AR13" s="1977">
        <f t="shared" si="7"/>
        <v>1</v>
      </c>
      <c r="AS13" s="1976">
        <f t="shared" si="8"/>
        <v>123154</v>
      </c>
      <c r="AT13" s="1976">
        <f t="shared" si="8"/>
        <v>129026</v>
      </c>
      <c r="AU13" s="1976">
        <f t="shared" si="8"/>
        <v>125559</v>
      </c>
      <c r="AV13" s="1977">
        <f t="shared" si="9"/>
        <v>0.97312944677816871</v>
      </c>
      <c r="AW13" s="1976">
        <v>0</v>
      </c>
      <c r="AX13" s="1976">
        <v>0</v>
      </c>
      <c r="AY13" s="1976">
        <v>-589</v>
      </c>
    </row>
    <row r="14" spans="1:51" s="1974" customFormat="1" ht="49.5" customHeight="1" x14ac:dyDescent="0.5">
      <c r="A14" s="1975" t="s">
        <v>1356</v>
      </c>
      <c r="B14" s="1976">
        <v>83150</v>
      </c>
      <c r="C14" s="1976">
        <v>85430</v>
      </c>
      <c r="D14" s="1976">
        <v>82677</v>
      </c>
      <c r="E14" s="1977">
        <f t="shared" si="0"/>
        <v>0.96777478637480974</v>
      </c>
      <c r="F14" s="2021">
        <v>20020</v>
      </c>
      <c r="G14" s="2021">
        <v>20789</v>
      </c>
      <c r="H14" s="2021">
        <v>20219</v>
      </c>
      <c r="I14" s="1977">
        <f t="shared" si="1"/>
        <v>0.97258165375919958</v>
      </c>
      <c r="J14" s="2021">
        <v>3145</v>
      </c>
      <c r="K14" s="2021">
        <v>6345</v>
      </c>
      <c r="L14" s="2021">
        <v>4667</v>
      </c>
      <c r="M14" s="1977">
        <f t="shared" si="2"/>
        <v>0.73553979511426315</v>
      </c>
      <c r="N14" s="1975" t="s">
        <v>1356</v>
      </c>
      <c r="O14" s="1976">
        <v>0</v>
      </c>
      <c r="P14" s="1976">
        <v>0</v>
      </c>
      <c r="Q14" s="1976"/>
      <c r="R14" s="1977"/>
      <c r="S14" s="1976">
        <v>0</v>
      </c>
      <c r="T14" s="1976">
        <v>0</v>
      </c>
      <c r="U14" s="1976"/>
      <c r="V14" s="1977"/>
      <c r="W14" s="1976">
        <f t="shared" si="3"/>
        <v>106315</v>
      </c>
      <c r="X14" s="1976">
        <f t="shared" si="3"/>
        <v>112564</v>
      </c>
      <c r="Y14" s="1976">
        <f t="shared" si="3"/>
        <v>107563</v>
      </c>
      <c r="Z14" s="1977">
        <f t="shared" si="4"/>
        <v>0.95557194129561851</v>
      </c>
      <c r="AA14" s="1975" t="s">
        <v>1356</v>
      </c>
      <c r="AB14" s="1976">
        <v>0</v>
      </c>
      <c r="AC14" s="1976">
        <v>516</v>
      </c>
      <c r="AD14" s="1976">
        <v>516</v>
      </c>
      <c r="AE14" s="1977">
        <f t="shared" si="5"/>
        <v>1</v>
      </c>
      <c r="AF14" s="1976">
        <v>0</v>
      </c>
      <c r="AG14" s="1976">
        <v>1123</v>
      </c>
      <c r="AH14" s="1976">
        <v>1123</v>
      </c>
      <c r="AI14" s="1977">
        <f>AH14/AG14</f>
        <v>1</v>
      </c>
      <c r="AJ14" s="1976">
        <v>0</v>
      </c>
      <c r="AK14" s="1976">
        <v>0</v>
      </c>
      <c r="AL14" s="1976"/>
      <c r="AM14" s="1977"/>
      <c r="AN14" s="1975" t="s">
        <v>1356</v>
      </c>
      <c r="AO14" s="1976">
        <f t="shared" si="6"/>
        <v>0</v>
      </c>
      <c r="AP14" s="1976">
        <f t="shared" si="6"/>
        <v>1639</v>
      </c>
      <c r="AQ14" s="1976">
        <f t="shared" si="6"/>
        <v>1639</v>
      </c>
      <c r="AR14" s="1977">
        <f t="shared" si="7"/>
        <v>1</v>
      </c>
      <c r="AS14" s="1976">
        <f t="shared" si="8"/>
        <v>106315</v>
      </c>
      <c r="AT14" s="1976">
        <f t="shared" si="8"/>
        <v>114203</v>
      </c>
      <c r="AU14" s="1976">
        <f t="shared" si="8"/>
        <v>109202</v>
      </c>
      <c r="AV14" s="1977">
        <f t="shared" si="9"/>
        <v>0.95620955666663743</v>
      </c>
      <c r="AW14" s="1976">
        <v>0</v>
      </c>
      <c r="AX14" s="1976">
        <v>0</v>
      </c>
      <c r="AY14" s="1976">
        <v>-303</v>
      </c>
    </row>
    <row r="15" spans="1:51" s="1974" customFormat="1" ht="49.5" customHeight="1" x14ac:dyDescent="0.5">
      <c r="A15" s="1975" t="s">
        <v>1357</v>
      </c>
      <c r="B15" s="1976">
        <v>73918</v>
      </c>
      <c r="C15" s="1976">
        <v>77572</v>
      </c>
      <c r="D15" s="1976">
        <v>74889</v>
      </c>
      <c r="E15" s="1977">
        <f t="shared" si="0"/>
        <v>0.96541277780642498</v>
      </c>
      <c r="F15" s="2021">
        <v>16691</v>
      </c>
      <c r="G15" s="2021">
        <v>17526</v>
      </c>
      <c r="H15" s="2021">
        <v>16726</v>
      </c>
      <c r="I15" s="1977">
        <f t="shared" si="1"/>
        <v>0.95435353189546956</v>
      </c>
      <c r="J15" s="2021">
        <v>2950</v>
      </c>
      <c r="K15" s="2021">
        <v>5002</v>
      </c>
      <c r="L15" s="2021">
        <v>4082</v>
      </c>
      <c r="M15" s="1977">
        <f t="shared" si="2"/>
        <v>0.81607357057177132</v>
      </c>
      <c r="N15" s="1975" t="s">
        <v>1357</v>
      </c>
      <c r="O15" s="1976">
        <v>0</v>
      </c>
      <c r="P15" s="1976">
        <v>0</v>
      </c>
      <c r="Q15" s="1976"/>
      <c r="R15" s="1977"/>
      <c r="S15" s="1976">
        <v>0</v>
      </c>
      <c r="T15" s="1976">
        <v>0</v>
      </c>
      <c r="U15" s="1976"/>
      <c r="V15" s="1977"/>
      <c r="W15" s="1976">
        <f t="shared" si="3"/>
        <v>93559</v>
      </c>
      <c r="X15" s="1976">
        <f t="shared" si="3"/>
        <v>100100</v>
      </c>
      <c r="Y15" s="1976">
        <f t="shared" si="3"/>
        <v>95697</v>
      </c>
      <c r="Z15" s="1977">
        <f t="shared" si="4"/>
        <v>0.95601398601398602</v>
      </c>
      <c r="AA15" s="1975" t="s">
        <v>1357</v>
      </c>
      <c r="AB15" s="1976">
        <v>0</v>
      </c>
      <c r="AC15" s="1976">
        <v>461</v>
      </c>
      <c r="AD15" s="1976">
        <v>461</v>
      </c>
      <c r="AE15" s="1977">
        <f t="shared" si="5"/>
        <v>1</v>
      </c>
      <c r="AF15" s="1976">
        <v>0</v>
      </c>
      <c r="AG15" s="1976">
        <v>1811</v>
      </c>
      <c r="AH15" s="1976">
        <v>1811</v>
      </c>
      <c r="AI15" s="1977">
        <f>AH15/AG15</f>
        <v>1</v>
      </c>
      <c r="AJ15" s="1976">
        <v>0</v>
      </c>
      <c r="AK15" s="1976">
        <v>0</v>
      </c>
      <c r="AL15" s="1976"/>
      <c r="AM15" s="1977"/>
      <c r="AN15" s="1975" t="s">
        <v>1357</v>
      </c>
      <c r="AO15" s="1976">
        <f t="shared" si="6"/>
        <v>0</v>
      </c>
      <c r="AP15" s="1976">
        <f t="shared" si="6"/>
        <v>2272</v>
      </c>
      <c r="AQ15" s="1976">
        <f t="shared" si="6"/>
        <v>2272</v>
      </c>
      <c r="AR15" s="1977">
        <f t="shared" si="7"/>
        <v>1</v>
      </c>
      <c r="AS15" s="1976">
        <f t="shared" si="8"/>
        <v>93559</v>
      </c>
      <c r="AT15" s="1976">
        <f t="shared" si="8"/>
        <v>102372</v>
      </c>
      <c r="AU15" s="1976">
        <f t="shared" si="8"/>
        <v>97969</v>
      </c>
      <c r="AV15" s="1977">
        <f t="shared" si="9"/>
        <v>0.95699019263079743</v>
      </c>
      <c r="AW15" s="1976">
        <v>0</v>
      </c>
      <c r="AX15" s="1976">
        <v>0</v>
      </c>
      <c r="AY15" s="1976">
        <v>-583</v>
      </c>
    </row>
    <row r="16" spans="1:51" s="1974" customFormat="1" ht="49.5" customHeight="1" x14ac:dyDescent="0.5">
      <c r="A16" s="1975" t="s">
        <v>1358</v>
      </c>
      <c r="B16" s="1976">
        <v>61689</v>
      </c>
      <c r="C16" s="1976">
        <v>62436</v>
      </c>
      <c r="D16" s="1976">
        <v>61689</v>
      </c>
      <c r="E16" s="1977">
        <f t="shared" si="0"/>
        <v>0.98803574860657317</v>
      </c>
      <c r="F16" s="2021">
        <v>13914</v>
      </c>
      <c r="G16" s="2021">
        <v>13945</v>
      </c>
      <c r="H16" s="2021">
        <v>13797</v>
      </c>
      <c r="I16" s="1977">
        <f t="shared" si="1"/>
        <v>0.98938687701685191</v>
      </c>
      <c r="J16" s="2021">
        <v>2367</v>
      </c>
      <c r="K16" s="2021">
        <v>3857</v>
      </c>
      <c r="L16" s="2021">
        <v>3789</v>
      </c>
      <c r="M16" s="1977">
        <f t="shared" si="2"/>
        <v>0.98236971739694068</v>
      </c>
      <c r="N16" s="1975" t="s">
        <v>1358</v>
      </c>
      <c r="O16" s="1976">
        <v>0</v>
      </c>
      <c r="P16" s="1976">
        <v>0</v>
      </c>
      <c r="Q16" s="1976"/>
      <c r="R16" s="1977"/>
      <c r="S16" s="1976">
        <v>0</v>
      </c>
      <c r="T16" s="1976">
        <v>0</v>
      </c>
      <c r="U16" s="1976"/>
      <c r="V16" s="1977"/>
      <c r="W16" s="1976">
        <f t="shared" si="3"/>
        <v>77970</v>
      </c>
      <c r="X16" s="1976">
        <f t="shared" si="3"/>
        <v>80238</v>
      </c>
      <c r="Y16" s="1976">
        <f t="shared" si="3"/>
        <v>79275</v>
      </c>
      <c r="Z16" s="1977">
        <f t="shared" si="4"/>
        <v>0.98799820533911609</v>
      </c>
      <c r="AA16" s="1975" t="s">
        <v>1358</v>
      </c>
      <c r="AB16" s="1976">
        <v>0</v>
      </c>
      <c r="AC16" s="1976">
        <v>835</v>
      </c>
      <c r="AD16" s="1976">
        <v>834</v>
      </c>
      <c r="AE16" s="1977">
        <f t="shared" si="5"/>
        <v>0.99880239520958081</v>
      </c>
      <c r="AF16" s="1976">
        <v>0</v>
      </c>
      <c r="AG16" s="1976">
        <v>4606</v>
      </c>
      <c r="AH16" s="1976">
        <v>4605</v>
      </c>
      <c r="AI16" s="1977">
        <f t="shared" ref="AI16:AI23" si="10">AH16/AG16</f>
        <v>0.99978289188015634</v>
      </c>
      <c r="AJ16" s="1976">
        <v>0</v>
      </c>
      <c r="AK16" s="1976">
        <v>0</v>
      </c>
      <c r="AL16" s="1976"/>
      <c r="AM16" s="1977"/>
      <c r="AN16" s="1975" t="s">
        <v>1358</v>
      </c>
      <c r="AO16" s="1976">
        <f t="shared" si="6"/>
        <v>0</v>
      </c>
      <c r="AP16" s="1976">
        <f t="shared" si="6"/>
        <v>5441</v>
      </c>
      <c r="AQ16" s="1976">
        <f t="shared" si="6"/>
        <v>5439</v>
      </c>
      <c r="AR16" s="1977">
        <f t="shared" si="7"/>
        <v>0.99963242051093548</v>
      </c>
      <c r="AS16" s="1976">
        <f t="shared" si="8"/>
        <v>77970</v>
      </c>
      <c r="AT16" s="1976">
        <f t="shared" si="8"/>
        <v>85679</v>
      </c>
      <c r="AU16" s="1976">
        <f>Y16+AQ16</f>
        <v>84714</v>
      </c>
      <c r="AV16" s="1977">
        <f t="shared" si="9"/>
        <v>0.9887370300773819</v>
      </c>
      <c r="AW16" s="1976">
        <v>0</v>
      </c>
      <c r="AX16" s="1976">
        <v>0</v>
      </c>
      <c r="AY16" s="1976">
        <v>-141</v>
      </c>
    </row>
    <row r="17" spans="1:51" s="1974" customFormat="1" ht="49.5" customHeight="1" x14ac:dyDescent="0.5">
      <c r="A17" s="1975" t="s">
        <v>1359</v>
      </c>
      <c r="B17" s="1976">
        <v>62905</v>
      </c>
      <c r="C17" s="1976">
        <v>62720</v>
      </c>
      <c r="D17" s="1976">
        <v>61346</v>
      </c>
      <c r="E17" s="1977">
        <f t="shared" si="0"/>
        <v>0.97809311224489792</v>
      </c>
      <c r="F17" s="2021">
        <v>14175</v>
      </c>
      <c r="G17" s="2021">
        <v>14277</v>
      </c>
      <c r="H17" s="2021">
        <v>13988</v>
      </c>
      <c r="I17" s="1977">
        <f t="shared" si="1"/>
        <v>0.9797576521678224</v>
      </c>
      <c r="J17" s="2021">
        <v>2509</v>
      </c>
      <c r="K17" s="2021">
        <v>3794</v>
      </c>
      <c r="L17" s="2021">
        <v>3254</v>
      </c>
      <c r="M17" s="1977">
        <f t="shared" si="2"/>
        <v>0.85767000527148129</v>
      </c>
      <c r="N17" s="1975" t="s">
        <v>1359</v>
      </c>
      <c r="O17" s="1976">
        <v>0</v>
      </c>
      <c r="P17" s="1976">
        <v>0</v>
      </c>
      <c r="Q17" s="1976"/>
      <c r="R17" s="1977"/>
      <c r="S17" s="1976">
        <v>0</v>
      </c>
      <c r="T17" s="1976">
        <v>0</v>
      </c>
      <c r="U17" s="1976"/>
      <c r="V17" s="1977"/>
      <c r="W17" s="1976">
        <f t="shared" si="3"/>
        <v>79589</v>
      </c>
      <c r="X17" s="1976">
        <f t="shared" si="3"/>
        <v>80791</v>
      </c>
      <c r="Y17" s="1976">
        <f t="shared" si="3"/>
        <v>78588</v>
      </c>
      <c r="Z17" s="1977">
        <f t="shared" si="4"/>
        <v>0.97273211125001546</v>
      </c>
      <c r="AA17" s="1975" t="s">
        <v>1359</v>
      </c>
      <c r="AB17" s="1976">
        <v>0</v>
      </c>
      <c r="AC17" s="1976">
        <v>8547</v>
      </c>
      <c r="AD17" s="1978">
        <v>7751</v>
      </c>
      <c r="AE17" s="1977">
        <f t="shared" si="5"/>
        <v>0.90686790686790686</v>
      </c>
      <c r="AF17" s="1976">
        <v>0</v>
      </c>
      <c r="AG17" s="1976">
        <v>13298</v>
      </c>
      <c r="AH17" s="1976">
        <v>10298</v>
      </c>
      <c r="AI17" s="1977">
        <f t="shared" si="10"/>
        <v>0.77440216573920895</v>
      </c>
      <c r="AJ17" s="1976">
        <v>0</v>
      </c>
      <c r="AK17" s="1976">
        <v>0</v>
      </c>
      <c r="AL17" s="1976"/>
      <c r="AM17" s="1977"/>
      <c r="AN17" s="1975" t="s">
        <v>1359</v>
      </c>
      <c r="AO17" s="1976">
        <f t="shared" si="6"/>
        <v>0</v>
      </c>
      <c r="AP17" s="1976">
        <f t="shared" si="6"/>
        <v>21845</v>
      </c>
      <c r="AQ17" s="1976">
        <f t="shared" si="6"/>
        <v>18049</v>
      </c>
      <c r="AR17" s="1977">
        <f t="shared" si="7"/>
        <v>0.8262302586404211</v>
      </c>
      <c r="AS17" s="1976">
        <f t="shared" si="8"/>
        <v>79589</v>
      </c>
      <c r="AT17" s="1976">
        <f t="shared" si="8"/>
        <v>102636</v>
      </c>
      <c r="AU17" s="1976">
        <f t="shared" si="8"/>
        <v>96637</v>
      </c>
      <c r="AV17" s="1977">
        <f t="shared" si="9"/>
        <v>0.94155072294321684</v>
      </c>
      <c r="AW17" s="1976">
        <v>0</v>
      </c>
      <c r="AX17" s="1976">
        <v>0</v>
      </c>
      <c r="AY17" s="1976">
        <v>-3161</v>
      </c>
    </row>
    <row r="18" spans="1:51" s="1974" customFormat="1" ht="49.5" customHeight="1" x14ac:dyDescent="0.5">
      <c r="A18" s="1975" t="s">
        <v>1360</v>
      </c>
      <c r="B18" s="1976">
        <v>89964</v>
      </c>
      <c r="C18" s="1976">
        <v>93089</v>
      </c>
      <c r="D18" s="1976">
        <v>88930</v>
      </c>
      <c r="E18" s="1977">
        <f t="shared" si="0"/>
        <v>0.95532232594613753</v>
      </c>
      <c r="F18" s="2021">
        <v>21447</v>
      </c>
      <c r="G18" s="2021">
        <v>22199</v>
      </c>
      <c r="H18" s="2021">
        <v>21462</v>
      </c>
      <c r="I18" s="1977">
        <f t="shared" si="1"/>
        <v>0.9668003063201045</v>
      </c>
      <c r="J18" s="2021">
        <v>3262</v>
      </c>
      <c r="K18" s="2021">
        <v>5214</v>
      </c>
      <c r="L18" s="2021">
        <v>4159</v>
      </c>
      <c r="M18" s="1977">
        <f t="shared" si="2"/>
        <v>0.79766014576141153</v>
      </c>
      <c r="N18" s="1975" t="s">
        <v>1360</v>
      </c>
      <c r="O18" s="1976">
        <v>0</v>
      </c>
      <c r="P18" s="1976">
        <v>0</v>
      </c>
      <c r="Q18" s="1976"/>
      <c r="R18" s="1977"/>
      <c r="S18" s="1976">
        <v>0</v>
      </c>
      <c r="T18" s="1976">
        <v>0</v>
      </c>
      <c r="U18" s="1976"/>
      <c r="V18" s="1977"/>
      <c r="W18" s="1976">
        <f t="shared" si="3"/>
        <v>114673</v>
      </c>
      <c r="X18" s="1976">
        <f t="shared" si="3"/>
        <v>120502</v>
      </c>
      <c r="Y18" s="1976">
        <f t="shared" si="3"/>
        <v>114551</v>
      </c>
      <c r="Z18" s="1977">
        <f t="shared" si="4"/>
        <v>0.95061492755306964</v>
      </c>
      <c r="AA18" s="1975" t="s">
        <v>1360</v>
      </c>
      <c r="AB18" s="1976">
        <v>0</v>
      </c>
      <c r="AC18" s="1976">
        <v>658</v>
      </c>
      <c r="AD18" s="1976">
        <v>657</v>
      </c>
      <c r="AE18" s="1977">
        <f t="shared" si="5"/>
        <v>0.99848024316109418</v>
      </c>
      <c r="AF18" s="1976">
        <v>0</v>
      </c>
      <c r="AG18" s="1976">
        <v>0</v>
      </c>
      <c r="AH18" s="1976"/>
      <c r="AI18" s="1977"/>
      <c r="AJ18" s="1976">
        <v>0</v>
      </c>
      <c r="AK18" s="1976">
        <v>0</v>
      </c>
      <c r="AL18" s="1976"/>
      <c r="AM18" s="1977"/>
      <c r="AN18" s="1975" t="s">
        <v>1360</v>
      </c>
      <c r="AO18" s="1976">
        <f t="shared" si="6"/>
        <v>0</v>
      </c>
      <c r="AP18" s="1976">
        <f t="shared" si="6"/>
        <v>658</v>
      </c>
      <c r="AQ18" s="1976">
        <f t="shared" si="6"/>
        <v>657</v>
      </c>
      <c r="AR18" s="1977">
        <f t="shared" si="7"/>
        <v>0.99848024316109418</v>
      </c>
      <c r="AS18" s="1976">
        <f t="shared" si="8"/>
        <v>114673</v>
      </c>
      <c r="AT18" s="1976">
        <f t="shared" si="8"/>
        <v>121160</v>
      </c>
      <c r="AU18" s="1976">
        <f t="shared" si="8"/>
        <v>115208</v>
      </c>
      <c r="AV18" s="1977">
        <f t="shared" si="9"/>
        <v>0.95087487619676458</v>
      </c>
      <c r="AW18" s="1976">
        <v>0</v>
      </c>
      <c r="AX18" s="1976">
        <v>0</v>
      </c>
      <c r="AY18" s="1976">
        <v>-322</v>
      </c>
    </row>
    <row r="19" spans="1:51" s="1974" customFormat="1" ht="49.5" customHeight="1" x14ac:dyDescent="0.5">
      <c r="A19" s="1975" t="s">
        <v>1361</v>
      </c>
      <c r="B19" s="1976">
        <v>102087</v>
      </c>
      <c r="C19" s="1976">
        <v>104291</v>
      </c>
      <c r="D19" s="1976">
        <v>103047</v>
      </c>
      <c r="E19" s="1977">
        <f t="shared" si="0"/>
        <v>0.98807183745481397</v>
      </c>
      <c r="F19" s="2021">
        <v>24340</v>
      </c>
      <c r="G19" s="2021">
        <v>25064</v>
      </c>
      <c r="H19" s="2021">
        <v>24825</v>
      </c>
      <c r="I19" s="1977">
        <f t="shared" si="1"/>
        <v>0.99046441110756467</v>
      </c>
      <c r="J19" s="2021">
        <v>3491</v>
      </c>
      <c r="K19" s="2021">
        <v>14743</v>
      </c>
      <c r="L19" s="2021">
        <v>13690</v>
      </c>
      <c r="M19" s="1977">
        <f t="shared" si="2"/>
        <v>0.92857627348572203</v>
      </c>
      <c r="N19" s="1975" t="s">
        <v>1361</v>
      </c>
      <c r="O19" s="1976">
        <v>0</v>
      </c>
      <c r="P19" s="1976">
        <v>0</v>
      </c>
      <c r="Q19" s="1976"/>
      <c r="R19" s="1977"/>
      <c r="S19" s="1976">
        <v>0</v>
      </c>
      <c r="T19" s="1976">
        <v>0</v>
      </c>
      <c r="U19" s="1976"/>
      <c r="V19" s="1977"/>
      <c r="W19" s="1976">
        <f t="shared" si="3"/>
        <v>129918</v>
      </c>
      <c r="X19" s="1976">
        <f t="shared" si="3"/>
        <v>144098</v>
      </c>
      <c r="Y19" s="1976">
        <f t="shared" si="3"/>
        <v>141562</v>
      </c>
      <c r="Z19" s="1977">
        <f t="shared" si="4"/>
        <v>0.98240086607725297</v>
      </c>
      <c r="AA19" s="1975" t="s">
        <v>1361</v>
      </c>
      <c r="AB19" s="1976">
        <v>0</v>
      </c>
      <c r="AC19" s="1976">
        <v>1981</v>
      </c>
      <c r="AD19" s="1976">
        <v>1980</v>
      </c>
      <c r="AE19" s="1977">
        <f t="shared" si="5"/>
        <v>0.99949520444220086</v>
      </c>
      <c r="AF19" s="1976">
        <v>0</v>
      </c>
      <c r="AG19" s="1976">
        <v>9094</v>
      </c>
      <c r="AH19" s="1976">
        <v>9094</v>
      </c>
      <c r="AI19" s="1977">
        <f t="shared" si="10"/>
        <v>1</v>
      </c>
      <c r="AJ19" s="1976">
        <v>0</v>
      </c>
      <c r="AK19" s="1976">
        <v>0</v>
      </c>
      <c r="AL19" s="1976"/>
      <c r="AM19" s="1977"/>
      <c r="AN19" s="1975" t="s">
        <v>1361</v>
      </c>
      <c r="AO19" s="1976">
        <f t="shared" si="6"/>
        <v>0</v>
      </c>
      <c r="AP19" s="1976">
        <f t="shared" si="6"/>
        <v>11075</v>
      </c>
      <c r="AQ19" s="1976">
        <f t="shared" si="6"/>
        <v>11074</v>
      </c>
      <c r="AR19" s="1977">
        <f t="shared" si="7"/>
        <v>0.99990970654627542</v>
      </c>
      <c r="AS19" s="1976">
        <f t="shared" si="8"/>
        <v>129918</v>
      </c>
      <c r="AT19" s="1976">
        <f t="shared" si="8"/>
        <v>155173</v>
      </c>
      <c r="AU19" s="1976">
        <f t="shared" si="8"/>
        <v>152636</v>
      </c>
      <c r="AV19" s="1977">
        <f t="shared" si="9"/>
        <v>0.9836505062091988</v>
      </c>
      <c r="AW19" s="1976">
        <v>0</v>
      </c>
      <c r="AX19" s="1976">
        <v>0</v>
      </c>
      <c r="AY19" s="1976">
        <v>-286</v>
      </c>
    </row>
    <row r="20" spans="1:51" s="1974" customFormat="1" ht="49.5" customHeight="1" x14ac:dyDescent="0.5">
      <c r="A20" s="1975" t="s">
        <v>1362</v>
      </c>
      <c r="B20" s="1976">
        <v>49767</v>
      </c>
      <c r="C20" s="1976">
        <v>51399</v>
      </c>
      <c r="D20" s="1976">
        <v>50732</v>
      </c>
      <c r="E20" s="1977">
        <f t="shared" si="0"/>
        <v>0.98702309383451037</v>
      </c>
      <c r="F20" s="2021">
        <v>11213</v>
      </c>
      <c r="G20" s="2021">
        <v>11606</v>
      </c>
      <c r="H20" s="2021">
        <v>11402</v>
      </c>
      <c r="I20" s="1977">
        <f t="shared" si="1"/>
        <v>0.98242288471480266</v>
      </c>
      <c r="J20" s="2021">
        <v>2244</v>
      </c>
      <c r="K20" s="2021">
        <v>2947</v>
      </c>
      <c r="L20" s="2021">
        <v>2499</v>
      </c>
      <c r="M20" s="1977">
        <f t="shared" si="2"/>
        <v>0.84798099762470314</v>
      </c>
      <c r="N20" s="1975" t="s">
        <v>1362</v>
      </c>
      <c r="O20" s="1976">
        <v>0</v>
      </c>
      <c r="P20" s="1976">
        <v>0</v>
      </c>
      <c r="Q20" s="1976"/>
      <c r="R20" s="1977"/>
      <c r="S20" s="1976">
        <v>0</v>
      </c>
      <c r="T20" s="1976">
        <v>0</v>
      </c>
      <c r="U20" s="1976"/>
      <c r="V20" s="1977"/>
      <c r="W20" s="1976">
        <f t="shared" si="3"/>
        <v>63224</v>
      </c>
      <c r="X20" s="1976">
        <f t="shared" si="3"/>
        <v>65952</v>
      </c>
      <c r="Y20" s="1976">
        <f t="shared" si="3"/>
        <v>64633</v>
      </c>
      <c r="Z20" s="1977">
        <f t="shared" si="4"/>
        <v>0.98000060650169818</v>
      </c>
      <c r="AA20" s="1975" t="s">
        <v>1362</v>
      </c>
      <c r="AB20" s="1976">
        <v>0</v>
      </c>
      <c r="AC20" s="1976">
        <v>787</v>
      </c>
      <c r="AD20" s="1976">
        <v>787</v>
      </c>
      <c r="AE20" s="1977">
        <f t="shared" si="5"/>
        <v>1</v>
      </c>
      <c r="AF20" s="1976">
        <v>0</v>
      </c>
      <c r="AG20" s="1976">
        <v>0</v>
      </c>
      <c r="AH20" s="1976"/>
      <c r="AI20" s="1977"/>
      <c r="AJ20" s="1976">
        <v>0</v>
      </c>
      <c r="AK20" s="1976">
        <v>0</v>
      </c>
      <c r="AL20" s="1976"/>
      <c r="AM20" s="1977"/>
      <c r="AN20" s="1975" t="s">
        <v>1362</v>
      </c>
      <c r="AO20" s="1976">
        <f t="shared" si="6"/>
        <v>0</v>
      </c>
      <c r="AP20" s="1976">
        <f t="shared" si="6"/>
        <v>787</v>
      </c>
      <c r="AQ20" s="1976">
        <f t="shared" si="6"/>
        <v>787</v>
      </c>
      <c r="AR20" s="1977">
        <f t="shared" si="7"/>
        <v>1</v>
      </c>
      <c r="AS20" s="1976">
        <f t="shared" si="8"/>
        <v>63224</v>
      </c>
      <c r="AT20" s="1976">
        <f t="shared" si="8"/>
        <v>66739</v>
      </c>
      <c r="AU20" s="1976">
        <f t="shared" si="8"/>
        <v>65420</v>
      </c>
      <c r="AV20" s="1977">
        <f t="shared" si="9"/>
        <v>0.9802364434588472</v>
      </c>
      <c r="AW20" s="1976">
        <v>0</v>
      </c>
      <c r="AX20" s="1976">
        <v>0</v>
      </c>
      <c r="AY20" s="1976">
        <v>-236</v>
      </c>
    </row>
    <row r="21" spans="1:51" s="1974" customFormat="1" ht="49.5" customHeight="1" x14ac:dyDescent="0.5">
      <c r="A21" s="1975" t="s">
        <v>1152</v>
      </c>
      <c r="B21" s="1976">
        <v>42773</v>
      </c>
      <c r="C21" s="1976">
        <v>43411</v>
      </c>
      <c r="D21" s="1976">
        <v>41340</v>
      </c>
      <c r="E21" s="1977">
        <f t="shared" si="0"/>
        <v>0.9522931975766511</v>
      </c>
      <c r="F21" s="2021">
        <v>9568</v>
      </c>
      <c r="G21" s="2021">
        <v>9826</v>
      </c>
      <c r="H21" s="2021">
        <v>9463</v>
      </c>
      <c r="I21" s="1977">
        <f t="shared" si="1"/>
        <v>0.96305719519641764</v>
      </c>
      <c r="J21" s="2021">
        <v>2156</v>
      </c>
      <c r="K21" s="2021">
        <v>3769</v>
      </c>
      <c r="L21" s="2021">
        <v>3035</v>
      </c>
      <c r="M21" s="1977">
        <f t="shared" si="2"/>
        <v>0.80525338286017512</v>
      </c>
      <c r="N21" s="1975" t="s">
        <v>1152</v>
      </c>
      <c r="O21" s="1976">
        <v>0</v>
      </c>
      <c r="P21" s="1976">
        <v>0</v>
      </c>
      <c r="Q21" s="1976"/>
      <c r="R21" s="1977"/>
      <c r="S21" s="1976">
        <v>0</v>
      </c>
      <c r="T21" s="1976">
        <v>0</v>
      </c>
      <c r="U21" s="1976"/>
      <c r="V21" s="1977"/>
      <c r="W21" s="1976">
        <f t="shared" si="3"/>
        <v>54497</v>
      </c>
      <c r="X21" s="1976">
        <f t="shared" si="3"/>
        <v>57006</v>
      </c>
      <c r="Y21" s="1976">
        <f t="shared" si="3"/>
        <v>53838</v>
      </c>
      <c r="Z21" s="1977">
        <f t="shared" si="4"/>
        <v>0.94442690243132299</v>
      </c>
      <c r="AA21" s="1975" t="s">
        <v>1152</v>
      </c>
      <c r="AB21" s="1976">
        <v>0</v>
      </c>
      <c r="AC21" s="1976">
        <v>3962</v>
      </c>
      <c r="AD21" s="1976">
        <v>3962</v>
      </c>
      <c r="AE21" s="1977">
        <f t="shared" si="5"/>
        <v>1</v>
      </c>
      <c r="AF21" s="1976">
        <v>0</v>
      </c>
      <c r="AG21" s="1976">
        <v>0</v>
      </c>
      <c r="AH21" s="1976"/>
      <c r="AI21" s="1977"/>
      <c r="AJ21" s="1976">
        <v>0</v>
      </c>
      <c r="AK21" s="1976">
        <v>0</v>
      </c>
      <c r="AL21" s="1976"/>
      <c r="AM21" s="1977"/>
      <c r="AN21" s="1975" t="s">
        <v>1152</v>
      </c>
      <c r="AO21" s="1976">
        <f t="shared" si="6"/>
        <v>0</v>
      </c>
      <c r="AP21" s="1976">
        <f t="shared" si="6"/>
        <v>3962</v>
      </c>
      <c r="AQ21" s="1976">
        <f t="shared" si="6"/>
        <v>3962</v>
      </c>
      <c r="AR21" s="1977">
        <f t="shared" si="7"/>
        <v>1</v>
      </c>
      <c r="AS21" s="1976">
        <f t="shared" si="8"/>
        <v>54497</v>
      </c>
      <c r="AT21" s="1976">
        <f t="shared" si="8"/>
        <v>60968</v>
      </c>
      <c r="AU21" s="1976">
        <f t="shared" si="8"/>
        <v>57800</v>
      </c>
      <c r="AV21" s="1977">
        <f t="shared" si="9"/>
        <v>0.94803831518173465</v>
      </c>
      <c r="AW21" s="1976">
        <v>0</v>
      </c>
      <c r="AX21" s="1976">
        <v>0</v>
      </c>
      <c r="AY21" s="1976">
        <v>-154</v>
      </c>
    </row>
    <row r="22" spans="1:51" s="1974" customFormat="1" ht="49.5" customHeight="1" x14ac:dyDescent="0.5">
      <c r="A22" s="1975" t="s">
        <v>1363</v>
      </c>
      <c r="B22" s="1976">
        <v>51294</v>
      </c>
      <c r="C22" s="1976">
        <v>51999</v>
      </c>
      <c r="D22" s="1976">
        <v>51805</v>
      </c>
      <c r="E22" s="1977">
        <f t="shared" si="0"/>
        <v>0.99626915902228885</v>
      </c>
      <c r="F22" s="2021">
        <v>11612</v>
      </c>
      <c r="G22" s="2021">
        <v>11999</v>
      </c>
      <c r="H22" s="2021">
        <v>11961</v>
      </c>
      <c r="I22" s="1977">
        <f t="shared" si="1"/>
        <v>0.99683306942245187</v>
      </c>
      <c r="J22" s="2021">
        <v>2645</v>
      </c>
      <c r="K22" s="2021">
        <v>4024</v>
      </c>
      <c r="L22" s="2021">
        <v>3125</v>
      </c>
      <c r="M22" s="1977">
        <f t="shared" si="2"/>
        <v>0.77659045725646125</v>
      </c>
      <c r="N22" s="1975" t="s">
        <v>1363</v>
      </c>
      <c r="O22" s="1976">
        <v>0</v>
      </c>
      <c r="P22" s="1976">
        <v>0</v>
      </c>
      <c r="Q22" s="1976"/>
      <c r="R22" s="1977"/>
      <c r="S22" s="1976">
        <v>0</v>
      </c>
      <c r="T22" s="1976">
        <v>0</v>
      </c>
      <c r="U22" s="1976"/>
      <c r="V22" s="1977"/>
      <c r="W22" s="1976">
        <f t="shared" si="3"/>
        <v>65551</v>
      </c>
      <c r="X22" s="1976">
        <f t="shared" si="3"/>
        <v>68022</v>
      </c>
      <c r="Y22" s="1976">
        <f t="shared" si="3"/>
        <v>66891</v>
      </c>
      <c r="Z22" s="1977">
        <f t="shared" si="4"/>
        <v>0.98337302637382018</v>
      </c>
      <c r="AA22" s="1975" t="s">
        <v>1363</v>
      </c>
      <c r="AB22" s="1976">
        <v>0</v>
      </c>
      <c r="AC22" s="1976">
        <v>501</v>
      </c>
      <c r="AD22" s="1976">
        <v>500</v>
      </c>
      <c r="AE22" s="1977">
        <f t="shared" si="5"/>
        <v>0.99800399201596801</v>
      </c>
      <c r="AF22" s="1976">
        <v>0</v>
      </c>
      <c r="AG22" s="1976">
        <v>15998</v>
      </c>
      <c r="AH22" s="1976">
        <v>15998</v>
      </c>
      <c r="AI22" s="1977">
        <f t="shared" si="10"/>
        <v>1</v>
      </c>
      <c r="AJ22" s="1976">
        <v>0</v>
      </c>
      <c r="AK22" s="1976">
        <v>0</v>
      </c>
      <c r="AL22" s="1976"/>
      <c r="AM22" s="1977"/>
      <c r="AN22" s="1975" t="s">
        <v>1363</v>
      </c>
      <c r="AO22" s="1976">
        <f t="shared" si="6"/>
        <v>0</v>
      </c>
      <c r="AP22" s="1976">
        <f t="shared" si="6"/>
        <v>16499</v>
      </c>
      <c r="AQ22" s="1976">
        <f t="shared" si="6"/>
        <v>16498</v>
      </c>
      <c r="AR22" s="1977">
        <f t="shared" si="7"/>
        <v>0.9999393902660767</v>
      </c>
      <c r="AS22" s="1976">
        <f t="shared" si="8"/>
        <v>65551</v>
      </c>
      <c r="AT22" s="1976">
        <f t="shared" si="8"/>
        <v>84521</v>
      </c>
      <c r="AU22" s="1976">
        <f t="shared" si="8"/>
        <v>83389</v>
      </c>
      <c r="AV22" s="1977">
        <f t="shared" si="9"/>
        <v>0.98660687876385755</v>
      </c>
      <c r="AW22" s="1976">
        <v>0</v>
      </c>
      <c r="AX22" s="1976">
        <v>0</v>
      </c>
      <c r="AY22" s="1976">
        <v>-75</v>
      </c>
    </row>
    <row r="23" spans="1:51" s="1974" customFormat="1" ht="49.5" customHeight="1" x14ac:dyDescent="0.5">
      <c r="A23" s="1975" t="s">
        <v>1364</v>
      </c>
      <c r="B23" s="1976">
        <v>69694</v>
      </c>
      <c r="C23" s="1976">
        <v>71214</v>
      </c>
      <c r="D23" s="1976">
        <v>68487</v>
      </c>
      <c r="E23" s="1977">
        <f t="shared" si="0"/>
        <v>0.96170696773106412</v>
      </c>
      <c r="F23" s="2021">
        <v>15584</v>
      </c>
      <c r="G23" s="2021">
        <v>15836</v>
      </c>
      <c r="H23" s="2021">
        <v>15236</v>
      </c>
      <c r="I23" s="1977">
        <f t="shared" si="1"/>
        <v>0.96211164435463503</v>
      </c>
      <c r="J23" s="2021">
        <v>2806</v>
      </c>
      <c r="K23" s="2021">
        <v>4633</v>
      </c>
      <c r="L23" s="2021">
        <v>4030</v>
      </c>
      <c r="M23" s="1977">
        <f t="shared" si="2"/>
        <v>0.8698467515648608</v>
      </c>
      <c r="N23" s="1975" t="s">
        <v>1364</v>
      </c>
      <c r="O23" s="1976">
        <v>0</v>
      </c>
      <c r="P23" s="1976">
        <v>0</v>
      </c>
      <c r="Q23" s="1976"/>
      <c r="R23" s="1977"/>
      <c r="S23" s="1976">
        <v>0</v>
      </c>
      <c r="T23" s="1976">
        <v>0</v>
      </c>
      <c r="U23" s="1976"/>
      <c r="V23" s="1977"/>
      <c r="W23" s="1976">
        <f t="shared" si="3"/>
        <v>88084</v>
      </c>
      <c r="X23" s="1976">
        <f t="shared" si="3"/>
        <v>91683</v>
      </c>
      <c r="Y23" s="1976">
        <f t="shared" si="3"/>
        <v>87753</v>
      </c>
      <c r="Z23" s="1977">
        <f t="shared" si="4"/>
        <v>0.95713491050685517</v>
      </c>
      <c r="AA23" s="1975" t="s">
        <v>1364</v>
      </c>
      <c r="AB23" s="1976">
        <v>0</v>
      </c>
      <c r="AC23" s="1976">
        <v>674</v>
      </c>
      <c r="AD23" s="1976">
        <v>674</v>
      </c>
      <c r="AE23" s="1977">
        <f t="shared" si="5"/>
        <v>1</v>
      </c>
      <c r="AF23" s="1976">
        <v>0</v>
      </c>
      <c r="AG23" s="1976">
        <v>7709</v>
      </c>
      <c r="AH23" s="1976">
        <v>7708</v>
      </c>
      <c r="AI23" s="1977">
        <f t="shared" si="10"/>
        <v>0.99987028148916846</v>
      </c>
      <c r="AJ23" s="1976">
        <v>0</v>
      </c>
      <c r="AK23" s="1976">
        <v>0</v>
      </c>
      <c r="AL23" s="1976"/>
      <c r="AM23" s="1977"/>
      <c r="AN23" s="1975" t="s">
        <v>1364</v>
      </c>
      <c r="AO23" s="1976">
        <f t="shared" si="6"/>
        <v>0</v>
      </c>
      <c r="AP23" s="1976">
        <f t="shared" si="6"/>
        <v>8383</v>
      </c>
      <c r="AQ23" s="1976">
        <f t="shared" si="6"/>
        <v>8382</v>
      </c>
      <c r="AR23" s="1977">
        <f t="shared" si="7"/>
        <v>0.99988071096266251</v>
      </c>
      <c r="AS23" s="1976">
        <f t="shared" si="8"/>
        <v>88084</v>
      </c>
      <c r="AT23" s="1976">
        <f t="shared" si="8"/>
        <v>100066</v>
      </c>
      <c r="AU23" s="1976">
        <f t="shared" si="8"/>
        <v>96135</v>
      </c>
      <c r="AV23" s="1977">
        <f t="shared" si="9"/>
        <v>0.96071592748785806</v>
      </c>
      <c r="AW23" s="1976">
        <v>0</v>
      </c>
      <c r="AX23" s="1976">
        <v>0</v>
      </c>
      <c r="AY23" s="1976">
        <v>-356</v>
      </c>
    </row>
    <row r="24" spans="1:51" s="1974" customFormat="1" ht="49.5" customHeight="1" x14ac:dyDescent="0.5">
      <c r="A24" s="1975" t="s">
        <v>1156</v>
      </c>
      <c r="B24" s="1976">
        <v>97643</v>
      </c>
      <c r="C24" s="1976">
        <v>100059</v>
      </c>
      <c r="D24" s="1976">
        <v>97701</v>
      </c>
      <c r="E24" s="1977">
        <f t="shared" si="0"/>
        <v>0.97643390399664198</v>
      </c>
      <c r="F24" s="2021">
        <v>23620</v>
      </c>
      <c r="G24" s="2021">
        <v>24031</v>
      </c>
      <c r="H24" s="2021">
        <v>23530</v>
      </c>
      <c r="I24" s="1977">
        <f t="shared" si="1"/>
        <v>0.97915192875868673</v>
      </c>
      <c r="J24" s="2021">
        <v>3272</v>
      </c>
      <c r="K24" s="2021">
        <v>7038</v>
      </c>
      <c r="L24" s="2021">
        <v>6341</v>
      </c>
      <c r="M24" s="1977">
        <f t="shared" si="2"/>
        <v>0.90096618357487923</v>
      </c>
      <c r="N24" s="1975" t="s">
        <v>1156</v>
      </c>
      <c r="O24" s="1976">
        <v>0</v>
      </c>
      <c r="P24" s="1976">
        <v>0</v>
      </c>
      <c r="Q24" s="1976"/>
      <c r="R24" s="1977"/>
      <c r="S24" s="1976">
        <v>0</v>
      </c>
      <c r="T24" s="1976">
        <v>0</v>
      </c>
      <c r="U24" s="1976"/>
      <c r="V24" s="1977"/>
      <c r="W24" s="1976">
        <f t="shared" si="3"/>
        <v>124535</v>
      </c>
      <c r="X24" s="1976">
        <f t="shared" si="3"/>
        <v>131128</v>
      </c>
      <c r="Y24" s="1976">
        <f t="shared" si="3"/>
        <v>127572</v>
      </c>
      <c r="Z24" s="1977">
        <f t="shared" si="4"/>
        <v>0.9728814593374413</v>
      </c>
      <c r="AA24" s="1975" t="s">
        <v>1156</v>
      </c>
      <c r="AB24" s="1976">
        <v>0</v>
      </c>
      <c r="AC24" s="1976">
        <v>705</v>
      </c>
      <c r="AD24" s="1976">
        <v>705</v>
      </c>
      <c r="AE24" s="1977">
        <f t="shared" si="5"/>
        <v>1</v>
      </c>
      <c r="AF24" s="1976">
        <v>0</v>
      </c>
      <c r="AG24" s="1976">
        <v>0</v>
      </c>
      <c r="AH24" s="1976"/>
      <c r="AI24" s="1977"/>
      <c r="AJ24" s="1976">
        <v>0</v>
      </c>
      <c r="AK24" s="1976">
        <v>0</v>
      </c>
      <c r="AL24" s="1976"/>
      <c r="AM24" s="1977"/>
      <c r="AN24" s="1975" t="s">
        <v>1156</v>
      </c>
      <c r="AO24" s="1976">
        <f t="shared" si="6"/>
        <v>0</v>
      </c>
      <c r="AP24" s="1976">
        <f t="shared" si="6"/>
        <v>705</v>
      </c>
      <c r="AQ24" s="1976">
        <f t="shared" si="6"/>
        <v>705</v>
      </c>
      <c r="AR24" s="1977">
        <f t="shared" si="7"/>
        <v>1</v>
      </c>
      <c r="AS24" s="1976">
        <f t="shared" si="8"/>
        <v>124535</v>
      </c>
      <c r="AT24" s="1976">
        <f t="shared" si="8"/>
        <v>131833</v>
      </c>
      <c r="AU24" s="1976">
        <f t="shared" si="8"/>
        <v>128277</v>
      </c>
      <c r="AV24" s="1977">
        <f t="shared" si="9"/>
        <v>0.97302648047150564</v>
      </c>
      <c r="AW24" s="1976">
        <v>0</v>
      </c>
      <c r="AX24" s="1976">
        <v>0</v>
      </c>
      <c r="AY24" s="1976">
        <v>-222</v>
      </c>
    </row>
    <row r="25" spans="1:51" s="1974" customFormat="1" ht="49.5" customHeight="1" x14ac:dyDescent="0.5">
      <c r="A25" s="1975" t="s">
        <v>1386</v>
      </c>
      <c r="B25" s="1976">
        <v>75411</v>
      </c>
      <c r="C25" s="1976">
        <v>77865</v>
      </c>
      <c r="D25" s="1976">
        <v>73087</v>
      </c>
      <c r="E25" s="1977">
        <f t="shared" si="0"/>
        <v>0.93863738521800555</v>
      </c>
      <c r="F25" s="2021">
        <v>17003</v>
      </c>
      <c r="G25" s="2021">
        <v>17662</v>
      </c>
      <c r="H25" s="2021">
        <v>16610</v>
      </c>
      <c r="I25" s="1977">
        <f t="shared" si="1"/>
        <v>0.9404370965915525</v>
      </c>
      <c r="J25" s="2021">
        <v>2799</v>
      </c>
      <c r="K25" s="2021">
        <v>5320</v>
      </c>
      <c r="L25" s="2021">
        <v>4326</v>
      </c>
      <c r="M25" s="1977">
        <f t="shared" si="2"/>
        <v>0.81315789473684208</v>
      </c>
      <c r="N25" s="1975" t="s">
        <v>1386</v>
      </c>
      <c r="O25" s="1976">
        <v>0</v>
      </c>
      <c r="P25" s="1976">
        <v>0</v>
      </c>
      <c r="Q25" s="1976"/>
      <c r="R25" s="1977"/>
      <c r="S25" s="1976">
        <v>0</v>
      </c>
      <c r="T25" s="1976">
        <v>0</v>
      </c>
      <c r="U25" s="1976"/>
      <c r="V25" s="1977"/>
      <c r="W25" s="1976">
        <f t="shared" si="3"/>
        <v>95213</v>
      </c>
      <c r="X25" s="1976">
        <f t="shared" si="3"/>
        <v>100847</v>
      </c>
      <c r="Y25" s="1976">
        <f t="shared" si="3"/>
        <v>94023</v>
      </c>
      <c r="Z25" s="1977">
        <f t="shared" si="4"/>
        <v>0.93233313831844278</v>
      </c>
      <c r="AA25" s="1975" t="s">
        <v>1386</v>
      </c>
      <c r="AB25" s="1976">
        <v>0</v>
      </c>
      <c r="AC25" s="1976">
        <v>1661</v>
      </c>
      <c r="AD25" s="1976">
        <v>1660</v>
      </c>
      <c r="AE25" s="1977">
        <f t="shared" si="5"/>
        <v>0.99939795304033718</v>
      </c>
      <c r="AF25" s="1976">
        <v>0</v>
      </c>
      <c r="AG25" s="1976">
        <v>0</v>
      </c>
      <c r="AH25" s="1976"/>
      <c r="AI25" s="1977"/>
      <c r="AJ25" s="1976">
        <v>0</v>
      </c>
      <c r="AK25" s="1976">
        <v>0</v>
      </c>
      <c r="AL25" s="1976"/>
      <c r="AM25" s="1977"/>
      <c r="AN25" s="1975" t="s">
        <v>1386</v>
      </c>
      <c r="AO25" s="1976">
        <f t="shared" si="6"/>
        <v>0</v>
      </c>
      <c r="AP25" s="1976">
        <f t="shared" si="6"/>
        <v>1661</v>
      </c>
      <c r="AQ25" s="1976">
        <f t="shared" si="6"/>
        <v>1660</v>
      </c>
      <c r="AR25" s="1977">
        <f t="shared" si="7"/>
        <v>0.99939795304033718</v>
      </c>
      <c r="AS25" s="1976">
        <f t="shared" si="8"/>
        <v>95213</v>
      </c>
      <c r="AT25" s="1976">
        <f t="shared" si="8"/>
        <v>102508</v>
      </c>
      <c r="AU25" s="1976">
        <f t="shared" si="8"/>
        <v>95683</v>
      </c>
      <c r="AV25" s="1977">
        <f t="shared" si="9"/>
        <v>0.93341983064736411</v>
      </c>
      <c r="AW25" s="1976">
        <v>0</v>
      </c>
      <c r="AX25" s="1976">
        <v>0</v>
      </c>
      <c r="AY25" s="1976">
        <v>-147</v>
      </c>
    </row>
    <row r="26" spans="1:51" s="1974" customFormat="1" ht="49.5" customHeight="1" x14ac:dyDescent="0.5">
      <c r="A26" s="1975" t="s">
        <v>1365</v>
      </c>
      <c r="B26" s="1976">
        <v>56249</v>
      </c>
      <c r="C26" s="1976">
        <v>57394</v>
      </c>
      <c r="D26" s="1976">
        <v>55590</v>
      </c>
      <c r="E26" s="1977">
        <f t="shared" si="0"/>
        <v>0.96856814301146466</v>
      </c>
      <c r="F26" s="2021">
        <v>12593</v>
      </c>
      <c r="G26" s="2021">
        <v>12780</v>
      </c>
      <c r="H26" s="2021">
        <v>12442</v>
      </c>
      <c r="I26" s="1977">
        <f t="shared" si="1"/>
        <v>0.97355242566510169</v>
      </c>
      <c r="J26" s="2021">
        <v>2315</v>
      </c>
      <c r="K26" s="2021">
        <v>4681</v>
      </c>
      <c r="L26" s="2021">
        <v>3075</v>
      </c>
      <c r="M26" s="1977">
        <f t="shared" si="2"/>
        <v>0.65691091647083955</v>
      </c>
      <c r="N26" s="1975" t="s">
        <v>1365</v>
      </c>
      <c r="O26" s="1976">
        <v>0</v>
      </c>
      <c r="P26" s="1976">
        <v>0</v>
      </c>
      <c r="Q26" s="1976"/>
      <c r="R26" s="1977"/>
      <c r="S26" s="1976">
        <v>0</v>
      </c>
      <c r="T26" s="1976">
        <v>0</v>
      </c>
      <c r="U26" s="1976"/>
      <c r="V26" s="1977"/>
      <c r="W26" s="1976">
        <f t="shared" si="3"/>
        <v>71157</v>
      </c>
      <c r="X26" s="1976">
        <f t="shared" si="3"/>
        <v>74855</v>
      </c>
      <c r="Y26" s="1976">
        <f t="shared" si="3"/>
        <v>71107</v>
      </c>
      <c r="Z26" s="1977">
        <f t="shared" si="4"/>
        <v>0.94992986440451543</v>
      </c>
      <c r="AA26" s="1975" t="s">
        <v>1365</v>
      </c>
      <c r="AB26" s="1976">
        <v>0</v>
      </c>
      <c r="AC26" s="1976">
        <v>930</v>
      </c>
      <c r="AD26" s="1976">
        <v>929</v>
      </c>
      <c r="AE26" s="1977">
        <f t="shared" si="5"/>
        <v>0.99892473118279568</v>
      </c>
      <c r="AF26" s="1976">
        <v>0</v>
      </c>
      <c r="AG26" s="1976">
        <v>1249</v>
      </c>
      <c r="AH26" s="1976">
        <v>1248</v>
      </c>
      <c r="AI26" s="1977">
        <f>AH26/AG26</f>
        <v>0.99919935948759009</v>
      </c>
      <c r="AJ26" s="1976">
        <v>0</v>
      </c>
      <c r="AK26" s="1976">
        <v>0</v>
      </c>
      <c r="AL26" s="1976"/>
      <c r="AM26" s="1977"/>
      <c r="AN26" s="1975" t="s">
        <v>1365</v>
      </c>
      <c r="AO26" s="1976">
        <f t="shared" si="6"/>
        <v>0</v>
      </c>
      <c r="AP26" s="1976">
        <f t="shared" si="6"/>
        <v>2179</v>
      </c>
      <c r="AQ26" s="1976">
        <f t="shared" si="6"/>
        <v>2177</v>
      </c>
      <c r="AR26" s="1977">
        <f t="shared" si="7"/>
        <v>0.99908214777420834</v>
      </c>
      <c r="AS26" s="1976">
        <f t="shared" si="8"/>
        <v>71157</v>
      </c>
      <c r="AT26" s="1976">
        <f t="shared" si="8"/>
        <v>77034</v>
      </c>
      <c r="AU26" s="1976">
        <f t="shared" si="8"/>
        <v>73284</v>
      </c>
      <c r="AV26" s="1977">
        <f t="shared" si="9"/>
        <v>0.95132019627696862</v>
      </c>
      <c r="AW26" s="1976">
        <v>0</v>
      </c>
      <c r="AX26" s="1976">
        <v>0</v>
      </c>
      <c r="AY26" s="1976">
        <v>-418</v>
      </c>
    </row>
    <row r="27" spans="1:51" s="1974" customFormat="1" ht="49.5" customHeight="1" thickBot="1" x14ac:dyDescent="0.55000000000000004">
      <c r="A27" s="1979" t="s">
        <v>1366</v>
      </c>
      <c r="B27" s="1980">
        <v>40242</v>
      </c>
      <c r="C27" s="1976">
        <v>41507</v>
      </c>
      <c r="D27" s="1980">
        <v>40015</v>
      </c>
      <c r="E27" s="1981">
        <f t="shared" si="0"/>
        <v>0.96405425590864191</v>
      </c>
      <c r="F27" s="2022">
        <v>9103</v>
      </c>
      <c r="G27" s="2021">
        <v>9414</v>
      </c>
      <c r="H27" s="2022">
        <v>9040</v>
      </c>
      <c r="I27" s="1981">
        <f t="shared" si="1"/>
        <v>0.96027193541533884</v>
      </c>
      <c r="J27" s="2022">
        <v>2189</v>
      </c>
      <c r="K27" s="2021">
        <v>4658</v>
      </c>
      <c r="L27" s="2022">
        <v>3016</v>
      </c>
      <c r="M27" s="1981">
        <f t="shared" si="2"/>
        <v>0.64748819235723487</v>
      </c>
      <c r="N27" s="1979" t="s">
        <v>1366</v>
      </c>
      <c r="O27" s="1980">
        <v>0</v>
      </c>
      <c r="P27" s="1976">
        <v>0</v>
      </c>
      <c r="Q27" s="1980"/>
      <c r="R27" s="1981"/>
      <c r="S27" s="1980">
        <v>0</v>
      </c>
      <c r="T27" s="1980">
        <v>0</v>
      </c>
      <c r="U27" s="1980"/>
      <c r="V27" s="1981"/>
      <c r="W27" s="1976">
        <f t="shared" si="3"/>
        <v>51534</v>
      </c>
      <c r="X27" s="1976">
        <f t="shared" si="3"/>
        <v>55579</v>
      </c>
      <c r="Y27" s="1976">
        <f t="shared" si="3"/>
        <v>52071</v>
      </c>
      <c r="Z27" s="1981">
        <f t="shared" si="4"/>
        <v>0.93688263552780726</v>
      </c>
      <c r="AA27" s="1979" t="s">
        <v>1366</v>
      </c>
      <c r="AB27" s="1980">
        <v>0</v>
      </c>
      <c r="AC27" s="1976">
        <v>1040</v>
      </c>
      <c r="AD27" s="1980">
        <v>569</v>
      </c>
      <c r="AE27" s="1981">
        <f t="shared" si="5"/>
        <v>0.54711538461538467</v>
      </c>
      <c r="AF27" s="1980">
        <v>0</v>
      </c>
      <c r="AG27" s="1976">
        <v>0</v>
      </c>
      <c r="AH27" s="1980"/>
      <c r="AI27" s="1981"/>
      <c r="AJ27" s="1980">
        <v>0</v>
      </c>
      <c r="AK27" s="1980">
        <v>0</v>
      </c>
      <c r="AL27" s="1980"/>
      <c r="AM27" s="1981"/>
      <c r="AN27" s="1979" t="s">
        <v>1366</v>
      </c>
      <c r="AO27" s="1976">
        <f t="shared" si="6"/>
        <v>0</v>
      </c>
      <c r="AP27" s="1976">
        <f t="shared" si="6"/>
        <v>1040</v>
      </c>
      <c r="AQ27" s="1976">
        <f t="shared" si="6"/>
        <v>569</v>
      </c>
      <c r="AR27" s="1981">
        <f t="shared" si="7"/>
        <v>0.54711538461538467</v>
      </c>
      <c r="AS27" s="1976">
        <f t="shared" si="8"/>
        <v>51534</v>
      </c>
      <c r="AT27" s="1976">
        <f t="shared" si="8"/>
        <v>56619</v>
      </c>
      <c r="AU27" s="1976">
        <f t="shared" si="8"/>
        <v>52640</v>
      </c>
      <c r="AV27" s="1981">
        <f t="shared" si="9"/>
        <v>0.92972323778236987</v>
      </c>
      <c r="AW27" s="1976">
        <v>0</v>
      </c>
      <c r="AX27" s="1976">
        <v>0</v>
      </c>
      <c r="AY27" s="1976">
        <v>-259</v>
      </c>
    </row>
    <row r="28" spans="1:51" s="1974" customFormat="1" ht="49.5" customHeight="1" thickBot="1" x14ac:dyDescent="0.55000000000000004">
      <c r="A28" s="1982" t="s">
        <v>1158</v>
      </c>
      <c r="B28" s="1983">
        <f>SUM(B10:B27)</f>
        <v>1319242</v>
      </c>
      <c r="C28" s="1983">
        <f>SUM(C10:C27)</f>
        <v>1350894</v>
      </c>
      <c r="D28" s="1983">
        <f>SUM(D10:D27)</f>
        <v>1305729</v>
      </c>
      <c r="E28" s="1984">
        <f t="shared" si="0"/>
        <v>0.96656658479495805</v>
      </c>
      <c r="F28" s="1983">
        <f>SUM(F10:F27)</f>
        <v>305374</v>
      </c>
      <c r="G28" s="1983">
        <f>SUM(G10:G27)</f>
        <v>313832</v>
      </c>
      <c r="H28" s="1983">
        <f>SUM(H10:H27)</f>
        <v>303966</v>
      </c>
      <c r="I28" s="1984">
        <f t="shared" si="1"/>
        <v>0.96856279793010269</v>
      </c>
      <c r="J28" s="1983">
        <f>SUM(J10:J27)</f>
        <v>51462</v>
      </c>
      <c r="K28" s="1983">
        <f>SUM(K10:K27)</f>
        <v>95757</v>
      </c>
      <c r="L28" s="1983">
        <f>SUM(L10:L27)</f>
        <v>79993</v>
      </c>
      <c r="M28" s="1984">
        <f t="shared" si="2"/>
        <v>0.83537495953298457</v>
      </c>
      <c r="N28" s="1982" t="s">
        <v>1158</v>
      </c>
      <c r="O28" s="1983">
        <f>SUM(O10:O27)</f>
        <v>0</v>
      </c>
      <c r="P28" s="1983">
        <f>SUM(P10:P27)</f>
        <v>0</v>
      </c>
      <c r="Q28" s="1983">
        <f>SUM(Q10:Q27)</f>
        <v>0</v>
      </c>
      <c r="R28" s="1984"/>
      <c r="S28" s="1983">
        <f>SUM(S10:S27)</f>
        <v>0</v>
      </c>
      <c r="T28" s="1983">
        <f>SUM(T10:T27)</f>
        <v>0</v>
      </c>
      <c r="U28" s="1983">
        <f>SUM(U10:U27)</f>
        <v>0</v>
      </c>
      <c r="V28" s="1984"/>
      <c r="W28" s="1983">
        <f>SUM(W10:W27)</f>
        <v>1676078</v>
      </c>
      <c r="X28" s="1983">
        <f>SUM(X10:X27)</f>
        <v>1760483</v>
      </c>
      <c r="Y28" s="1983">
        <f>SUM(Y10:Y27)</f>
        <v>1689688</v>
      </c>
      <c r="Z28" s="1984">
        <f t="shared" si="4"/>
        <v>0.95978660401719296</v>
      </c>
      <c r="AA28" s="1982" t="s">
        <v>1158</v>
      </c>
      <c r="AB28" s="1983">
        <f>SUM(AB10:AB27)</f>
        <v>0</v>
      </c>
      <c r="AC28" s="1983">
        <f>SUM(AC10:AC27)</f>
        <v>33087</v>
      </c>
      <c r="AD28" s="1983">
        <f>SUM(AD10:AD27)</f>
        <v>31814</v>
      </c>
      <c r="AE28" s="1984">
        <f t="shared" si="5"/>
        <v>0.96152567473630124</v>
      </c>
      <c r="AF28" s="1983">
        <f>SUM(AF10:AF27)</f>
        <v>0</v>
      </c>
      <c r="AG28" s="1983">
        <f>SUM(AG10:AG27)</f>
        <v>56886</v>
      </c>
      <c r="AH28" s="1983">
        <f>SUM(AH10:AH27)</f>
        <v>53881</v>
      </c>
      <c r="AI28" s="1984">
        <f>AH28/AG28</f>
        <v>0.94717505185810213</v>
      </c>
      <c r="AJ28" s="1983">
        <f>SUM(AJ10:AJ27)</f>
        <v>0</v>
      </c>
      <c r="AK28" s="1983">
        <f>SUM(AK10:AK27)</f>
        <v>0</v>
      </c>
      <c r="AL28" s="1983">
        <f>SUM(AL10:AL27)</f>
        <v>0</v>
      </c>
      <c r="AM28" s="1984"/>
      <c r="AN28" s="1982" t="s">
        <v>1158</v>
      </c>
      <c r="AO28" s="1983">
        <f>SUM(AO10:AO27)</f>
        <v>0</v>
      </c>
      <c r="AP28" s="1983">
        <f>SUM(AP10:AP27)</f>
        <v>89973</v>
      </c>
      <c r="AQ28" s="1983">
        <f>SUM(AQ10:AQ27)</f>
        <v>85695</v>
      </c>
      <c r="AR28" s="1984">
        <f t="shared" si="7"/>
        <v>0.95245240238738293</v>
      </c>
      <c r="AS28" s="1983">
        <f>SUM(AS10:AS27)</f>
        <v>1676078</v>
      </c>
      <c r="AT28" s="1983">
        <f>SUM(AT10:AT27)</f>
        <v>1850456</v>
      </c>
      <c r="AU28" s="1983">
        <f>SUM(AU10:AU27)</f>
        <v>1775383</v>
      </c>
      <c r="AV28" s="1984">
        <f t="shared" si="9"/>
        <v>0.95942999995676737</v>
      </c>
      <c r="AW28" s="1976">
        <v>0</v>
      </c>
      <c r="AX28" s="1976">
        <v>0</v>
      </c>
      <c r="AY28" s="1976">
        <v>-9316</v>
      </c>
    </row>
    <row r="29" spans="1:51" s="1974" customFormat="1" ht="49.5" customHeight="1" thickBot="1" x14ac:dyDescent="0.55000000000000004">
      <c r="A29" s="1982" t="s">
        <v>226</v>
      </c>
      <c r="B29" s="1983">
        <v>185979</v>
      </c>
      <c r="C29" s="1976">
        <v>200080</v>
      </c>
      <c r="D29" s="1983">
        <v>175980</v>
      </c>
      <c r="E29" s="1984">
        <f t="shared" si="0"/>
        <v>0.87954818072770891</v>
      </c>
      <c r="F29" s="1983">
        <v>46412</v>
      </c>
      <c r="G29" s="1976">
        <v>49632</v>
      </c>
      <c r="H29" s="1983">
        <v>43211</v>
      </c>
      <c r="I29" s="1984">
        <f t="shared" si="1"/>
        <v>0.87062782076079948</v>
      </c>
      <c r="J29" s="1983">
        <v>1164233</v>
      </c>
      <c r="K29" s="1976">
        <v>1190444</v>
      </c>
      <c r="L29" s="1983">
        <v>1085977</v>
      </c>
      <c r="M29" s="1984">
        <f t="shared" si="2"/>
        <v>0.91224534711418592</v>
      </c>
      <c r="N29" s="1982" t="s">
        <v>226</v>
      </c>
      <c r="O29" s="1983">
        <v>0</v>
      </c>
      <c r="P29" s="1976">
        <v>0</v>
      </c>
      <c r="Q29" s="1983"/>
      <c r="R29" s="1984"/>
      <c r="S29" s="1983">
        <v>0</v>
      </c>
      <c r="T29" s="1983">
        <v>0</v>
      </c>
      <c r="U29" s="1983"/>
      <c r="V29" s="1984"/>
      <c r="W29" s="1976">
        <f>B29+F29+J29+O29+S29</f>
        <v>1396624</v>
      </c>
      <c r="X29" s="1976">
        <f>C29+G29+K29+P29+T29</f>
        <v>1440156</v>
      </c>
      <c r="Y29" s="1976">
        <f>D29+H29+L29+Q29+U29</f>
        <v>1305168</v>
      </c>
      <c r="Z29" s="1984">
        <f t="shared" si="4"/>
        <v>0.90626848758051215</v>
      </c>
      <c r="AA29" s="1982" t="s">
        <v>226</v>
      </c>
      <c r="AB29" s="1983">
        <v>0</v>
      </c>
      <c r="AC29" s="1976">
        <v>67202</v>
      </c>
      <c r="AD29" s="1983">
        <v>60365</v>
      </c>
      <c r="AE29" s="1984">
        <f t="shared" si="5"/>
        <v>0.89826195648939022</v>
      </c>
      <c r="AF29" s="1983">
        <v>0</v>
      </c>
      <c r="AG29" s="1976">
        <v>66286</v>
      </c>
      <c r="AH29" s="1983">
        <v>44419</v>
      </c>
      <c r="AI29" s="1984">
        <f>AH29/AG29</f>
        <v>0.67011133572700121</v>
      </c>
      <c r="AJ29" s="1983">
        <v>0</v>
      </c>
      <c r="AK29" s="1983">
        <v>0</v>
      </c>
      <c r="AL29" s="1983"/>
      <c r="AM29" s="1984"/>
      <c r="AN29" s="1982" t="s">
        <v>226</v>
      </c>
      <c r="AO29" s="1976">
        <f>AB29+AF29+AJ29</f>
        <v>0</v>
      </c>
      <c r="AP29" s="1976">
        <f>AC29+AG29+AK29</f>
        <v>133488</v>
      </c>
      <c r="AQ29" s="1976">
        <f>AD29+AH29+AL29</f>
        <v>104784</v>
      </c>
      <c r="AR29" s="1984">
        <f t="shared" si="7"/>
        <v>0.7849694354548723</v>
      </c>
      <c r="AS29" s="1976">
        <f>W29+AO29</f>
        <v>1396624</v>
      </c>
      <c r="AT29" s="1976">
        <f>X29+AP29</f>
        <v>1573644</v>
      </c>
      <c r="AU29" s="1976">
        <f>Y29+AQ29</f>
        <v>1409952</v>
      </c>
      <c r="AV29" s="1984">
        <f t="shared" si="9"/>
        <v>0.89597901431327542</v>
      </c>
      <c r="AW29" s="1976">
        <v>0</v>
      </c>
      <c r="AX29" s="1976">
        <v>0</v>
      </c>
      <c r="AY29" s="1976">
        <v>-25654</v>
      </c>
    </row>
    <row r="30" spans="1:51" s="1974" customFormat="1" ht="49.5" customHeight="1" thickBot="1" x14ac:dyDescent="0.55000000000000004">
      <c r="A30" s="1982" t="s">
        <v>4</v>
      </c>
      <c r="B30" s="1983">
        <f>SUM(B28:B29)</f>
        <v>1505221</v>
      </c>
      <c r="C30" s="1983">
        <f>SUM(C28:C29)</f>
        <v>1550974</v>
      </c>
      <c r="D30" s="1983">
        <f>SUM(D28:D29)</f>
        <v>1481709</v>
      </c>
      <c r="E30" s="1985">
        <f t="shared" si="0"/>
        <v>0.95534096638628374</v>
      </c>
      <c r="F30" s="1983">
        <f>SUM(F28:F29)</f>
        <v>351786</v>
      </c>
      <c r="G30" s="1983">
        <f>SUM(G28:G29)</f>
        <v>363464</v>
      </c>
      <c r="H30" s="1983">
        <f>SUM(H28:H29)</f>
        <v>347177</v>
      </c>
      <c r="I30" s="1985">
        <f t="shared" si="1"/>
        <v>0.95518950982765827</v>
      </c>
      <c r="J30" s="1983">
        <f>SUM(J28:J29)</f>
        <v>1215695</v>
      </c>
      <c r="K30" s="1983">
        <f>SUM(K28:K29)</f>
        <v>1286201</v>
      </c>
      <c r="L30" s="1983">
        <f>SUM(L28:L29)</f>
        <v>1165970</v>
      </c>
      <c r="M30" s="1985">
        <f t="shared" si="2"/>
        <v>0.90652238646992189</v>
      </c>
      <c r="N30" s="1982" t="s">
        <v>4</v>
      </c>
      <c r="O30" s="1983">
        <f>SUM(O28:O29)</f>
        <v>0</v>
      </c>
      <c r="P30" s="1983">
        <f>SUM(P28:P29)</f>
        <v>0</v>
      </c>
      <c r="Q30" s="1983">
        <f>SUM(Q28:Q29)</f>
        <v>0</v>
      </c>
      <c r="R30" s="1985"/>
      <c r="S30" s="1983">
        <f>SUM(S28:S29)</f>
        <v>0</v>
      </c>
      <c r="T30" s="1983">
        <f>SUM(T28:T29)</f>
        <v>0</v>
      </c>
      <c r="U30" s="1983">
        <f>SUM(U28:U29)</f>
        <v>0</v>
      </c>
      <c r="V30" s="1985"/>
      <c r="W30" s="1983">
        <f>SUM(W28:W29)</f>
        <v>3072702</v>
      </c>
      <c r="X30" s="1983">
        <f>SUM(X28:X29)</f>
        <v>3200639</v>
      </c>
      <c r="Y30" s="1983">
        <f>SUM(Y28:Y29)</f>
        <v>2994856</v>
      </c>
      <c r="Z30" s="1985">
        <f t="shared" si="4"/>
        <v>0.93570565127776051</v>
      </c>
      <c r="AA30" s="1982" t="s">
        <v>4</v>
      </c>
      <c r="AB30" s="1983">
        <f>SUM(AB28:AB29)</f>
        <v>0</v>
      </c>
      <c r="AC30" s="1983">
        <f>SUM(AC28:AC29)</f>
        <v>100289</v>
      </c>
      <c r="AD30" s="1983">
        <f>SUM(AD28:AD29)</f>
        <v>92179</v>
      </c>
      <c r="AE30" s="1985">
        <f t="shared" si="5"/>
        <v>0.91913370359660584</v>
      </c>
      <c r="AF30" s="1983">
        <f>SUM(AF28:AF29)</f>
        <v>0</v>
      </c>
      <c r="AG30" s="1983">
        <f>SUM(AG28:AG29)</f>
        <v>123172</v>
      </c>
      <c r="AH30" s="1983">
        <f>SUM(AH28:AH29)</f>
        <v>98300</v>
      </c>
      <c r="AI30" s="1985">
        <f>AH30/AG30</f>
        <v>0.7980709901601013</v>
      </c>
      <c r="AJ30" s="1983">
        <f>SUM(AJ28:AJ29)</f>
        <v>0</v>
      </c>
      <c r="AK30" s="1983">
        <f>SUM(AK28:AK29)</f>
        <v>0</v>
      </c>
      <c r="AL30" s="1983">
        <f>SUM(AL28:AL29)</f>
        <v>0</v>
      </c>
      <c r="AM30" s="1985"/>
      <c r="AN30" s="1982" t="s">
        <v>4</v>
      </c>
      <c r="AO30" s="1983">
        <f>SUM(AO28:AO29)</f>
        <v>0</v>
      </c>
      <c r="AP30" s="1983">
        <f>SUM(AP28:AP29)</f>
        <v>223461</v>
      </c>
      <c r="AQ30" s="1983">
        <f>SUM(AQ28:AQ29)</f>
        <v>190479</v>
      </c>
      <c r="AR30" s="1985">
        <f t="shared" si="7"/>
        <v>0.85240377515539623</v>
      </c>
      <c r="AS30" s="1983">
        <f>SUM(AS28:AS29)</f>
        <v>3072702</v>
      </c>
      <c r="AT30" s="1983">
        <f>SUM(AT28:AT29)</f>
        <v>3424100</v>
      </c>
      <c r="AU30" s="1983">
        <f>SUM(AU28:AU29)</f>
        <v>3185335</v>
      </c>
      <c r="AV30" s="1985">
        <f t="shared" si="9"/>
        <v>0.93026926783680386</v>
      </c>
      <c r="AW30" s="1976">
        <v>0</v>
      </c>
      <c r="AX30" s="1976">
        <v>0</v>
      </c>
      <c r="AY30" s="1976">
        <v>-34970</v>
      </c>
    </row>
    <row r="31" spans="1:51" s="1974" customFormat="1" ht="49.5" customHeight="1" x14ac:dyDescent="0.5">
      <c r="A31" s="1986" t="s">
        <v>1367</v>
      </c>
      <c r="B31" s="1980"/>
      <c r="C31" s="1980"/>
      <c r="D31" s="1980"/>
      <c r="E31" s="1980"/>
      <c r="F31" s="1980"/>
      <c r="G31" s="1980"/>
      <c r="H31" s="1980"/>
      <c r="I31" s="1980"/>
      <c r="J31" s="1980"/>
      <c r="K31" s="1980"/>
      <c r="L31" s="1980"/>
      <c r="M31" s="1980"/>
      <c r="N31" s="1986" t="s">
        <v>1367</v>
      </c>
      <c r="O31" s="1980"/>
      <c r="P31" s="1980"/>
      <c r="Q31" s="1980"/>
      <c r="R31" s="1980"/>
      <c r="S31" s="1980"/>
      <c r="T31" s="1980"/>
      <c r="U31" s="1980"/>
      <c r="V31" s="1980"/>
      <c r="W31" s="1980"/>
      <c r="X31" s="1980"/>
      <c r="Y31" s="1980"/>
      <c r="Z31" s="1980"/>
      <c r="AA31" s="1986" t="s">
        <v>1367</v>
      </c>
      <c r="AB31" s="1980"/>
      <c r="AC31" s="1980"/>
      <c r="AD31" s="1980"/>
      <c r="AE31" s="1980"/>
      <c r="AF31" s="1980"/>
      <c r="AG31" s="1980"/>
      <c r="AH31" s="1980"/>
      <c r="AI31" s="1980"/>
      <c r="AJ31" s="1980"/>
      <c r="AK31" s="1980"/>
      <c r="AL31" s="1980"/>
      <c r="AM31" s="1980"/>
      <c r="AN31" s="1986" t="s">
        <v>1367</v>
      </c>
      <c r="AO31" s="1980"/>
      <c r="AP31" s="1980"/>
      <c r="AQ31" s="1980"/>
      <c r="AR31" s="1980"/>
      <c r="AS31" s="1980"/>
      <c r="AT31" s="1980"/>
      <c r="AU31" s="1980"/>
      <c r="AV31" s="1980"/>
      <c r="AW31" s="1976">
        <v>0</v>
      </c>
      <c r="AX31" s="1976"/>
      <c r="AY31" s="1976">
        <v>0</v>
      </c>
    </row>
    <row r="32" spans="1:51" s="1974" customFormat="1" ht="49.5" customHeight="1" x14ac:dyDescent="0.5">
      <c r="A32" s="1987" t="s">
        <v>1160</v>
      </c>
      <c r="B32" s="1980"/>
      <c r="C32" s="1980"/>
      <c r="D32" s="1980"/>
      <c r="E32" s="1980"/>
      <c r="F32" s="1980"/>
      <c r="G32" s="1980"/>
      <c r="H32" s="1980"/>
      <c r="I32" s="1980"/>
      <c r="J32" s="1980"/>
      <c r="K32" s="1980"/>
      <c r="L32" s="1980"/>
      <c r="M32" s="1980"/>
      <c r="N32" s="1987" t="s">
        <v>1160</v>
      </c>
      <c r="O32" s="1980"/>
      <c r="P32" s="1980"/>
      <c r="Q32" s="1980"/>
      <c r="R32" s="1980"/>
      <c r="S32" s="1980"/>
      <c r="T32" s="1980"/>
      <c r="U32" s="1980"/>
      <c r="V32" s="1980"/>
      <c r="W32" s="1980"/>
      <c r="X32" s="1980"/>
      <c r="Y32" s="1980"/>
      <c r="Z32" s="1980"/>
      <c r="AA32" s="1987" t="s">
        <v>1160</v>
      </c>
      <c r="AB32" s="1980"/>
      <c r="AC32" s="1980"/>
      <c r="AD32" s="1980"/>
      <c r="AE32" s="1980"/>
      <c r="AF32" s="1980"/>
      <c r="AG32" s="1980"/>
      <c r="AH32" s="1980"/>
      <c r="AI32" s="1980"/>
      <c r="AJ32" s="1980"/>
      <c r="AK32" s="1980"/>
      <c r="AL32" s="1980"/>
      <c r="AM32" s="1980"/>
      <c r="AN32" s="1987" t="s">
        <v>1160</v>
      </c>
      <c r="AO32" s="1980"/>
      <c r="AP32" s="1980"/>
      <c r="AQ32" s="1980"/>
      <c r="AR32" s="1980"/>
      <c r="AS32" s="1980"/>
      <c r="AT32" s="1980"/>
      <c r="AU32" s="1980"/>
      <c r="AV32" s="1980"/>
      <c r="AW32" s="1976">
        <v>0</v>
      </c>
      <c r="AX32" s="1976"/>
      <c r="AY32" s="1976">
        <v>0</v>
      </c>
    </row>
    <row r="33" spans="1:51" s="1974" customFormat="1" ht="49.5" customHeight="1" x14ac:dyDescent="0.5">
      <c r="A33" s="1988" t="s">
        <v>1206</v>
      </c>
      <c r="B33" s="1980">
        <v>94410</v>
      </c>
      <c r="C33" s="1976">
        <v>104059</v>
      </c>
      <c r="D33" s="1980">
        <v>103536</v>
      </c>
      <c r="E33" s="1977">
        <f t="shared" ref="E33:E38" si="11">D33/C33</f>
        <v>0.99497400513170409</v>
      </c>
      <c r="F33" s="1980">
        <v>23170</v>
      </c>
      <c r="G33" s="1976">
        <v>25808</v>
      </c>
      <c r="H33" s="1980">
        <v>25671</v>
      </c>
      <c r="I33" s="1977">
        <f t="shared" ref="I33:I38" si="12">H33/G33</f>
        <v>0.99469156850588969</v>
      </c>
      <c r="J33" s="1980">
        <v>229868</v>
      </c>
      <c r="K33" s="1976">
        <v>348912</v>
      </c>
      <c r="L33" s="1980">
        <v>324114</v>
      </c>
      <c r="M33" s="1977">
        <f t="shared" ref="M33:M38" si="13">L33/K33</f>
        <v>0.92892763791443111</v>
      </c>
      <c r="N33" s="1988" t="s">
        <v>1206</v>
      </c>
      <c r="O33" s="1980">
        <v>0</v>
      </c>
      <c r="P33" s="1976">
        <v>0</v>
      </c>
      <c r="Q33" s="1980"/>
      <c r="R33" s="1977"/>
      <c r="S33" s="1980">
        <v>0</v>
      </c>
      <c r="T33" s="1980">
        <v>0</v>
      </c>
      <c r="U33" s="1980"/>
      <c r="V33" s="1977"/>
      <c r="W33" s="1976">
        <f t="shared" ref="W33:Y37" si="14">B33+F33+J33+O33+S33</f>
        <v>347448</v>
      </c>
      <c r="X33" s="1976">
        <f t="shared" si="14"/>
        <v>478779</v>
      </c>
      <c r="Y33" s="1976">
        <f t="shared" si="14"/>
        <v>453321</v>
      </c>
      <c r="Z33" s="1977">
        <f t="shared" ref="Z33:Z38" si="15">Y33/X33</f>
        <v>0.94682724179631939</v>
      </c>
      <c r="AA33" s="1988" t="s">
        <v>1206</v>
      </c>
      <c r="AB33" s="1980">
        <f>[4]int.kiadások2017!I32</f>
        <v>0</v>
      </c>
      <c r="AC33" s="1976">
        <f>'[5]int.kiadások RM V'!X33</f>
        <v>14553</v>
      </c>
      <c r="AD33" s="1980">
        <v>14552</v>
      </c>
      <c r="AE33" s="1977">
        <f t="shared" ref="AE33:AE38" si="16">AD33/AC33</f>
        <v>0.99993128564557132</v>
      </c>
      <c r="AF33" s="1980">
        <v>0</v>
      </c>
      <c r="AG33" s="1976">
        <v>1388</v>
      </c>
      <c r="AH33" s="1980">
        <v>802</v>
      </c>
      <c r="AI33" s="1977">
        <f t="shared" ref="AI33:AI38" si="17">AH33/AG33</f>
        <v>0.5778097982708934</v>
      </c>
      <c r="AJ33" s="1980">
        <v>0</v>
      </c>
      <c r="AK33" s="1980">
        <v>0</v>
      </c>
      <c r="AL33" s="1980"/>
      <c r="AM33" s="1977"/>
      <c r="AN33" s="1988" t="s">
        <v>1206</v>
      </c>
      <c r="AO33" s="1976">
        <f t="shared" ref="AO33:AQ37" si="18">AB33+AF33+AJ33</f>
        <v>0</v>
      </c>
      <c r="AP33" s="1976">
        <f t="shared" si="18"/>
        <v>15941</v>
      </c>
      <c r="AQ33" s="1976">
        <f t="shared" si="18"/>
        <v>15354</v>
      </c>
      <c r="AR33" s="1977">
        <f t="shared" ref="AR33:AR38" si="19">AQ33/AP33</f>
        <v>0.96317671413336681</v>
      </c>
      <c r="AS33" s="1976">
        <f t="shared" ref="AS33:AU37" si="20">W33+AO33</f>
        <v>347448</v>
      </c>
      <c r="AT33" s="1976">
        <f t="shared" si="20"/>
        <v>494720</v>
      </c>
      <c r="AU33" s="1976">
        <f>Y33+AQ33</f>
        <v>468675</v>
      </c>
      <c r="AV33" s="1977">
        <f t="shared" ref="AV33:AV38" si="21">AU33/AT33</f>
        <v>0.94735405886157831</v>
      </c>
      <c r="AW33" s="1976">
        <v>0</v>
      </c>
      <c r="AX33" s="1976">
        <v>0</v>
      </c>
      <c r="AY33" s="1976">
        <v>-8068</v>
      </c>
    </row>
    <row r="34" spans="1:51" s="1974" customFormat="1" ht="49.5" customHeight="1" x14ac:dyDescent="0.5">
      <c r="A34" s="1989" t="s">
        <v>386</v>
      </c>
      <c r="B34" s="1990">
        <v>63490</v>
      </c>
      <c r="C34" s="1976">
        <v>68719</v>
      </c>
      <c r="D34" s="1990">
        <v>66221</v>
      </c>
      <c r="E34" s="1977">
        <f t="shared" si="11"/>
        <v>0.9636490635777587</v>
      </c>
      <c r="F34" s="1990">
        <v>13519</v>
      </c>
      <c r="G34" s="1976">
        <v>15811</v>
      </c>
      <c r="H34" s="1990">
        <v>15168</v>
      </c>
      <c r="I34" s="1977">
        <f t="shared" si="12"/>
        <v>0.95933211055594203</v>
      </c>
      <c r="J34" s="1990">
        <v>36433</v>
      </c>
      <c r="K34" s="1976">
        <v>79486</v>
      </c>
      <c r="L34" s="1990">
        <v>65139</v>
      </c>
      <c r="M34" s="1977">
        <f t="shared" si="13"/>
        <v>0.81950280552550137</v>
      </c>
      <c r="N34" s="1989" t="s">
        <v>386</v>
      </c>
      <c r="O34" s="1990">
        <v>0</v>
      </c>
      <c r="P34" s="1976">
        <v>0</v>
      </c>
      <c r="Q34" s="1990"/>
      <c r="R34" s="1977"/>
      <c r="S34" s="1990">
        <v>0</v>
      </c>
      <c r="T34" s="1990">
        <v>78</v>
      </c>
      <c r="U34" s="1990">
        <v>77</v>
      </c>
      <c r="V34" s="1977">
        <f>U34/T34</f>
        <v>0.98717948717948723</v>
      </c>
      <c r="W34" s="1976">
        <f t="shared" si="14"/>
        <v>113442</v>
      </c>
      <c r="X34" s="1976">
        <f t="shared" si="14"/>
        <v>164094</v>
      </c>
      <c r="Y34" s="1976">
        <f t="shared" si="14"/>
        <v>146605</v>
      </c>
      <c r="Z34" s="1977">
        <f t="shared" si="15"/>
        <v>0.89342084415030409</v>
      </c>
      <c r="AA34" s="1989" t="s">
        <v>386</v>
      </c>
      <c r="AB34" s="1990">
        <f>[4]int.kiadások2017!I33</f>
        <v>0</v>
      </c>
      <c r="AC34" s="1976">
        <f>'[5]int.kiadások RM V'!X34</f>
        <v>1302</v>
      </c>
      <c r="AD34" s="1990">
        <v>1266</v>
      </c>
      <c r="AE34" s="1977">
        <f t="shared" si="16"/>
        <v>0.97235023041474655</v>
      </c>
      <c r="AF34" s="1990">
        <v>0</v>
      </c>
      <c r="AG34" s="1976">
        <v>0</v>
      </c>
      <c r="AH34" s="1990"/>
      <c r="AI34" s="1977"/>
      <c r="AJ34" s="1990">
        <v>0</v>
      </c>
      <c r="AK34" s="1990">
        <v>0</v>
      </c>
      <c r="AL34" s="1990"/>
      <c r="AM34" s="1977"/>
      <c r="AN34" s="1989" t="s">
        <v>386</v>
      </c>
      <c r="AO34" s="1976">
        <f t="shared" si="18"/>
        <v>0</v>
      </c>
      <c r="AP34" s="1976">
        <f t="shared" si="18"/>
        <v>1302</v>
      </c>
      <c r="AQ34" s="1976">
        <f t="shared" si="18"/>
        <v>1266</v>
      </c>
      <c r="AR34" s="1977">
        <f t="shared" si="19"/>
        <v>0.97235023041474655</v>
      </c>
      <c r="AS34" s="1976">
        <f t="shared" si="20"/>
        <v>113442</v>
      </c>
      <c r="AT34" s="1976">
        <f t="shared" si="20"/>
        <v>165396</v>
      </c>
      <c r="AU34" s="1976">
        <f>Y34+AQ34</f>
        <v>147871</v>
      </c>
      <c r="AV34" s="1977">
        <f t="shared" si="21"/>
        <v>0.89404217756173066</v>
      </c>
      <c r="AW34" s="1976">
        <v>0</v>
      </c>
      <c r="AX34" s="1976">
        <v>0</v>
      </c>
      <c r="AY34" s="1976">
        <v>-2777</v>
      </c>
    </row>
    <row r="35" spans="1:51" s="1974" customFormat="1" ht="49.5" customHeight="1" x14ac:dyDescent="0.5">
      <c r="A35" s="1989" t="s">
        <v>1164</v>
      </c>
      <c r="B35" s="1990">
        <v>227325</v>
      </c>
      <c r="C35" s="1976">
        <v>320558</v>
      </c>
      <c r="D35" s="1990">
        <v>280807</v>
      </c>
      <c r="E35" s="1977">
        <f t="shared" si="11"/>
        <v>0.87599435983503771</v>
      </c>
      <c r="F35" s="1990">
        <v>48412</v>
      </c>
      <c r="G35" s="1976">
        <v>70108</v>
      </c>
      <c r="H35" s="1990">
        <v>65971</v>
      </c>
      <c r="I35" s="1977">
        <f t="shared" si="12"/>
        <v>0.94099104239173847</v>
      </c>
      <c r="J35" s="1990">
        <v>107416</v>
      </c>
      <c r="K35" s="1976">
        <v>197278</v>
      </c>
      <c r="L35" s="1990">
        <v>155507</v>
      </c>
      <c r="M35" s="1977">
        <f t="shared" si="13"/>
        <v>0.78826326300956007</v>
      </c>
      <c r="N35" s="1989" t="s">
        <v>1164</v>
      </c>
      <c r="O35" s="1990">
        <v>0</v>
      </c>
      <c r="P35" s="1976">
        <v>0</v>
      </c>
      <c r="Q35" s="1990"/>
      <c r="R35" s="1977"/>
      <c r="S35" s="1990">
        <v>0</v>
      </c>
      <c r="T35" s="1990">
        <v>0</v>
      </c>
      <c r="U35" s="1990"/>
      <c r="V35" s="1977"/>
      <c r="W35" s="1976">
        <f t="shared" si="14"/>
        <v>383153</v>
      </c>
      <c r="X35" s="1976">
        <f t="shared" si="14"/>
        <v>587944</v>
      </c>
      <c r="Y35" s="1976">
        <f t="shared" si="14"/>
        <v>502285</v>
      </c>
      <c r="Z35" s="1977">
        <f t="shared" si="15"/>
        <v>0.85430755310029527</v>
      </c>
      <c r="AA35" s="1989" t="s">
        <v>1164</v>
      </c>
      <c r="AB35" s="1990">
        <f>[4]int.kiadások2017!I34</f>
        <v>10000</v>
      </c>
      <c r="AC35" s="1976">
        <f>'[5]int.kiadások RM V'!X35</f>
        <v>34788</v>
      </c>
      <c r="AD35" s="1990">
        <v>26007</v>
      </c>
      <c r="AE35" s="1977">
        <f t="shared" si="16"/>
        <v>0.74758537426698857</v>
      </c>
      <c r="AF35" s="1990">
        <v>0</v>
      </c>
      <c r="AG35" s="1976">
        <v>0</v>
      </c>
      <c r="AH35" s="1990"/>
      <c r="AI35" s="1977"/>
      <c r="AJ35" s="1990">
        <v>0</v>
      </c>
      <c r="AK35" s="1990">
        <v>0</v>
      </c>
      <c r="AL35" s="1990"/>
      <c r="AM35" s="1977"/>
      <c r="AN35" s="1989" t="s">
        <v>1164</v>
      </c>
      <c r="AO35" s="1976">
        <f t="shared" si="18"/>
        <v>10000</v>
      </c>
      <c r="AP35" s="1976">
        <f t="shared" si="18"/>
        <v>34788</v>
      </c>
      <c r="AQ35" s="1976">
        <f t="shared" si="18"/>
        <v>26007</v>
      </c>
      <c r="AR35" s="1977">
        <f t="shared" si="19"/>
        <v>0.74758537426698857</v>
      </c>
      <c r="AS35" s="1976">
        <f t="shared" si="20"/>
        <v>393153</v>
      </c>
      <c r="AT35" s="1976">
        <f t="shared" si="20"/>
        <v>622732</v>
      </c>
      <c r="AU35" s="1976">
        <f t="shared" si="20"/>
        <v>528292</v>
      </c>
      <c r="AV35" s="1977">
        <f t="shared" si="21"/>
        <v>0.84834567679194262</v>
      </c>
      <c r="AW35" s="1976">
        <v>0</v>
      </c>
      <c r="AX35" s="1976">
        <v>0</v>
      </c>
      <c r="AY35" s="1976">
        <v>-50270</v>
      </c>
    </row>
    <row r="36" spans="1:51" s="1974" customFormat="1" ht="49.5" customHeight="1" x14ac:dyDescent="0.5">
      <c r="A36" s="1989" t="s">
        <v>1165</v>
      </c>
      <c r="B36" s="1990">
        <v>115284</v>
      </c>
      <c r="C36" s="1976">
        <v>181998</v>
      </c>
      <c r="D36" s="1990">
        <v>162682</v>
      </c>
      <c r="E36" s="1977">
        <f t="shared" si="11"/>
        <v>0.89386696557105028</v>
      </c>
      <c r="F36" s="1990">
        <v>25320</v>
      </c>
      <c r="G36" s="1976">
        <v>39605</v>
      </c>
      <c r="H36" s="1990">
        <v>36127</v>
      </c>
      <c r="I36" s="1977">
        <f t="shared" si="12"/>
        <v>0.91218280520136341</v>
      </c>
      <c r="J36" s="1990">
        <v>62130</v>
      </c>
      <c r="K36" s="1976">
        <v>193302</v>
      </c>
      <c r="L36" s="1990">
        <v>183845</v>
      </c>
      <c r="M36" s="1977">
        <f t="shared" si="13"/>
        <v>0.95107655378630329</v>
      </c>
      <c r="N36" s="1989" t="s">
        <v>1165</v>
      </c>
      <c r="O36" s="1990">
        <v>0</v>
      </c>
      <c r="P36" s="1976">
        <v>0</v>
      </c>
      <c r="Q36" s="1990"/>
      <c r="R36" s="1977"/>
      <c r="S36" s="1990">
        <v>0</v>
      </c>
      <c r="T36" s="1990">
        <v>0</v>
      </c>
      <c r="U36" s="1990"/>
      <c r="V36" s="1977"/>
      <c r="W36" s="1976">
        <f t="shared" si="14"/>
        <v>202734</v>
      </c>
      <c r="X36" s="1976">
        <f t="shared" si="14"/>
        <v>414905</v>
      </c>
      <c r="Y36" s="1976">
        <f t="shared" si="14"/>
        <v>382654</v>
      </c>
      <c r="Z36" s="1977">
        <f t="shared" si="15"/>
        <v>0.92226895313384993</v>
      </c>
      <c r="AA36" s="1989" t="s">
        <v>1165</v>
      </c>
      <c r="AB36" s="1990">
        <f>[4]int.kiadások2017!I35</f>
        <v>0</v>
      </c>
      <c r="AC36" s="1976">
        <f>'[5]int.kiadások RM V'!X36</f>
        <v>17803</v>
      </c>
      <c r="AD36" s="1990">
        <v>10318</v>
      </c>
      <c r="AE36" s="1977">
        <f t="shared" si="16"/>
        <v>0.57956524181317759</v>
      </c>
      <c r="AF36" s="1990">
        <v>0</v>
      </c>
      <c r="AG36" s="1976">
        <v>0</v>
      </c>
      <c r="AH36" s="1990"/>
      <c r="AI36" s="1977"/>
      <c r="AJ36" s="1990">
        <v>0</v>
      </c>
      <c r="AK36" s="1990">
        <v>0</v>
      </c>
      <c r="AL36" s="1990"/>
      <c r="AM36" s="1977"/>
      <c r="AN36" s="1989" t="s">
        <v>1165</v>
      </c>
      <c r="AO36" s="1976">
        <f t="shared" si="18"/>
        <v>0</v>
      </c>
      <c r="AP36" s="1976">
        <f t="shared" si="18"/>
        <v>17803</v>
      </c>
      <c r="AQ36" s="1976">
        <f t="shared" si="18"/>
        <v>10318</v>
      </c>
      <c r="AR36" s="1977">
        <f t="shared" si="19"/>
        <v>0.57956524181317759</v>
      </c>
      <c r="AS36" s="1976">
        <f t="shared" si="20"/>
        <v>202734</v>
      </c>
      <c r="AT36" s="1976">
        <f t="shared" si="20"/>
        <v>432708</v>
      </c>
      <c r="AU36" s="1976">
        <f>Y36+AQ36</f>
        <v>392972</v>
      </c>
      <c r="AV36" s="1977">
        <f t="shared" si="21"/>
        <v>0.90816901929245586</v>
      </c>
      <c r="AW36" s="1976">
        <v>0</v>
      </c>
      <c r="AX36" s="1976">
        <v>0</v>
      </c>
      <c r="AY36" s="1976">
        <v>-37401</v>
      </c>
    </row>
    <row r="37" spans="1:51" s="1974" customFormat="1" ht="49.5" customHeight="1" thickBot="1" x14ac:dyDescent="0.55000000000000004">
      <c r="A37" s="1991" t="s">
        <v>1166</v>
      </c>
      <c r="B37" s="1990">
        <v>255426</v>
      </c>
      <c r="C37" s="1976">
        <v>293408</v>
      </c>
      <c r="D37" s="1990">
        <v>275770</v>
      </c>
      <c r="E37" s="1981">
        <f t="shared" si="11"/>
        <v>0.93988575635292837</v>
      </c>
      <c r="F37" s="1990">
        <v>61256</v>
      </c>
      <c r="G37" s="1976">
        <v>69583</v>
      </c>
      <c r="H37" s="1990">
        <v>65181</v>
      </c>
      <c r="I37" s="1981">
        <f t="shared" si="12"/>
        <v>0.93673742149662997</v>
      </c>
      <c r="J37" s="1990">
        <v>118436</v>
      </c>
      <c r="K37" s="1976">
        <v>257014</v>
      </c>
      <c r="L37" s="1990">
        <v>226270</v>
      </c>
      <c r="M37" s="1981">
        <f t="shared" si="13"/>
        <v>0.88038005711751111</v>
      </c>
      <c r="N37" s="1991" t="s">
        <v>1166</v>
      </c>
      <c r="O37" s="1990">
        <v>0</v>
      </c>
      <c r="P37" s="1976">
        <v>0</v>
      </c>
      <c r="Q37" s="1990"/>
      <c r="R37" s="1981"/>
      <c r="S37" s="1990">
        <v>0</v>
      </c>
      <c r="T37" s="1990">
        <v>0</v>
      </c>
      <c r="U37" s="1990"/>
      <c r="V37" s="1981"/>
      <c r="W37" s="1976">
        <f t="shared" si="14"/>
        <v>435118</v>
      </c>
      <c r="X37" s="1976">
        <f t="shared" si="14"/>
        <v>620005</v>
      </c>
      <c r="Y37" s="1976">
        <f t="shared" si="14"/>
        <v>567221</v>
      </c>
      <c r="Z37" s="1981">
        <f t="shared" si="15"/>
        <v>0.91486520269997818</v>
      </c>
      <c r="AA37" s="1991" t="s">
        <v>1166</v>
      </c>
      <c r="AB37" s="1990">
        <v>0</v>
      </c>
      <c r="AC37" s="1976">
        <v>19612</v>
      </c>
      <c r="AD37" s="1990">
        <v>12702</v>
      </c>
      <c r="AE37" s="1981">
        <f t="shared" si="16"/>
        <v>0.64766469508464208</v>
      </c>
      <c r="AF37" s="1990">
        <v>3000</v>
      </c>
      <c r="AG37" s="1976">
        <v>3944</v>
      </c>
      <c r="AH37" s="1990">
        <v>2963</v>
      </c>
      <c r="AI37" s="1981">
        <f t="shared" si="17"/>
        <v>0.75126774847870181</v>
      </c>
      <c r="AJ37" s="1990">
        <v>0</v>
      </c>
      <c r="AK37" s="1990">
        <v>0</v>
      </c>
      <c r="AL37" s="1990"/>
      <c r="AM37" s="1981"/>
      <c r="AN37" s="1991" t="s">
        <v>1166</v>
      </c>
      <c r="AO37" s="1976">
        <f t="shared" si="18"/>
        <v>3000</v>
      </c>
      <c r="AP37" s="1976">
        <f t="shared" si="18"/>
        <v>23556</v>
      </c>
      <c r="AQ37" s="1976">
        <f t="shared" si="18"/>
        <v>15665</v>
      </c>
      <c r="AR37" s="1981">
        <f t="shared" si="19"/>
        <v>0.66501103752759383</v>
      </c>
      <c r="AS37" s="1976">
        <f t="shared" si="20"/>
        <v>438118</v>
      </c>
      <c r="AT37" s="1976">
        <f t="shared" si="20"/>
        <v>643561</v>
      </c>
      <c r="AU37" s="1976">
        <f t="shared" si="20"/>
        <v>582886</v>
      </c>
      <c r="AV37" s="1981">
        <f t="shared" si="21"/>
        <v>0.90571989290836452</v>
      </c>
      <c r="AW37" s="1976">
        <v>0</v>
      </c>
      <c r="AX37" s="1976">
        <v>0</v>
      </c>
      <c r="AY37" s="1976">
        <v>-5681</v>
      </c>
    </row>
    <row r="38" spans="1:51" s="1974" customFormat="1" ht="49.5" customHeight="1" thickBot="1" x14ac:dyDescent="0.55000000000000004">
      <c r="A38" s="1992" t="s">
        <v>1368</v>
      </c>
      <c r="B38" s="1983">
        <f>SUM(B33:B37)</f>
        <v>755935</v>
      </c>
      <c r="C38" s="1983">
        <f>SUM(C33:C37)</f>
        <v>968742</v>
      </c>
      <c r="D38" s="1983">
        <f>SUM(D33:D37)</f>
        <v>889016</v>
      </c>
      <c r="E38" s="1984">
        <f t="shared" si="11"/>
        <v>0.91770151392217947</v>
      </c>
      <c r="F38" s="1983">
        <f>SUM(F33:F37)</f>
        <v>171677</v>
      </c>
      <c r="G38" s="1983">
        <f>SUM(G33:G37)</f>
        <v>220915</v>
      </c>
      <c r="H38" s="1983">
        <f>SUM(H33:H37)</f>
        <v>208118</v>
      </c>
      <c r="I38" s="1984">
        <f t="shared" si="12"/>
        <v>0.94207274291016907</v>
      </c>
      <c r="J38" s="1983">
        <f>SUM(J33:J37)</f>
        <v>554283</v>
      </c>
      <c r="K38" s="1983">
        <f>SUM(K33:K37)</f>
        <v>1075992</v>
      </c>
      <c r="L38" s="1983">
        <f>SUM(L33:L37)</f>
        <v>954875</v>
      </c>
      <c r="M38" s="1984">
        <f t="shared" si="13"/>
        <v>0.88743689544160176</v>
      </c>
      <c r="N38" s="1992" t="s">
        <v>1368</v>
      </c>
      <c r="O38" s="1983">
        <f>SUM(O33:O37)</f>
        <v>0</v>
      </c>
      <c r="P38" s="1983">
        <f>SUM(P33:P37)</f>
        <v>0</v>
      </c>
      <c r="Q38" s="1983">
        <f>SUM(Q33:Q37)</f>
        <v>0</v>
      </c>
      <c r="R38" s="1984"/>
      <c r="S38" s="1983">
        <f>SUM(S33:S37)</f>
        <v>0</v>
      </c>
      <c r="T38" s="1983">
        <f>SUM(T33:T37)</f>
        <v>78</v>
      </c>
      <c r="U38" s="1983">
        <f>SUM(U33:U37)</f>
        <v>77</v>
      </c>
      <c r="V38" s="1984">
        <f>U38/T38</f>
        <v>0.98717948717948723</v>
      </c>
      <c r="W38" s="1983">
        <f>SUM(W33:W37)</f>
        <v>1481895</v>
      </c>
      <c r="X38" s="1983">
        <f>SUM(X33:X37)</f>
        <v>2265727</v>
      </c>
      <c r="Y38" s="1983">
        <f>SUM(Y33:Y37)</f>
        <v>2052086</v>
      </c>
      <c r="Z38" s="1984">
        <f t="shared" si="15"/>
        <v>0.90570752787074527</v>
      </c>
      <c r="AA38" s="1992" t="s">
        <v>1368</v>
      </c>
      <c r="AB38" s="1983">
        <f>SUM(AB33:AB37)</f>
        <v>10000</v>
      </c>
      <c r="AC38" s="1983">
        <f>SUM(AC33:AC37)</f>
        <v>88058</v>
      </c>
      <c r="AD38" s="1983">
        <f>SUM(AD33:AD37)</f>
        <v>64845</v>
      </c>
      <c r="AE38" s="1984">
        <f t="shared" si="16"/>
        <v>0.73638965227463715</v>
      </c>
      <c r="AF38" s="1983">
        <f>SUM(AF33:AF37)</f>
        <v>3000</v>
      </c>
      <c r="AG38" s="1983">
        <f>SUM(AG33:AG37)</f>
        <v>5332</v>
      </c>
      <c r="AH38" s="1983">
        <f>SUM(AH33:AH37)</f>
        <v>3765</v>
      </c>
      <c r="AI38" s="1984">
        <f t="shared" si="17"/>
        <v>0.70611402850712679</v>
      </c>
      <c r="AJ38" s="1983">
        <f>SUM(AJ33:AJ37)</f>
        <v>0</v>
      </c>
      <c r="AK38" s="1983">
        <f>SUM(AK33:AK37)</f>
        <v>0</v>
      </c>
      <c r="AL38" s="1983">
        <f>SUM(AL33:AL37)</f>
        <v>0</v>
      </c>
      <c r="AM38" s="1984"/>
      <c r="AN38" s="1992" t="s">
        <v>1368</v>
      </c>
      <c r="AO38" s="1983">
        <f>SUM(AO33:AO37)</f>
        <v>13000</v>
      </c>
      <c r="AP38" s="1983">
        <f>SUM(AP33:AP37)</f>
        <v>93390</v>
      </c>
      <c r="AQ38" s="1983">
        <f>SUM(AQ33:AQ37)</f>
        <v>68610</v>
      </c>
      <c r="AR38" s="1984">
        <f t="shared" si="19"/>
        <v>0.73466109861869577</v>
      </c>
      <c r="AS38" s="1983">
        <f>SUM(AS33:AS37)</f>
        <v>1494895</v>
      </c>
      <c r="AT38" s="1983">
        <f>SUM(AT33:AT37)</f>
        <v>2359117</v>
      </c>
      <c r="AU38" s="1983">
        <f>SUM(AU33:AU37)</f>
        <v>2120696</v>
      </c>
      <c r="AV38" s="1984">
        <f t="shared" si="21"/>
        <v>0.89893633931678674</v>
      </c>
      <c r="AW38" s="1976">
        <v>0</v>
      </c>
      <c r="AX38" s="1976">
        <v>0</v>
      </c>
      <c r="AY38" s="1976">
        <v>-104197</v>
      </c>
    </row>
    <row r="39" spans="1:51" s="1974" customFormat="1" ht="49.5" customHeight="1" x14ac:dyDescent="0.5">
      <c r="A39" s="1993" t="s">
        <v>1369</v>
      </c>
      <c r="B39" s="1973"/>
      <c r="C39" s="1973"/>
      <c r="D39" s="1973"/>
      <c r="E39" s="1973"/>
      <c r="F39" s="1973"/>
      <c r="G39" s="1973"/>
      <c r="H39" s="1973"/>
      <c r="I39" s="1973"/>
      <c r="J39" s="1973"/>
      <c r="K39" s="1973"/>
      <c r="L39" s="1973"/>
      <c r="M39" s="1973"/>
      <c r="N39" s="1993" t="s">
        <v>1369</v>
      </c>
      <c r="O39" s="1973"/>
      <c r="P39" s="1973"/>
      <c r="Q39" s="1973"/>
      <c r="R39" s="1973"/>
      <c r="S39" s="1973"/>
      <c r="T39" s="1973"/>
      <c r="U39" s="1973"/>
      <c r="V39" s="1973"/>
      <c r="W39" s="1973"/>
      <c r="X39" s="1973"/>
      <c r="Y39" s="1973"/>
      <c r="Z39" s="1973"/>
      <c r="AA39" s="1993" t="s">
        <v>1369</v>
      </c>
      <c r="AB39" s="1973"/>
      <c r="AC39" s="1973"/>
      <c r="AD39" s="1973"/>
      <c r="AE39" s="1973"/>
      <c r="AF39" s="1973"/>
      <c r="AG39" s="1973"/>
      <c r="AH39" s="1973"/>
      <c r="AI39" s="1973"/>
      <c r="AJ39" s="1973"/>
      <c r="AK39" s="1973"/>
      <c r="AL39" s="1973"/>
      <c r="AM39" s="1973"/>
      <c r="AN39" s="1993" t="s">
        <v>1369</v>
      </c>
      <c r="AO39" s="1973"/>
      <c r="AP39" s="1973"/>
      <c r="AQ39" s="1973"/>
      <c r="AR39" s="1973"/>
      <c r="AS39" s="1973"/>
      <c r="AT39" s="1973"/>
      <c r="AU39" s="1973"/>
      <c r="AV39" s="1973"/>
      <c r="AW39" s="1976">
        <v>0</v>
      </c>
      <c r="AX39" s="1976"/>
      <c r="AY39" s="1976">
        <v>0</v>
      </c>
    </row>
    <row r="40" spans="1:51" s="1974" customFormat="1" ht="49.5" customHeight="1" x14ac:dyDescent="0.5">
      <c r="A40" s="1988" t="s">
        <v>1370</v>
      </c>
      <c r="B40" s="1994">
        <v>43867</v>
      </c>
      <c r="C40" s="1976">
        <v>44942</v>
      </c>
      <c r="D40" s="1994">
        <v>39532</v>
      </c>
      <c r="E40" s="1981">
        <f>D40/C40</f>
        <v>0.87962262471630104</v>
      </c>
      <c r="F40" s="1994">
        <v>10001</v>
      </c>
      <c r="G40" s="1976">
        <v>10358</v>
      </c>
      <c r="H40" s="1994">
        <v>9001</v>
      </c>
      <c r="I40" s="1977">
        <f>H40/G40</f>
        <v>0.86899015253910017</v>
      </c>
      <c r="J40" s="1994">
        <v>53899</v>
      </c>
      <c r="K40" s="1976">
        <v>64571</v>
      </c>
      <c r="L40" s="1994">
        <v>44207</v>
      </c>
      <c r="M40" s="1981">
        <f>L40/K40</f>
        <v>0.68462622539530127</v>
      </c>
      <c r="N40" s="1988" t="s">
        <v>1370</v>
      </c>
      <c r="O40" s="1994">
        <v>0</v>
      </c>
      <c r="P40" s="1976">
        <v>0</v>
      </c>
      <c r="Q40" s="1994"/>
      <c r="R40" s="1981"/>
      <c r="S40" s="1994">
        <v>30383</v>
      </c>
      <c r="T40" s="1994">
        <v>53528</v>
      </c>
      <c r="U40" s="1994">
        <v>53528</v>
      </c>
      <c r="V40" s="1981">
        <f>U40/T40</f>
        <v>1</v>
      </c>
      <c r="W40" s="1976">
        <f>B40+F40+J40+O40+S40</f>
        <v>138150</v>
      </c>
      <c r="X40" s="1976">
        <f>C40+G40+K40+P40+T40</f>
        <v>173399</v>
      </c>
      <c r="Y40" s="1976">
        <f>D40+H40+L40+Q40+U40</f>
        <v>146268</v>
      </c>
      <c r="Z40" s="1981">
        <f>Y40/X40</f>
        <v>0.84353427643758039</v>
      </c>
      <c r="AA40" s="1988" t="s">
        <v>1370</v>
      </c>
      <c r="AB40" s="1994">
        <v>3850</v>
      </c>
      <c r="AC40" s="1976">
        <v>3850</v>
      </c>
      <c r="AD40" s="1994">
        <v>30</v>
      </c>
      <c r="AE40" s="1981">
        <f>AD40/AC40</f>
        <v>7.7922077922077922E-3</v>
      </c>
      <c r="AF40" s="1994">
        <v>0</v>
      </c>
      <c r="AG40" s="1976">
        <v>0</v>
      </c>
      <c r="AH40" s="1994"/>
      <c r="AI40" s="1981"/>
      <c r="AJ40" s="1994">
        <v>0</v>
      </c>
      <c r="AK40" s="1994">
        <v>0</v>
      </c>
      <c r="AL40" s="1994"/>
      <c r="AM40" s="1977"/>
      <c r="AN40" s="1988" t="s">
        <v>1370</v>
      </c>
      <c r="AO40" s="1976">
        <f>AB40+AF40+AJ40</f>
        <v>3850</v>
      </c>
      <c r="AP40" s="1976">
        <f>AC40+AG40+AK40</f>
        <v>3850</v>
      </c>
      <c r="AQ40" s="1976">
        <f>AD40+AH40+AL40</f>
        <v>30</v>
      </c>
      <c r="AR40" s="1981">
        <f>AQ40/AP40</f>
        <v>7.7922077922077922E-3</v>
      </c>
      <c r="AS40" s="1976">
        <f>W40+AO40</f>
        <v>142000</v>
      </c>
      <c r="AT40" s="1976">
        <f>X40+AP40</f>
        <v>177249</v>
      </c>
      <c r="AU40" s="1976">
        <f>Y40+AQ40</f>
        <v>146298</v>
      </c>
      <c r="AV40" s="1981">
        <f>AU40/AT40</f>
        <v>0.82538124333564644</v>
      </c>
      <c r="AW40" s="1976">
        <v>0</v>
      </c>
      <c r="AX40" s="1976">
        <v>0</v>
      </c>
      <c r="AY40" s="1976">
        <v>-29934</v>
      </c>
    </row>
    <row r="41" spans="1:51" s="1974" customFormat="1" ht="49.5" customHeight="1" thickBot="1" x14ac:dyDescent="0.55000000000000004">
      <c r="A41" s="1995" t="s">
        <v>1371</v>
      </c>
      <c r="B41" s="1996">
        <f>SUM(B40:B40)</f>
        <v>43867</v>
      </c>
      <c r="C41" s="1996">
        <f>SUM(C40:C40)</f>
        <v>44942</v>
      </c>
      <c r="D41" s="1996">
        <f>SUM(D40:D40)</f>
        <v>39532</v>
      </c>
      <c r="E41" s="1997">
        <f>D41/C41</f>
        <v>0.87962262471630104</v>
      </c>
      <c r="F41" s="1996">
        <f>SUM(F40:F40)</f>
        <v>10001</v>
      </c>
      <c r="G41" s="1996">
        <f>SUM(G40:G40)</f>
        <v>10358</v>
      </c>
      <c r="H41" s="1996">
        <f>SUM(H40:H40)</f>
        <v>9001</v>
      </c>
      <c r="I41" s="1997">
        <f>H41/G41</f>
        <v>0.86899015253910017</v>
      </c>
      <c r="J41" s="1996">
        <f>SUM(J40:J40)</f>
        <v>53899</v>
      </c>
      <c r="K41" s="1996">
        <f>SUM(K40:K40)</f>
        <v>64571</v>
      </c>
      <c r="L41" s="1996">
        <f>SUM(L40:L40)</f>
        <v>44207</v>
      </c>
      <c r="M41" s="1997">
        <f>L41/K41</f>
        <v>0.68462622539530127</v>
      </c>
      <c r="N41" s="1995" t="s">
        <v>1371</v>
      </c>
      <c r="O41" s="1996">
        <f>SUM(O40:O40)</f>
        <v>0</v>
      </c>
      <c r="P41" s="1996">
        <f>SUM(P40:P40)</f>
        <v>0</v>
      </c>
      <c r="Q41" s="1996">
        <f>SUM(Q40:Q40)</f>
        <v>0</v>
      </c>
      <c r="R41" s="1997"/>
      <c r="S41" s="1996">
        <f>SUM(S40:S40)</f>
        <v>30383</v>
      </c>
      <c r="T41" s="1996">
        <f>SUM(T40:T40)</f>
        <v>53528</v>
      </c>
      <c r="U41" s="1996">
        <f>SUM(U40:U40)</f>
        <v>53528</v>
      </c>
      <c r="V41" s="1997">
        <f>U41/T41</f>
        <v>1</v>
      </c>
      <c r="W41" s="1996">
        <f>SUM(W40:W40)</f>
        <v>138150</v>
      </c>
      <c r="X41" s="1996">
        <f>SUM(X40:X40)</f>
        <v>173399</v>
      </c>
      <c r="Y41" s="1996">
        <f>SUM(Y40:Y40)</f>
        <v>146268</v>
      </c>
      <c r="Z41" s="1997">
        <f>Y41/X41</f>
        <v>0.84353427643758039</v>
      </c>
      <c r="AA41" s="1995" t="s">
        <v>1371</v>
      </c>
      <c r="AB41" s="1996">
        <f>SUM(AB40:AB40)</f>
        <v>3850</v>
      </c>
      <c r="AC41" s="1996">
        <f>SUM(AC40:AC40)</f>
        <v>3850</v>
      </c>
      <c r="AD41" s="1996">
        <f>SUM(AD40:AD40)</f>
        <v>30</v>
      </c>
      <c r="AE41" s="1997">
        <f>AD41/AC41</f>
        <v>7.7922077922077922E-3</v>
      </c>
      <c r="AF41" s="1996">
        <f>SUM(AF40:AF40)</f>
        <v>0</v>
      </c>
      <c r="AG41" s="1996">
        <f>SUM(AG40:AG40)</f>
        <v>0</v>
      </c>
      <c r="AH41" s="1996">
        <f>SUM(AH40:AH40)</f>
        <v>0</v>
      </c>
      <c r="AI41" s="1997"/>
      <c r="AJ41" s="1996">
        <f>SUM(AJ40:AJ40)</f>
        <v>0</v>
      </c>
      <c r="AK41" s="1996">
        <f>SUM(AK40:AK40)</f>
        <v>0</v>
      </c>
      <c r="AL41" s="1996">
        <f>SUM(AL40:AL40)</f>
        <v>0</v>
      </c>
      <c r="AM41" s="1985"/>
      <c r="AN41" s="1995" t="s">
        <v>1371</v>
      </c>
      <c r="AO41" s="1996">
        <f>SUM(AO40:AO40)</f>
        <v>3850</v>
      </c>
      <c r="AP41" s="1996">
        <f>SUM(AP40:AP40)</f>
        <v>3850</v>
      </c>
      <c r="AQ41" s="1996">
        <f>SUM(AQ40:AQ40)</f>
        <v>30</v>
      </c>
      <c r="AR41" s="1997">
        <f>AQ41/AP41</f>
        <v>7.7922077922077922E-3</v>
      </c>
      <c r="AS41" s="1996">
        <f>SUM(AS40:AS40)</f>
        <v>142000</v>
      </c>
      <c r="AT41" s="1996">
        <f>SUM(AT40:AT40)</f>
        <v>177249</v>
      </c>
      <c r="AU41" s="1996">
        <f>SUM(AU40:AU40)</f>
        <v>146298</v>
      </c>
      <c r="AV41" s="1997">
        <f>AU41/AT41</f>
        <v>0.82538124333564644</v>
      </c>
      <c r="AW41" s="1976">
        <v>0</v>
      </c>
      <c r="AX41" s="1976">
        <v>0</v>
      </c>
      <c r="AY41" s="1976">
        <v>-29934</v>
      </c>
    </row>
    <row r="42" spans="1:51" s="1974" customFormat="1" ht="49.5" customHeight="1" x14ac:dyDescent="0.5">
      <c r="A42" s="1993" t="s">
        <v>1372</v>
      </c>
      <c r="B42" s="1973"/>
      <c r="C42" s="1973"/>
      <c r="D42" s="1973"/>
      <c r="E42" s="1981"/>
      <c r="F42" s="1973"/>
      <c r="G42" s="1973"/>
      <c r="H42" s="1973"/>
      <c r="I42" s="1981"/>
      <c r="J42" s="1973"/>
      <c r="K42" s="1973"/>
      <c r="L42" s="1973"/>
      <c r="M42" s="1981"/>
      <c r="N42" s="1993" t="s">
        <v>1372</v>
      </c>
      <c r="O42" s="1973"/>
      <c r="P42" s="1973"/>
      <c r="Q42" s="1973"/>
      <c r="R42" s="1981"/>
      <c r="S42" s="1973"/>
      <c r="T42" s="1973"/>
      <c r="U42" s="1973"/>
      <c r="V42" s="1981"/>
      <c r="W42" s="1973"/>
      <c r="X42" s="1973"/>
      <c r="Y42" s="1973"/>
      <c r="Z42" s="1981"/>
      <c r="AA42" s="1993" t="s">
        <v>1372</v>
      </c>
      <c r="AB42" s="1973"/>
      <c r="AC42" s="1973"/>
      <c r="AD42" s="1973"/>
      <c r="AE42" s="1981"/>
      <c r="AF42" s="1973"/>
      <c r="AG42" s="1973"/>
      <c r="AH42" s="1973"/>
      <c r="AI42" s="1981"/>
      <c r="AJ42" s="1973"/>
      <c r="AK42" s="1973"/>
      <c r="AL42" s="1973"/>
      <c r="AM42" s="1981"/>
      <c r="AN42" s="1993" t="s">
        <v>1372</v>
      </c>
      <c r="AO42" s="1973"/>
      <c r="AP42" s="1973"/>
      <c r="AQ42" s="1973"/>
      <c r="AR42" s="1981"/>
      <c r="AS42" s="1973"/>
      <c r="AT42" s="1973"/>
      <c r="AU42" s="1973"/>
      <c r="AV42" s="1981"/>
      <c r="AW42" s="1976">
        <v>0</v>
      </c>
      <c r="AX42" s="1976"/>
      <c r="AY42" s="1976">
        <v>0</v>
      </c>
    </row>
    <row r="43" spans="1:51" s="1974" customFormat="1" ht="49.5" customHeight="1" x14ac:dyDescent="0.5">
      <c r="A43" s="1988" t="s">
        <v>1373</v>
      </c>
      <c r="B43" s="1994">
        <v>300762</v>
      </c>
      <c r="C43" s="1976">
        <v>309627</v>
      </c>
      <c r="D43" s="1994">
        <v>305720</v>
      </c>
      <c r="E43" s="1977">
        <f>D43/C43</f>
        <v>0.98738159139868298</v>
      </c>
      <c r="F43" s="1994">
        <v>71052</v>
      </c>
      <c r="G43" s="1976">
        <v>73741</v>
      </c>
      <c r="H43" s="1994">
        <v>72969</v>
      </c>
      <c r="I43" s="1977">
        <f>H43/G43</f>
        <v>0.98953092580789515</v>
      </c>
      <c r="J43" s="1994">
        <v>130709</v>
      </c>
      <c r="K43" s="1976">
        <v>166024</v>
      </c>
      <c r="L43" s="1994">
        <v>153064</v>
      </c>
      <c r="M43" s="1977">
        <f>L43/K43</f>
        <v>0.92193899677155111</v>
      </c>
      <c r="N43" s="1988" t="s">
        <v>1373</v>
      </c>
      <c r="O43" s="1994">
        <v>0</v>
      </c>
      <c r="P43" s="1976">
        <v>0</v>
      </c>
      <c r="Q43" s="1994"/>
      <c r="R43" s="1977"/>
      <c r="S43" s="1994">
        <v>0</v>
      </c>
      <c r="T43" s="1994">
        <v>0</v>
      </c>
      <c r="U43" s="1994"/>
      <c r="V43" s="1977"/>
      <c r="W43" s="1976">
        <f>B43+F43+J43+O43+S43</f>
        <v>502523</v>
      </c>
      <c r="X43" s="1976">
        <f>C43+G43+K43+P43+T43</f>
        <v>549392</v>
      </c>
      <c r="Y43" s="1976">
        <f>D43+H43+L43+Q43+U43</f>
        <v>531753</v>
      </c>
      <c r="Z43" s="1977">
        <f>Y43/X43</f>
        <v>0.96789359874188197</v>
      </c>
      <c r="AA43" s="1988" t="s">
        <v>1373</v>
      </c>
      <c r="AB43" s="1994">
        <v>5129</v>
      </c>
      <c r="AC43" s="1976">
        <v>96302</v>
      </c>
      <c r="AD43" s="1994">
        <v>8007</v>
      </c>
      <c r="AE43" s="1977">
        <f>AD43/AC43</f>
        <v>8.3144690660630099E-2</v>
      </c>
      <c r="AF43" s="1994">
        <v>0</v>
      </c>
      <c r="AG43" s="1976">
        <v>12068</v>
      </c>
      <c r="AH43" s="1994">
        <v>7196</v>
      </c>
      <c r="AI43" s="1977">
        <f>AH43/AG43</f>
        <v>0.59628770301624134</v>
      </c>
      <c r="AJ43" s="1994">
        <v>0</v>
      </c>
      <c r="AK43" s="1994">
        <v>0</v>
      </c>
      <c r="AL43" s="1994"/>
      <c r="AM43" s="1977"/>
      <c r="AN43" s="1988" t="s">
        <v>1373</v>
      </c>
      <c r="AO43" s="1976">
        <f>AB43+AF43+AJ43</f>
        <v>5129</v>
      </c>
      <c r="AP43" s="1976">
        <f>AC43+AG43+AK43</f>
        <v>108370</v>
      </c>
      <c r="AQ43" s="1976">
        <f>AD43+AH43+AL43</f>
        <v>15203</v>
      </c>
      <c r="AR43" s="1977">
        <f>AQ43/AP43</f>
        <v>0.14028790255605794</v>
      </c>
      <c r="AS43" s="1976">
        <f>W43+AO43</f>
        <v>507652</v>
      </c>
      <c r="AT43" s="1976">
        <f>X43+AP43</f>
        <v>657762</v>
      </c>
      <c r="AU43" s="1976">
        <f>Y43+AQ43</f>
        <v>546956</v>
      </c>
      <c r="AV43" s="1977">
        <f>AU43/AT43</f>
        <v>0.83154089169030743</v>
      </c>
      <c r="AW43" s="1976">
        <v>0</v>
      </c>
      <c r="AX43" s="1976">
        <v>0</v>
      </c>
      <c r="AY43" s="1976">
        <v>-360</v>
      </c>
    </row>
    <row r="44" spans="1:51" s="1974" customFormat="1" ht="49.5" customHeight="1" thickBot="1" x14ac:dyDescent="0.55000000000000004">
      <c r="A44" s="1995" t="s">
        <v>1374</v>
      </c>
      <c r="B44" s="1996">
        <f>SUM(B43)</f>
        <v>300762</v>
      </c>
      <c r="C44" s="1996">
        <f>SUM(C43)</f>
        <v>309627</v>
      </c>
      <c r="D44" s="1996">
        <f>SUM(D43)</f>
        <v>305720</v>
      </c>
      <c r="E44" s="1997">
        <f>D44/C44</f>
        <v>0.98738159139868298</v>
      </c>
      <c r="F44" s="1996">
        <f>SUM(F43)</f>
        <v>71052</v>
      </c>
      <c r="G44" s="1996">
        <f>SUM(G43)</f>
        <v>73741</v>
      </c>
      <c r="H44" s="1996">
        <f>SUM(H43)</f>
        <v>72969</v>
      </c>
      <c r="I44" s="1997">
        <f>H44/G44</f>
        <v>0.98953092580789515</v>
      </c>
      <c r="J44" s="1996">
        <f>SUM(J43)</f>
        <v>130709</v>
      </c>
      <c r="K44" s="1996">
        <f>SUM(K43)</f>
        <v>166024</v>
      </c>
      <c r="L44" s="1996">
        <f>SUM(L43)</f>
        <v>153064</v>
      </c>
      <c r="M44" s="1997">
        <f>L44/K44</f>
        <v>0.92193899677155111</v>
      </c>
      <c r="N44" s="1995" t="s">
        <v>1374</v>
      </c>
      <c r="O44" s="1996">
        <f>SUM(O43)</f>
        <v>0</v>
      </c>
      <c r="P44" s="1996">
        <f>SUM(P43)</f>
        <v>0</v>
      </c>
      <c r="Q44" s="1996">
        <f>SUM(Q43)</f>
        <v>0</v>
      </c>
      <c r="R44" s="1997"/>
      <c r="S44" s="1996">
        <f>SUM(S43)</f>
        <v>0</v>
      </c>
      <c r="T44" s="1996">
        <f>SUM(T43)</f>
        <v>0</v>
      </c>
      <c r="U44" s="1996">
        <f>SUM(U43)</f>
        <v>0</v>
      </c>
      <c r="V44" s="1997"/>
      <c r="W44" s="1996">
        <f>SUM(W43)</f>
        <v>502523</v>
      </c>
      <c r="X44" s="1996">
        <f>SUM(X43)</f>
        <v>549392</v>
      </c>
      <c r="Y44" s="1996">
        <f>SUM(Y43)</f>
        <v>531753</v>
      </c>
      <c r="Z44" s="1997">
        <f>Y44/X44</f>
        <v>0.96789359874188197</v>
      </c>
      <c r="AA44" s="1995" t="s">
        <v>1374</v>
      </c>
      <c r="AB44" s="1996">
        <f>SUM(AB43)</f>
        <v>5129</v>
      </c>
      <c r="AC44" s="1996">
        <f>SUM(AC43)</f>
        <v>96302</v>
      </c>
      <c r="AD44" s="1996">
        <f>SUM(AD43)</f>
        <v>8007</v>
      </c>
      <c r="AE44" s="1997">
        <f>AD44/AC44</f>
        <v>8.3144690660630099E-2</v>
      </c>
      <c r="AF44" s="1996">
        <f>SUM(AF43)</f>
        <v>0</v>
      </c>
      <c r="AG44" s="1996">
        <f>SUM(AG43)</f>
        <v>12068</v>
      </c>
      <c r="AH44" s="1996">
        <f>SUM(AH43)</f>
        <v>7196</v>
      </c>
      <c r="AI44" s="1997">
        <f>AH44/AG44</f>
        <v>0.59628770301624134</v>
      </c>
      <c r="AJ44" s="1996">
        <f>SUM(AJ43)</f>
        <v>0</v>
      </c>
      <c r="AK44" s="1996">
        <f>SUM(AK43)</f>
        <v>0</v>
      </c>
      <c r="AL44" s="1996">
        <f>SUM(AL43)</f>
        <v>0</v>
      </c>
      <c r="AM44" s="1997"/>
      <c r="AN44" s="1995" t="s">
        <v>1374</v>
      </c>
      <c r="AO44" s="1996">
        <f>SUM(AO43)</f>
        <v>5129</v>
      </c>
      <c r="AP44" s="1996">
        <f>SUM(AP43)</f>
        <v>108370</v>
      </c>
      <c r="AQ44" s="1996">
        <f>SUM(AQ43)</f>
        <v>15203</v>
      </c>
      <c r="AR44" s="1997">
        <f>AQ44/AP44</f>
        <v>0.14028790255605794</v>
      </c>
      <c r="AS44" s="1996">
        <f>SUM(AS43)</f>
        <v>507652</v>
      </c>
      <c r="AT44" s="1996">
        <f>SUM(AT43)</f>
        <v>657762</v>
      </c>
      <c r="AU44" s="1996">
        <f>SUM(AU43)</f>
        <v>546956</v>
      </c>
      <c r="AV44" s="1997">
        <f>AU44/AT44</f>
        <v>0.83154089169030743</v>
      </c>
      <c r="AW44" s="1976">
        <v>0</v>
      </c>
      <c r="AX44" s="1976">
        <v>0</v>
      </c>
      <c r="AY44" s="1976">
        <v>-360</v>
      </c>
    </row>
    <row r="45" spans="1:51" s="1974" customFormat="1" ht="49.5" customHeight="1" x14ac:dyDescent="0.5">
      <c r="A45" s="1993" t="s">
        <v>1178</v>
      </c>
      <c r="B45" s="1973"/>
      <c r="C45" s="1973"/>
      <c r="D45" s="1973"/>
      <c r="E45" s="1973"/>
      <c r="F45" s="1973"/>
      <c r="G45" s="1973"/>
      <c r="H45" s="1973"/>
      <c r="I45" s="1973"/>
      <c r="J45" s="1973"/>
      <c r="K45" s="1973"/>
      <c r="L45" s="1973"/>
      <c r="M45" s="1973"/>
      <c r="N45" s="1993" t="s">
        <v>1178</v>
      </c>
      <c r="O45" s="1973"/>
      <c r="P45" s="1973"/>
      <c r="Q45" s="1973"/>
      <c r="R45" s="1973"/>
      <c r="S45" s="1973"/>
      <c r="T45" s="1973"/>
      <c r="U45" s="1973"/>
      <c r="V45" s="1973"/>
      <c r="W45" s="1973"/>
      <c r="X45" s="1973"/>
      <c r="Y45" s="1973"/>
      <c r="Z45" s="1973"/>
      <c r="AA45" s="1993" t="s">
        <v>1178</v>
      </c>
      <c r="AB45" s="1973"/>
      <c r="AC45" s="1973"/>
      <c r="AD45" s="1973"/>
      <c r="AE45" s="1973"/>
      <c r="AF45" s="1973"/>
      <c r="AG45" s="1973"/>
      <c r="AH45" s="1973"/>
      <c r="AI45" s="1973"/>
      <c r="AJ45" s="1973"/>
      <c r="AK45" s="1973"/>
      <c r="AL45" s="1973"/>
      <c r="AM45" s="1973"/>
      <c r="AN45" s="1993" t="s">
        <v>1178</v>
      </c>
      <c r="AO45" s="1973"/>
      <c r="AP45" s="1973"/>
      <c r="AQ45" s="1973"/>
      <c r="AR45" s="1973"/>
      <c r="AS45" s="1973"/>
      <c r="AT45" s="1973"/>
      <c r="AU45" s="1973"/>
      <c r="AV45" s="1973"/>
      <c r="AW45" s="1976">
        <v>0</v>
      </c>
      <c r="AX45" s="1976"/>
      <c r="AY45" s="1976">
        <v>0</v>
      </c>
    </row>
    <row r="46" spans="1:51" s="1974" customFormat="1" ht="37.5" x14ac:dyDescent="0.5">
      <c r="A46" s="1998" t="s">
        <v>1375</v>
      </c>
      <c r="B46" s="1980">
        <v>404857</v>
      </c>
      <c r="C46" s="1976">
        <v>464406</v>
      </c>
      <c r="D46" s="1980">
        <v>455767</v>
      </c>
      <c r="E46" s="1977">
        <f t="shared" ref="E46:E54" si="22">D46/C46</f>
        <v>0.9813977424925604</v>
      </c>
      <c r="F46" s="1980">
        <v>101345</v>
      </c>
      <c r="G46" s="1976">
        <v>114705</v>
      </c>
      <c r="H46" s="1980">
        <v>111651</v>
      </c>
      <c r="I46" s="1977">
        <f t="shared" ref="I46:I54" si="23">H46/G46</f>
        <v>0.97337517980907551</v>
      </c>
      <c r="J46" s="1980">
        <v>143662</v>
      </c>
      <c r="K46" s="1976">
        <v>149066</v>
      </c>
      <c r="L46" s="1980">
        <v>125828</v>
      </c>
      <c r="M46" s="1977">
        <f t="shared" ref="M46:M54" si="24">L46/K46</f>
        <v>0.84410932070358091</v>
      </c>
      <c r="N46" s="1998" t="s">
        <v>1375</v>
      </c>
      <c r="O46" s="1980">
        <v>0</v>
      </c>
      <c r="P46" s="1976">
        <v>0</v>
      </c>
      <c r="Q46" s="1980"/>
      <c r="R46" s="1977"/>
      <c r="S46" s="1980">
        <v>0</v>
      </c>
      <c r="T46" s="1980">
        <v>0</v>
      </c>
      <c r="U46" s="1980"/>
      <c r="V46" s="1977"/>
      <c r="W46" s="1976">
        <f t="shared" ref="W46:Y47" si="25">B46+F46+J46+O46+S46</f>
        <v>649864</v>
      </c>
      <c r="X46" s="1976">
        <f t="shared" si="25"/>
        <v>728177</v>
      </c>
      <c r="Y46" s="1976">
        <f t="shared" si="25"/>
        <v>693246</v>
      </c>
      <c r="Z46" s="1977">
        <f t="shared" ref="Z46:Z54" si="26">Y46/X46</f>
        <v>0.95202952029520294</v>
      </c>
      <c r="AA46" s="1998" t="s">
        <v>1375</v>
      </c>
      <c r="AB46" s="1980">
        <v>6469</v>
      </c>
      <c r="AC46" s="1976">
        <v>14074</v>
      </c>
      <c r="AD46" s="1980">
        <v>9925</v>
      </c>
      <c r="AE46" s="1977">
        <f t="shared" ref="AE46:AE54" si="27">AD46/AC46</f>
        <v>0.70520108000568427</v>
      </c>
      <c r="AF46" s="1980">
        <v>169</v>
      </c>
      <c r="AG46" s="1976">
        <v>2901</v>
      </c>
      <c r="AH46" s="1980">
        <v>1813</v>
      </c>
      <c r="AI46" s="1977">
        <f t="shared" ref="AI46:AI54" si="28">AH46/AG46</f>
        <v>0.62495691140985865</v>
      </c>
      <c r="AJ46" s="1980">
        <v>0</v>
      </c>
      <c r="AK46" s="1980">
        <v>0</v>
      </c>
      <c r="AL46" s="1980"/>
      <c r="AM46" s="1977"/>
      <c r="AN46" s="1998" t="s">
        <v>1375</v>
      </c>
      <c r="AO46" s="1976">
        <f t="shared" ref="AO46:AQ47" si="29">AB46+AF46+AJ46</f>
        <v>6638</v>
      </c>
      <c r="AP46" s="1976">
        <f t="shared" si="29"/>
        <v>16975</v>
      </c>
      <c r="AQ46" s="1976">
        <f t="shared" si="29"/>
        <v>11738</v>
      </c>
      <c r="AR46" s="1977">
        <f t="shared" ref="AR46:AR54" si="30">AQ46/AP46</f>
        <v>0.69148748159057438</v>
      </c>
      <c r="AS46" s="1976">
        <f t="shared" ref="AS46:AU47" si="31">W46+AO46</f>
        <v>656502</v>
      </c>
      <c r="AT46" s="1976">
        <f t="shared" si="31"/>
        <v>745152</v>
      </c>
      <c r="AU46" s="1976">
        <f t="shared" si="31"/>
        <v>704984</v>
      </c>
      <c r="AV46" s="1977">
        <f t="shared" ref="AV46:AV54" si="32">AU46/AT46</f>
        <v>0.9460942197028257</v>
      </c>
      <c r="AW46" s="1976">
        <v>0</v>
      </c>
      <c r="AX46" s="1976">
        <v>0</v>
      </c>
      <c r="AY46" s="1976">
        <v>-1822</v>
      </c>
    </row>
    <row r="47" spans="1:51" s="1971" customFormat="1" ht="99" customHeight="1" thickBot="1" x14ac:dyDescent="0.55000000000000004">
      <c r="A47" s="1999" t="s">
        <v>1376</v>
      </c>
      <c r="B47" s="2000">
        <v>361903</v>
      </c>
      <c r="C47" s="1976">
        <v>482183</v>
      </c>
      <c r="D47" s="2000">
        <v>459612</v>
      </c>
      <c r="E47" s="1981">
        <f t="shared" si="22"/>
        <v>0.95318997144237771</v>
      </c>
      <c r="F47" s="2000">
        <v>90668</v>
      </c>
      <c r="G47" s="1976">
        <v>117885</v>
      </c>
      <c r="H47" s="2000">
        <v>111608</v>
      </c>
      <c r="I47" s="1981">
        <f t="shared" si="23"/>
        <v>0.94675319166984773</v>
      </c>
      <c r="J47" s="2000">
        <v>225183</v>
      </c>
      <c r="K47" s="1976">
        <v>275267</v>
      </c>
      <c r="L47" s="2000">
        <v>242624</v>
      </c>
      <c r="M47" s="1981">
        <f t="shared" si="24"/>
        <v>0.88141331870511175</v>
      </c>
      <c r="N47" s="1999" t="s">
        <v>1376</v>
      </c>
      <c r="O47" s="2000">
        <v>0</v>
      </c>
      <c r="P47" s="1976">
        <v>0</v>
      </c>
      <c r="Q47" s="2000"/>
      <c r="R47" s="1981"/>
      <c r="S47" s="2000">
        <v>0</v>
      </c>
      <c r="T47" s="2000">
        <v>0</v>
      </c>
      <c r="U47" s="2000"/>
      <c r="V47" s="1981"/>
      <c r="W47" s="1976">
        <f t="shared" si="25"/>
        <v>677754</v>
      </c>
      <c r="X47" s="1976">
        <f t="shared" si="25"/>
        <v>875335</v>
      </c>
      <c r="Y47" s="1976">
        <f t="shared" si="25"/>
        <v>813844</v>
      </c>
      <c r="Z47" s="1981">
        <f t="shared" si="26"/>
        <v>0.92975146658136598</v>
      </c>
      <c r="AA47" s="1999" t="s">
        <v>1376</v>
      </c>
      <c r="AB47" s="2000">
        <v>0</v>
      </c>
      <c r="AC47" s="1976">
        <v>25208</v>
      </c>
      <c r="AD47" s="2000">
        <v>12267</v>
      </c>
      <c r="AE47" s="1981">
        <f t="shared" si="27"/>
        <v>0.48663122818152965</v>
      </c>
      <c r="AF47" s="2000">
        <v>0</v>
      </c>
      <c r="AG47" s="1976">
        <v>3493</v>
      </c>
      <c r="AH47" s="2001">
        <v>2492</v>
      </c>
      <c r="AI47" s="1981">
        <f t="shared" si="28"/>
        <v>0.71342685370741488</v>
      </c>
      <c r="AJ47" s="2000">
        <v>0</v>
      </c>
      <c r="AK47" s="2000">
        <v>0</v>
      </c>
      <c r="AL47" s="2000"/>
      <c r="AM47" s="1981"/>
      <c r="AN47" s="1999" t="s">
        <v>1376</v>
      </c>
      <c r="AO47" s="1976">
        <f t="shared" si="29"/>
        <v>0</v>
      </c>
      <c r="AP47" s="1976">
        <f t="shared" si="29"/>
        <v>28701</v>
      </c>
      <c r="AQ47" s="1976">
        <f t="shared" si="29"/>
        <v>14759</v>
      </c>
      <c r="AR47" s="1981">
        <f t="shared" si="30"/>
        <v>0.51423295355562526</v>
      </c>
      <c r="AS47" s="1976">
        <f t="shared" si="31"/>
        <v>677754</v>
      </c>
      <c r="AT47" s="1976">
        <f t="shared" si="31"/>
        <v>904036</v>
      </c>
      <c r="AU47" s="1976">
        <f t="shared" si="31"/>
        <v>828603</v>
      </c>
      <c r="AV47" s="1981">
        <f t="shared" si="32"/>
        <v>0.9165597387714649</v>
      </c>
      <c r="AW47" s="1976">
        <v>0</v>
      </c>
      <c r="AX47" s="1976">
        <v>0</v>
      </c>
      <c r="AY47" s="1976">
        <v>-28093</v>
      </c>
    </row>
    <row r="48" spans="1:51" s="1974" customFormat="1" ht="49.5" customHeight="1" thickBot="1" x14ac:dyDescent="0.55000000000000004">
      <c r="A48" s="2002" t="s">
        <v>1374</v>
      </c>
      <c r="B48" s="1983">
        <f>SUM(B46:B47)</f>
        <v>766760</v>
      </c>
      <c r="C48" s="1983">
        <f>SUM(C46:C47)</f>
        <v>946589</v>
      </c>
      <c r="D48" s="1983">
        <f>SUM(D46:D47)</f>
        <v>915379</v>
      </c>
      <c r="E48" s="2003">
        <f t="shared" si="22"/>
        <v>0.96702898512448376</v>
      </c>
      <c r="F48" s="1983">
        <f>SUM(F46:F47)</f>
        <v>192013</v>
      </c>
      <c r="G48" s="1983">
        <f>SUM(G46:G47)</f>
        <v>232590</v>
      </c>
      <c r="H48" s="1983">
        <f>SUM(H46:H47)</f>
        <v>223259</v>
      </c>
      <c r="I48" s="2003">
        <f t="shared" si="23"/>
        <v>0.95988219613912895</v>
      </c>
      <c r="J48" s="1983">
        <f>SUM(J46:J47)</f>
        <v>368845</v>
      </c>
      <c r="K48" s="1983">
        <f>SUM(K46:K47)</f>
        <v>424333</v>
      </c>
      <c r="L48" s="1983">
        <f>SUM(L46:L47)</f>
        <v>368452</v>
      </c>
      <c r="M48" s="2003">
        <f t="shared" si="24"/>
        <v>0.8683086161104604</v>
      </c>
      <c r="N48" s="2002" t="s">
        <v>1374</v>
      </c>
      <c r="O48" s="1983">
        <f>SUM(O46:O47)</f>
        <v>0</v>
      </c>
      <c r="P48" s="1983">
        <f>SUM(P46:P47)</f>
        <v>0</v>
      </c>
      <c r="Q48" s="1983">
        <f>SUM(Q46:Q47)</f>
        <v>0</v>
      </c>
      <c r="R48" s="2003"/>
      <c r="S48" s="1983">
        <f>SUM(S46:S47)</f>
        <v>0</v>
      </c>
      <c r="T48" s="1983">
        <f>SUM(T46:T47)</f>
        <v>0</v>
      </c>
      <c r="U48" s="1983">
        <f>SUM(U46:U47)</f>
        <v>0</v>
      </c>
      <c r="V48" s="2003"/>
      <c r="W48" s="1983">
        <f>SUM(W46:W47)</f>
        <v>1327618</v>
      </c>
      <c r="X48" s="1983">
        <f>SUM(X46:X47)</f>
        <v>1603512</v>
      </c>
      <c r="Y48" s="1983">
        <f>SUM(Y46:Y47)</f>
        <v>1507090</v>
      </c>
      <c r="Z48" s="2003">
        <f t="shared" si="26"/>
        <v>0.93986823921492324</v>
      </c>
      <c r="AA48" s="2002" t="s">
        <v>1374</v>
      </c>
      <c r="AB48" s="1983">
        <f>SUM(AB46:AB47)</f>
        <v>6469</v>
      </c>
      <c r="AC48" s="1983">
        <f>SUM(AC46:AC47)</f>
        <v>39282</v>
      </c>
      <c r="AD48" s="1983">
        <f>SUM(AD46:AD47)</f>
        <v>22192</v>
      </c>
      <c r="AE48" s="2003">
        <f t="shared" si="27"/>
        <v>0.56494068530115571</v>
      </c>
      <c r="AF48" s="1983">
        <f>SUM(AF46:AF47)</f>
        <v>169</v>
      </c>
      <c r="AG48" s="1983">
        <f>SUM(AG46:AG47)</f>
        <v>6394</v>
      </c>
      <c r="AH48" s="1983">
        <f>SUM(AH46:AH47)</f>
        <v>4305</v>
      </c>
      <c r="AI48" s="2003">
        <f t="shared" si="28"/>
        <v>0.67328745699092896</v>
      </c>
      <c r="AJ48" s="1983">
        <f>SUM(AJ46:AJ47)</f>
        <v>0</v>
      </c>
      <c r="AK48" s="1983">
        <f>SUM(AK46:AK47)</f>
        <v>0</v>
      </c>
      <c r="AL48" s="1983">
        <f>SUM(AL46:AL47)</f>
        <v>0</v>
      </c>
      <c r="AM48" s="2003"/>
      <c r="AN48" s="2002" t="s">
        <v>1374</v>
      </c>
      <c r="AO48" s="1983">
        <f>SUM(AO46:AO47)</f>
        <v>6638</v>
      </c>
      <c r="AP48" s="1983">
        <f>SUM(AP46:AP47)</f>
        <v>45676</v>
      </c>
      <c r="AQ48" s="1983">
        <f>SUM(AQ46:AQ47)</f>
        <v>26497</v>
      </c>
      <c r="AR48" s="2003">
        <f t="shared" si="30"/>
        <v>0.58010771521148963</v>
      </c>
      <c r="AS48" s="1983">
        <f>SUM(AS46:AS47)</f>
        <v>1334256</v>
      </c>
      <c r="AT48" s="1983">
        <f>SUM(AT46:AT47)</f>
        <v>1649188</v>
      </c>
      <c r="AU48" s="1983">
        <f>SUM(AU46:AU47)</f>
        <v>1533587</v>
      </c>
      <c r="AV48" s="2003">
        <f t="shared" si="32"/>
        <v>0.92990429229414717</v>
      </c>
      <c r="AW48" s="1976">
        <v>0</v>
      </c>
      <c r="AX48" s="1976">
        <v>0</v>
      </c>
      <c r="AY48" s="1976">
        <v>-29915</v>
      </c>
    </row>
    <row r="49" spans="1:51" s="1974" customFormat="1" ht="49.5" customHeight="1" thickBot="1" x14ac:dyDescent="0.55000000000000004">
      <c r="A49" s="2004" t="s">
        <v>1192</v>
      </c>
      <c r="B49" s="1996">
        <f>B38+B41+B44+B48</f>
        <v>1867324</v>
      </c>
      <c r="C49" s="1996">
        <f>C38+C41+C44+C48</f>
        <v>2269900</v>
      </c>
      <c r="D49" s="1996">
        <f>D38+D41+D44+D48</f>
        <v>2149647</v>
      </c>
      <c r="E49" s="1984">
        <f t="shared" si="22"/>
        <v>0.9470227763337592</v>
      </c>
      <c r="F49" s="1996">
        <f>F38+F41+F44+F48</f>
        <v>444743</v>
      </c>
      <c r="G49" s="1996">
        <f>G38+G41+G44+G48</f>
        <v>537604</v>
      </c>
      <c r="H49" s="1996">
        <f>H38+H41+H44+H48</f>
        <v>513347</v>
      </c>
      <c r="I49" s="1984">
        <f t="shared" si="23"/>
        <v>0.95487942798044656</v>
      </c>
      <c r="J49" s="1996">
        <f>J38+J41+J44+J48</f>
        <v>1107736</v>
      </c>
      <c r="K49" s="1996">
        <f>K38+K41+K44+K48</f>
        <v>1730920</v>
      </c>
      <c r="L49" s="1996">
        <f>L38+L41+L44+L48</f>
        <v>1520598</v>
      </c>
      <c r="M49" s="1984">
        <f t="shared" si="24"/>
        <v>0.87849120698819128</v>
      </c>
      <c r="N49" s="2004" t="s">
        <v>1192</v>
      </c>
      <c r="O49" s="1996">
        <f>O38+O41+O44+O48</f>
        <v>0</v>
      </c>
      <c r="P49" s="1996">
        <f>P38+P41+P44+P48</f>
        <v>0</v>
      </c>
      <c r="Q49" s="1996">
        <f>Q38+Q41+Q44+Q48</f>
        <v>0</v>
      </c>
      <c r="R49" s="1984"/>
      <c r="S49" s="1996">
        <f>S38+S41+S44+S48</f>
        <v>30383</v>
      </c>
      <c r="T49" s="1996">
        <f>T38+T41+T44+T48</f>
        <v>53606</v>
      </c>
      <c r="U49" s="1996">
        <f>U38+U41+U44+U48</f>
        <v>53605</v>
      </c>
      <c r="V49" s="1984">
        <f t="shared" ref="V49:V54" si="33">U49/T49</f>
        <v>0.99998134537178673</v>
      </c>
      <c r="W49" s="1996">
        <f>W38+W41+W44+W48</f>
        <v>3450186</v>
      </c>
      <c r="X49" s="1996">
        <f>X38+X41+X44+X48</f>
        <v>4592030</v>
      </c>
      <c r="Y49" s="1996">
        <f>Y38+Y41+Y44+Y48</f>
        <v>4237197</v>
      </c>
      <c r="Z49" s="1984">
        <f t="shared" si="26"/>
        <v>0.92272851004893264</v>
      </c>
      <c r="AA49" s="2004" t="s">
        <v>1192</v>
      </c>
      <c r="AB49" s="1996">
        <f>AB38+AB41+AB44+AB48</f>
        <v>25448</v>
      </c>
      <c r="AC49" s="1996">
        <f>AC38+AC41+AC44+AC48</f>
        <v>227492</v>
      </c>
      <c r="AD49" s="1996">
        <f>AD38+AD41+AD44+AD48</f>
        <v>95074</v>
      </c>
      <c r="AE49" s="1984">
        <f t="shared" si="27"/>
        <v>0.4179223884795949</v>
      </c>
      <c r="AF49" s="1996">
        <f>AF38+AF41+AF44+AF48</f>
        <v>3169</v>
      </c>
      <c r="AG49" s="1996">
        <f>AG38+AG41+AG44+AG48</f>
        <v>23794</v>
      </c>
      <c r="AH49" s="1996">
        <f>AH38+AH41+AH44+AH48</f>
        <v>15266</v>
      </c>
      <c r="AI49" s="1984">
        <f t="shared" si="28"/>
        <v>0.64159031688661006</v>
      </c>
      <c r="AJ49" s="1996">
        <f>AJ38+AJ41+AJ44+AJ48</f>
        <v>0</v>
      </c>
      <c r="AK49" s="1996">
        <f>AK38+AK41+AK44+AK48</f>
        <v>0</v>
      </c>
      <c r="AL49" s="1996">
        <f>AL38+AL41+AL44+AL48</f>
        <v>0</v>
      </c>
      <c r="AM49" s="1984"/>
      <c r="AN49" s="2004" t="s">
        <v>1192</v>
      </c>
      <c r="AO49" s="1996">
        <f>AO38+AO41+AO44+AO48</f>
        <v>28617</v>
      </c>
      <c r="AP49" s="1996">
        <f>AP38+AP41+AP44+AP48</f>
        <v>251286</v>
      </c>
      <c r="AQ49" s="1996">
        <f>AQ38+AQ41+AQ44+AQ48</f>
        <v>110340</v>
      </c>
      <c r="AR49" s="1984">
        <f t="shared" si="30"/>
        <v>0.43910126310260023</v>
      </c>
      <c r="AS49" s="1996">
        <f>AS38+AS41+AS44+AS48</f>
        <v>3478803</v>
      </c>
      <c r="AT49" s="1996">
        <f>AT38+AT41+AT44+AT48</f>
        <v>4843316</v>
      </c>
      <c r="AU49" s="1996">
        <f>AU38+AU41+AU44+AU48</f>
        <v>4347537</v>
      </c>
      <c r="AV49" s="1984">
        <f t="shared" si="32"/>
        <v>0.89763645403273296</v>
      </c>
      <c r="AW49" s="1976">
        <v>0</v>
      </c>
      <c r="AX49" s="1976">
        <v>0</v>
      </c>
      <c r="AY49" s="1976">
        <v>-164406</v>
      </c>
    </row>
    <row r="50" spans="1:51" s="1974" customFormat="1" ht="49.5" customHeight="1" thickBot="1" x14ac:dyDescent="0.55000000000000004">
      <c r="A50" s="2005" t="s">
        <v>1377</v>
      </c>
      <c r="B50" s="1996">
        <f>B30</f>
        <v>1505221</v>
      </c>
      <c r="C50" s="1996">
        <f>C30</f>
        <v>1550974</v>
      </c>
      <c r="D50" s="1996">
        <f>D30</f>
        <v>1481709</v>
      </c>
      <c r="E50" s="1981">
        <f t="shared" si="22"/>
        <v>0.95534096638628374</v>
      </c>
      <c r="F50" s="1996">
        <f>F30</f>
        <v>351786</v>
      </c>
      <c r="G50" s="1996">
        <f>G30</f>
        <v>363464</v>
      </c>
      <c r="H50" s="1996">
        <f>H30</f>
        <v>347177</v>
      </c>
      <c r="I50" s="1981">
        <f t="shared" si="23"/>
        <v>0.95518950982765827</v>
      </c>
      <c r="J50" s="1996">
        <f>J30</f>
        <v>1215695</v>
      </c>
      <c r="K50" s="1996">
        <f>K30</f>
        <v>1286201</v>
      </c>
      <c r="L50" s="1996">
        <f>L30</f>
        <v>1165970</v>
      </c>
      <c r="M50" s="1981">
        <f t="shared" si="24"/>
        <v>0.90652238646992189</v>
      </c>
      <c r="N50" s="2005" t="s">
        <v>1377</v>
      </c>
      <c r="O50" s="1996">
        <f>O30</f>
        <v>0</v>
      </c>
      <c r="P50" s="1996">
        <f>P30</f>
        <v>0</v>
      </c>
      <c r="Q50" s="1996">
        <f>Q30</f>
        <v>0</v>
      </c>
      <c r="R50" s="1981"/>
      <c r="S50" s="1996">
        <f>S30</f>
        <v>0</v>
      </c>
      <c r="T50" s="1996">
        <f>T30</f>
        <v>0</v>
      </c>
      <c r="U50" s="1996">
        <f>U30</f>
        <v>0</v>
      </c>
      <c r="V50" s="1981"/>
      <c r="W50" s="1996">
        <f>W30</f>
        <v>3072702</v>
      </c>
      <c r="X50" s="1996">
        <f>X30</f>
        <v>3200639</v>
      </c>
      <c r="Y50" s="1996">
        <f>Y30</f>
        <v>2994856</v>
      </c>
      <c r="Z50" s="1981">
        <f t="shared" si="26"/>
        <v>0.93570565127776051</v>
      </c>
      <c r="AA50" s="2005" t="s">
        <v>1377</v>
      </c>
      <c r="AB50" s="1996">
        <f>AB30</f>
        <v>0</v>
      </c>
      <c r="AC50" s="1996">
        <f>AC30</f>
        <v>100289</v>
      </c>
      <c r="AD50" s="1996">
        <f>AD30</f>
        <v>92179</v>
      </c>
      <c r="AE50" s="1981">
        <f t="shared" si="27"/>
        <v>0.91913370359660584</v>
      </c>
      <c r="AF50" s="1996">
        <f>AF30</f>
        <v>0</v>
      </c>
      <c r="AG50" s="1996">
        <f>AG30</f>
        <v>123172</v>
      </c>
      <c r="AH50" s="1996">
        <f>AH30</f>
        <v>98300</v>
      </c>
      <c r="AI50" s="1981">
        <f t="shared" si="28"/>
        <v>0.7980709901601013</v>
      </c>
      <c r="AJ50" s="1996">
        <f>AJ30</f>
        <v>0</v>
      </c>
      <c r="AK50" s="1996">
        <f>AK30</f>
        <v>0</v>
      </c>
      <c r="AL50" s="1996">
        <f>AL30</f>
        <v>0</v>
      </c>
      <c r="AM50" s="1981"/>
      <c r="AN50" s="2005" t="s">
        <v>1377</v>
      </c>
      <c r="AO50" s="1996">
        <f>AO30</f>
        <v>0</v>
      </c>
      <c r="AP50" s="1996">
        <f>AP30</f>
        <v>223461</v>
      </c>
      <c r="AQ50" s="1996">
        <f>AQ30</f>
        <v>190479</v>
      </c>
      <c r="AR50" s="1981">
        <f t="shared" si="30"/>
        <v>0.85240377515539623</v>
      </c>
      <c r="AS50" s="1996">
        <f>AS30</f>
        <v>3072702</v>
      </c>
      <c r="AT50" s="1996">
        <f>AT30</f>
        <v>3424100</v>
      </c>
      <c r="AU50" s="1996">
        <f>AU30</f>
        <v>3185335</v>
      </c>
      <c r="AV50" s="1981">
        <f t="shared" si="32"/>
        <v>0.93026926783680386</v>
      </c>
      <c r="AW50" s="1976">
        <v>0</v>
      </c>
      <c r="AX50" s="1976">
        <v>0</v>
      </c>
      <c r="AY50" s="1976">
        <v>-34970</v>
      </c>
    </row>
    <row r="51" spans="1:51" s="1974" customFormat="1" ht="49.5" customHeight="1" thickBot="1" x14ac:dyDescent="0.55000000000000004">
      <c r="A51" s="2006" t="s">
        <v>1193</v>
      </c>
      <c r="B51" s="1983">
        <f>SUM(B49:B50)</f>
        <v>3372545</v>
      </c>
      <c r="C51" s="1983">
        <f>SUM(C49:C50)</f>
        <v>3820874</v>
      </c>
      <c r="D51" s="1983">
        <f>SUM(D49:D50)</f>
        <v>3631356</v>
      </c>
      <c r="E51" s="1984">
        <f t="shared" si="22"/>
        <v>0.95039930654609395</v>
      </c>
      <c r="F51" s="1983">
        <f>SUM(F49:F50)</f>
        <v>796529</v>
      </c>
      <c r="G51" s="1983">
        <f>SUM(G49:G50)</f>
        <v>901068</v>
      </c>
      <c r="H51" s="1983">
        <f>SUM(H49:H50)</f>
        <v>860524</v>
      </c>
      <c r="I51" s="1984">
        <f t="shared" si="23"/>
        <v>0.95500450576427087</v>
      </c>
      <c r="J51" s="1983">
        <f>SUM(J49:J50)</f>
        <v>2323431</v>
      </c>
      <c r="K51" s="1983">
        <f>SUM(K49:K50)</f>
        <v>3017121</v>
      </c>
      <c r="L51" s="1983">
        <f>SUM(L49:L50)</f>
        <v>2686568</v>
      </c>
      <c r="M51" s="1984">
        <f t="shared" si="24"/>
        <v>0.89044092033431876</v>
      </c>
      <c r="N51" s="2006" t="s">
        <v>1193</v>
      </c>
      <c r="O51" s="1983">
        <f>SUM(O49:O50)</f>
        <v>0</v>
      </c>
      <c r="P51" s="1983">
        <f>SUM(P49:P50)</f>
        <v>0</v>
      </c>
      <c r="Q51" s="1983">
        <f>SUM(Q49:Q50)</f>
        <v>0</v>
      </c>
      <c r="R51" s="1984"/>
      <c r="S51" s="1983">
        <f>SUM(S49:S50)</f>
        <v>30383</v>
      </c>
      <c r="T51" s="1983">
        <f>SUM(T49:T50)</f>
        <v>53606</v>
      </c>
      <c r="U51" s="1983">
        <f>SUM(U49:U50)</f>
        <v>53605</v>
      </c>
      <c r="V51" s="1984">
        <f t="shared" si="33"/>
        <v>0.99998134537178673</v>
      </c>
      <c r="W51" s="1983">
        <f>SUM(W49:W50)</f>
        <v>6522888</v>
      </c>
      <c r="X51" s="1983">
        <f>SUM(X49:X50)</f>
        <v>7792669</v>
      </c>
      <c r="Y51" s="1983">
        <f>SUM(Y49:Y50)</f>
        <v>7232053</v>
      </c>
      <c r="Z51" s="1984">
        <f t="shared" si="26"/>
        <v>0.92805853809522776</v>
      </c>
      <c r="AA51" s="2006" t="s">
        <v>1193</v>
      </c>
      <c r="AB51" s="1983">
        <f>SUM(AB49:AB50)</f>
        <v>25448</v>
      </c>
      <c r="AC51" s="1983">
        <f>SUM(AC49:AC50)</f>
        <v>327781</v>
      </c>
      <c r="AD51" s="1983">
        <f>SUM(AD49:AD50)</f>
        <v>187253</v>
      </c>
      <c r="AE51" s="1984">
        <f t="shared" si="27"/>
        <v>0.57127472306204452</v>
      </c>
      <c r="AF51" s="1983">
        <f>SUM(AF49:AF50)</f>
        <v>3169</v>
      </c>
      <c r="AG51" s="1983">
        <f>SUM(AG49:AG50)</f>
        <v>146966</v>
      </c>
      <c r="AH51" s="1983">
        <f>SUM(AH49:AH50)</f>
        <v>113566</v>
      </c>
      <c r="AI51" s="1984">
        <f t="shared" si="28"/>
        <v>0.77273655131118757</v>
      </c>
      <c r="AJ51" s="1983">
        <f>SUM(AJ49:AJ50)</f>
        <v>0</v>
      </c>
      <c r="AK51" s="1983">
        <f>SUM(AK49:AK50)</f>
        <v>0</v>
      </c>
      <c r="AL51" s="1983">
        <f>SUM(AL49:AL50)</f>
        <v>0</v>
      </c>
      <c r="AM51" s="1984"/>
      <c r="AN51" s="2006" t="s">
        <v>1193</v>
      </c>
      <c r="AO51" s="1983">
        <f>SUM(AO49:AO50)</f>
        <v>28617</v>
      </c>
      <c r="AP51" s="1983">
        <f>SUM(AP49:AP50)</f>
        <v>474747</v>
      </c>
      <c r="AQ51" s="1983">
        <f>SUM(AQ49:AQ50)</f>
        <v>300819</v>
      </c>
      <c r="AR51" s="1984">
        <f t="shared" si="30"/>
        <v>0.63364065491725063</v>
      </c>
      <c r="AS51" s="1983">
        <f>SUM(AS49:AS50)</f>
        <v>6551505</v>
      </c>
      <c r="AT51" s="1983">
        <f>SUM(AT49:AT50)</f>
        <v>8267416</v>
      </c>
      <c r="AU51" s="1983">
        <f>SUM(AU49:AU50)</f>
        <v>7532872</v>
      </c>
      <c r="AV51" s="1984">
        <f t="shared" si="32"/>
        <v>0.91115192461586547</v>
      </c>
      <c r="AW51" s="1976">
        <v>0</v>
      </c>
      <c r="AX51" s="1976">
        <v>0</v>
      </c>
      <c r="AY51" s="1976">
        <v>-199376</v>
      </c>
    </row>
    <row r="52" spans="1:51" s="1974" customFormat="1" ht="49.5" customHeight="1" x14ac:dyDescent="0.5">
      <c r="A52" s="1998" t="s">
        <v>1378</v>
      </c>
      <c r="B52" s="2007">
        <v>125944</v>
      </c>
      <c r="C52" s="2007">
        <v>129924</v>
      </c>
      <c r="D52" s="2007">
        <v>117559</v>
      </c>
      <c r="E52" s="2008">
        <f t="shared" si="22"/>
        <v>0.90482897694036513</v>
      </c>
      <c r="F52" s="2007">
        <v>28800</v>
      </c>
      <c r="G52" s="2007">
        <v>30004</v>
      </c>
      <c r="H52" s="2007">
        <v>28408</v>
      </c>
      <c r="I52" s="2008">
        <f t="shared" si="23"/>
        <v>0.94680709238768168</v>
      </c>
      <c r="J52" s="2007">
        <v>33662</v>
      </c>
      <c r="K52" s="2007">
        <v>35228</v>
      </c>
      <c r="L52" s="2007">
        <v>30117</v>
      </c>
      <c r="M52" s="2008">
        <f t="shared" si="24"/>
        <v>0.85491654365845349</v>
      </c>
      <c r="N52" s="1998" t="s">
        <v>1378</v>
      </c>
      <c r="O52" s="2007">
        <v>0</v>
      </c>
      <c r="P52" s="2007">
        <v>0</v>
      </c>
      <c r="Q52" s="1998"/>
      <c r="R52" s="2008"/>
      <c r="S52" s="2007">
        <v>0</v>
      </c>
      <c r="T52" s="2007">
        <v>0</v>
      </c>
      <c r="U52" s="1998"/>
      <c r="V52" s="2008"/>
      <c r="W52" s="2007">
        <f t="shared" ref="W52:Y53" si="34">B52+F52+J52+O52+S52</f>
        <v>188406</v>
      </c>
      <c r="X52" s="2007">
        <f t="shared" si="34"/>
        <v>195156</v>
      </c>
      <c r="Y52" s="2007">
        <f t="shared" si="34"/>
        <v>176084</v>
      </c>
      <c r="Z52" s="2008">
        <f t="shared" si="26"/>
        <v>0.90227305335218999</v>
      </c>
      <c r="AA52" s="1998" t="s">
        <v>1378</v>
      </c>
      <c r="AB52" s="2007">
        <v>3000</v>
      </c>
      <c r="AC52" s="2007">
        <v>6708</v>
      </c>
      <c r="AD52" s="2007">
        <v>3566</v>
      </c>
      <c r="AE52" s="2008">
        <f t="shared" si="27"/>
        <v>0.53160405485986884</v>
      </c>
      <c r="AF52" s="2007">
        <v>820</v>
      </c>
      <c r="AG52" s="2007">
        <v>713</v>
      </c>
      <c r="AH52" s="2007">
        <v>713</v>
      </c>
      <c r="AI52" s="2008">
        <f t="shared" si="28"/>
        <v>1</v>
      </c>
      <c r="AJ52" s="2007">
        <v>0</v>
      </c>
      <c r="AK52" s="2007">
        <v>0</v>
      </c>
      <c r="AL52" s="1998"/>
      <c r="AM52" s="1998"/>
      <c r="AN52" s="1998" t="s">
        <v>1378</v>
      </c>
      <c r="AO52" s="2007">
        <f t="shared" ref="AO52:AQ53" si="35">AB52+AF52+AJ52</f>
        <v>3820</v>
      </c>
      <c r="AP52" s="2007">
        <f t="shared" si="35"/>
        <v>7421</v>
      </c>
      <c r="AQ52" s="2007">
        <f t="shared" si="35"/>
        <v>4279</v>
      </c>
      <c r="AR52" s="2008">
        <f t="shared" si="30"/>
        <v>0.57660692629025734</v>
      </c>
      <c r="AS52" s="2007">
        <f t="shared" ref="AS52:AU53" si="36">W52+AO52</f>
        <v>192226</v>
      </c>
      <c r="AT52" s="2007">
        <f t="shared" si="36"/>
        <v>202577</v>
      </c>
      <c r="AU52" s="2007">
        <f t="shared" si="36"/>
        <v>180363</v>
      </c>
      <c r="AV52" s="2008">
        <f t="shared" si="32"/>
        <v>0.89034293132981535</v>
      </c>
      <c r="AW52" s="2007">
        <v>0</v>
      </c>
      <c r="AX52" s="2007">
        <v>0</v>
      </c>
      <c r="AY52" s="2007">
        <v>-1429</v>
      </c>
    </row>
    <row r="53" spans="1:51" s="1974" customFormat="1" ht="49.5" customHeight="1" thickBot="1" x14ac:dyDescent="0.55000000000000004">
      <c r="A53" s="1999" t="s">
        <v>75</v>
      </c>
      <c r="B53" s="2009">
        <v>1093620</v>
      </c>
      <c r="C53" s="2009">
        <v>1254130</v>
      </c>
      <c r="D53" s="2009">
        <v>1123027</v>
      </c>
      <c r="E53" s="1985">
        <f t="shared" si="22"/>
        <v>0.89546299028011456</v>
      </c>
      <c r="F53" s="2009">
        <v>264773</v>
      </c>
      <c r="G53" s="2009">
        <v>302228</v>
      </c>
      <c r="H53" s="2009">
        <v>271394</v>
      </c>
      <c r="I53" s="1985">
        <f t="shared" si="23"/>
        <v>0.89797768572071412</v>
      </c>
      <c r="J53" s="2009">
        <v>329421</v>
      </c>
      <c r="K53" s="2009">
        <v>364251</v>
      </c>
      <c r="L53" s="2009">
        <v>277339</v>
      </c>
      <c r="M53" s="1985">
        <f t="shared" si="24"/>
        <v>0.76139530159148494</v>
      </c>
      <c r="N53" s="1999" t="s">
        <v>75</v>
      </c>
      <c r="O53" s="2009">
        <v>0</v>
      </c>
      <c r="P53" s="2009">
        <v>0</v>
      </c>
      <c r="Q53" s="1999"/>
      <c r="R53" s="1985"/>
      <c r="S53" s="2009">
        <v>3000</v>
      </c>
      <c r="T53" s="2009">
        <v>3000</v>
      </c>
      <c r="U53" s="2009">
        <v>3000</v>
      </c>
      <c r="V53" s="1985">
        <f t="shared" si="33"/>
        <v>1</v>
      </c>
      <c r="W53" s="2009">
        <f t="shared" si="34"/>
        <v>1690814</v>
      </c>
      <c r="X53" s="2009">
        <f t="shared" si="34"/>
        <v>1923609</v>
      </c>
      <c r="Y53" s="2009">
        <f t="shared" si="34"/>
        <v>1674760</v>
      </c>
      <c r="Z53" s="1985">
        <f t="shared" si="26"/>
        <v>0.87063431289830728</v>
      </c>
      <c r="AA53" s="1999" t="s">
        <v>75</v>
      </c>
      <c r="AB53" s="2009">
        <v>20000</v>
      </c>
      <c r="AC53" s="2009">
        <v>83030</v>
      </c>
      <c r="AD53" s="2009">
        <v>64453</v>
      </c>
      <c r="AE53" s="1985">
        <f t="shared" si="27"/>
        <v>0.77626159219559199</v>
      </c>
      <c r="AF53" s="2009">
        <v>0</v>
      </c>
      <c r="AG53" s="2009">
        <v>0</v>
      </c>
      <c r="AH53" s="2009"/>
      <c r="AI53" s="1985"/>
      <c r="AJ53" s="2009">
        <v>0</v>
      </c>
      <c r="AK53" s="2009">
        <v>0</v>
      </c>
      <c r="AL53" s="1999"/>
      <c r="AM53" s="1999"/>
      <c r="AN53" s="1999" t="s">
        <v>75</v>
      </c>
      <c r="AO53" s="2009">
        <f t="shared" si="35"/>
        <v>20000</v>
      </c>
      <c r="AP53" s="2009">
        <f t="shared" si="35"/>
        <v>83030</v>
      </c>
      <c r="AQ53" s="2009">
        <f t="shared" si="35"/>
        <v>64453</v>
      </c>
      <c r="AR53" s="1985">
        <f t="shared" si="30"/>
        <v>0.77626159219559199</v>
      </c>
      <c r="AS53" s="2009">
        <f t="shared" si="36"/>
        <v>1710814</v>
      </c>
      <c r="AT53" s="2009">
        <f t="shared" si="36"/>
        <v>2006639</v>
      </c>
      <c r="AU53" s="2009">
        <f>Y53+AQ53</f>
        <v>1739213</v>
      </c>
      <c r="AV53" s="1985">
        <f t="shared" si="32"/>
        <v>0.86672939178397312</v>
      </c>
      <c r="AW53" s="2009">
        <v>0</v>
      </c>
      <c r="AX53" s="2009">
        <v>0</v>
      </c>
      <c r="AY53" s="2009">
        <v>-7341</v>
      </c>
    </row>
    <row r="54" spans="1:51" s="1974" customFormat="1" ht="49.5" customHeight="1" thickBot="1" x14ac:dyDescent="0.55000000000000004">
      <c r="A54" s="2006" t="s">
        <v>747</v>
      </c>
      <c r="B54" s="2010">
        <f>SUM(B51:B53)</f>
        <v>4592109</v>
      </c>
      <c r="C54" s="2010">
        <f>SUM(C51:C53)</f>
        <v>5204928</v>
      </c>
      <c r="D54" s="2010">
        <f>SUM(D51:D53)</f>
        <v>4871942</v>
      </c>
      <c r="E54" s="1984">
        <f t="shared" si="22"/>
        <v>0.93602485951774939</v>
      </c>
      <c r="F54" s="2010">
        <f>SUM(F51:F53)</f>
        <v>1090102</v>
      </c>
      <c r="G54" s="2010">
        <f>SUM(G51:G53)</f>
        <v>1233300</v>
      </c>
      <c r="H54" s="2010">
        <f>SUM(H51:H53)</f>
        <v>1160326</v>
      </c>
      <c r="I54" s="1984">
        <f t="shared" si="23"/>
        <v>0.9408302927106138</v>
      </c>
      <c r="J54" s="2010">
        <f>SUM(J51:J53)</f>
        <v>2686514</v>
      </c>
      <c r="K54" s="2010">
        <f>SUM(K51:K53)</f>
        <v>3416600</v>
      </c>
      <c r="L54" s="2010">
        <f>SUM(L51:L53)</f>
        <v>2994024</v>
      </c>
      <c r="M54" s="1984">
        <f t="shared" si="24"/>
        <v>0.87631680618158403</v>
      </c>
      <c r="N54" s="2006" t="s">
        <v>747</v>
      </c>
      <c r="O54" s="2010">
        <f>SUM(O51:O53)</f>
        <v>0</v>
      </c>
      <c r="P54" s="2010">
        <f>SUM(P51:P53)</f>
        <v>0</v>
      </c>
      <c r="Q54" s="2010">
        <f>SUM(Q51:Q53)</f>
        <v>0</v>
      </c>
      <c r="R54" s="1984"/>
      <c r="S54" s="2010">
        <f>SUM(S51:S53)</f>
        <v>33383</v>
      </c>
      <c r="T54" s="2010">
        <f>SUM(T51:T53)</f>
        <v>56606</v>
      </c>
      <c r="U54" s="2010">
        <f>SUM(U51:U53)</f>
        <v>56605</v>
      </c>
      <c r="V54" s="1984">
        <f t="shared" si="33"/>
        <v>0.99998233402819492</v>
      </c>
      <c r="W54" s="2010">
        <f>SUM(W51:W53)</f>
        <v>8402108</v>
      </c>
      <c r="X54" s="2010">
        <f>SUM(X51:X53)</f>
        <v>9911434</v>
      </c>
      <c r="Y54" s="2010">
        <f>SUM(Y51:Y53)</f>
        <v>9082897</v>
      </c>
      <c r="Z54" s="1984">
        <f t="shared" si="26"/>
        <v>0.91640594085578331</v>
      </c>
      <c r="AA54" s="2006" t="s">
        <v>747</v>
      </c>
      <c r="AB54" s="2010">
        <f>SUM(AB51:AB53)</f>
        <v>48448</v>
      </c>
      <c r="AC54" s="2010">
        <f>SUM(AC51:AC53)</f>
        <v>417519</v>
      </c>
      <c r="AD54" s="2010">
        <f>SUM(AD51:AD53)</f>
        <v>255272</v>
      </c>
      <c r="AE54" s="1984">
        <f t="shared" si="27"/>
        <v>0.61140211583185433</v>
      </c>
      <c r="AF54" s="2010">
        <f>SUM(AF51:AF53)</f>
        <v>3989</v>
      </c>
      <c r="AG54" s="2010">
        <f>SUM(AG51:AG53)</f>
        <v>147679</v>
      </c>
      <c r="AH54" s="2010">
        <f>SUM(AH51:AH53)</f>
        <v>114279</v>
      </c>
      <c r="AI54" s="1984">
        <f t="shared" si="28"/>
        <v>0.77383378814861969</v>
      </c>
      <c r="AJ54" s="2010">
        <f>SUM(AJ51:AJ53)</f>
        <v>0</v>
      </c>
      <c r="AK54" s="2010">
        <f>SUM(AK51:AK53)</f>
        <v>0</v>
      </c>
      <c r="AL54" s="2010">
        <f>SUM(AL51:AL53)</f>
        <v>0</v>
      </c>
      <c r="AM54" s="2011"/>
      <c r="AN54" s="2006" t="s">
        <v>747</v>
      </c>
      <c r="AO54" s="2010">
        <f>SUM(AO51:AO53)</f>
        <v>52437</v>
      </c>
      <c r="AP54" s="2010">
        <f>SUM(AP51:AP53)</f>
        <v>565198</v>
      </c>
      <c r="AQ54" s="2010">
        <f>SUM(AQ51:AQ53)</f>
        <v>369551</v>
      </c>
      <c r="AR54" s="1984">
        <f t="shared" si="30"/>
        <v>0.65384343185927762</v>
      </c>
      <c r="AS54" s="2010">
        <f>SUM(AS51:AS53)</f>
        <v>8454545</v>
      </c>
      <c r="AT54" s="2010">
        <f>SUM(AT51:AT53)</f>
        <v>10476632</v>
      </c>
      <c r="AU54" s="2010">
        <f>SUM(AU51:AU53)</f>
        <v>9452448</v>
      </c>
      <c r="AV54" s="1984">
        <f t="shared" si="32"/>
        <v>0.90224110191137763</v>
      </c>
      <c r="AW54" s="2011">
        <v>0</v>
      </c>
      <c r="AX54" s="2011">
        <v>0</v>
      </c>
      <c r="AY54" s="2011">
        <v>-208146</v>
      </c>
    </row>
    <row r="55" spans="1:51" s="2016" customFormat="1" ht="49.5" customHeight="1" x14ac:dyDescent="0.3">
      <c r="A55" s="2012"/>
      <c r="B55" s="2013"/>
      <c r="C55" s="2013"/>
      <c r="D55" s="2013"/>
      <c r="E55" s="2013"/>
      <c r="F55" s="2013"/>
      <c r="G55" s="2013"/>
      <c r="H55" s="2013"/>
      <c r="I55" s="2013"/>
      <c r="J55" s="2013"/>
      <c r="K55" s="2013"/>
      <c r="L55" s="2013"/>
      <c r="M55" s="2013"/>
      <c r="N55" s="2012"/>
      <c r="O55" s="2013"/>
      <c r="P55" s="2013"/>
      <c r="Q55" s="2013"/>
      <c r="R55" s="2013"/>
      <c r="S55" s="2013"/>
      <c r="T55" s="2013"/>
      <c r="U55" s="2013"/>
      <c r="V55" s="2013"/>
      <c r="W55" s="2013"/>
      <c r="X55" s="2013"/>
      <c r="Y55" s="2013"/>
      <c r="Z55" s="2013"/>
      <c r="AA55" s="2014"/>
      <c r="AB55" s="2012"/>
      <c r="AC55" s="2012"/>
      <c r="AD55" s="2012"/>
      <c r="AE55" s="2012"/>
      <c r="AF55" s="2012"/>
      <c r="AG55" s="2012"/>
      <c r="AH55" s="2012"/>
      <c r="AI55" s="2012"/>
      <c r="AJ55" s="2012"/>
      <c r="AK55" s="2012"/>
      <c r="AL55" s="2012"/>
      <c r="AM55" s="2012"/>
      <c r="AN55" s="2014"/>
      <c r="AO55" s="2012"/>
      <c r="AP55" s="2012"/>
      <c r="AQ55" s="2012"/>
      <c r="AR55" s="2012"/>
      <c r="AS55" s="2012"/>
      <c r="AT55" s="2012"/>
      <c r="AU55" s="2012"/>
      <c r="AV55" s="2012"/>
      <c r="AW55" s="2015"/>
      <c r="AX55" s="2015"/>
      <c r="AY55" s="2015"/>
    </row>
    <row r="56" spans="1:51" ht="49.5" customHeight="1" x14ac:dyDescent="0.3"/>
    <row r="57" spans="1:51" ht="49.5" customHeight="1" x14ac:dyDescent="0.3"/>
  </sheetData>
  <mergeCells count="19">
    <mergeCell ref="B5:E7"/>
    <mergeCell ref="F5:I7"/>
    <mergeCell ref="J5:M7"/>
    <mergeCell ref="O5:R7"/>
    <mergeCell ref="S5:V7"/>
    <mergeCell ref="A2:M2"/>
    <mergeCell ref="N2:Z2"/>
    <mergeCell ref="AA2:AM2"/>
    <mergeCell ref="AN2:AV2"/>
    <mergeCell ref="A3:M3"/>
    <mergeCell ref="N3:Z3"/>
    <mergeCell ref="AA3:AM3"/>
    <mergeCell ref="AN3:AV3"/>
    <mergeCell ref="AF5:AI7"/>
    <mergeCell ref="AJ5:AM7"/>
    <mergeCell ref="AO5:AR7"/>
    <mergeCell ref="AS5:AV7"/>
    <mergeCell ref="W5:Z7"/>
    <mergeCell ref="AB5:AE7"/>
  </mergeCells>
  <printOptions horizontalCentered="1" verticalCentered="1"/>
  <pageMargins left="0" right="0" top="0" bottom="0" header="0" footer="0"/>
  <pageSetup paperSize="9" scale="20" orientation="landscape" r:id="rId1"/>
  <headerFooter alignWithMargins="0">
    <oddHeader>&amp;R&amp;26
&amp;"Times New Roman CE,Félkövér"&amp;48 6. melléklet a …../2018. (…….) önkormányzati rendelethez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K96"/>
  <sheetViews>
    <sheetView zoomScale="40" zoomScaleNormal="40" zoomScaleSheetLayoutView="50" workbookViewId="0">
      <pane xSplit="1" ySplit="7" topLeftCell="B8" activePane="bottomRight" state="frozen"/>
      <selection activeCell="G6" sqref="G6"/>
      <selection pane="topRight" activeCell="G6" sqref="G6"/>
      <selection pane="bottomLeft" activeCell="G6" sqref="G6"/>
      <selection pane="bottomRight" activeCell="CX37" sqref="CX37"/>
    </sheetView>
  </sheetViews>
  <sheetFormatPr defaultColWidth="12" defaultRowHeight="33.75" x14ac:dyDescent="0.5"/>
  <cols>
    <col min="1" max="1" width="174.33203125" style="2162" customWidth="1"/>
    <col min="2" max="2" width="71.6640625" style="2168" customWidth="1"/>
    <col min="3" max="3" width="71.5" style="2250" customWidth="1"/>
    <col min="4" max="4" width="71.5" style="2168" customWidth="1"/>
    <col min="5" max="5" width="71.6640625" style="2250" customWidth="1"/>
    <col min="6" max="6" width="71.5" style="2168" customWidth="1"/>
    <col min="7" max="7" width="71.6640625" style="2168" customWidth="1"/>
    <col min="8" max="8" width="12" style="2168" customWidth="1"/>
    <col min="9" max="9" width="22.5" style="2169" customWidth="1"/>
    <col min="10" max="16384" width="12" style="2168"/>
  </cols>
  <sheetData>
    <row r="1" spans="1:9" s="2162" customFormat="1" ht="45" customHeight="1" x14ac:dyDescent="0.5">
      <c r="A1" s="2161"/>
      <c r="B1" s="2614" t="s">
        <v>1393</v>
      </c>
      <c r="C1" s="2614"/>
      <c r="D1" s="2614"/>
      <c r="E1" s="2614"/>
      <c r="I1" s="2163"/>
    </row>
    <row r="2" spans="1:9" s="2162" customFormat="1" ht="44.25" customHeight="1" x14ac:dyDescent="0.5">
      <c r="A2" s="2164"/>
      <c r="B2" s="2615" t="s">
        <v>1394</v>
      </c>
      <c r="C2" s="2615"/>
      <c r="D2" s="2615"/>
      <c r="E2" s="2615"/>
      <c r="I2" s="2163"/>
    </row>
    <row r="3" spans="1:9" ht="44.25" customHeight="1" thickBot="1" x14ac:dyDescent="0.55000000000000004">
      <c r="A3" s="2165"/>
      <c r="B3" s="2616"/>
      <c r="C3" s="2616"/>
      <c r="D3" s="2166"/>
      <c r="E3" s="2167"/>
      <c r="F3" s="2166"/>
      <c r="G3" s="2166"/>
    </row>
    <row r="4" spans="1:9" s="2162" customFormat="1" ht="108.75" customHeight="1" thickBot="1" x14ac:dyDescent="0.55000000000000004">
      <c r="A4" s="2170"/>
      <c r="B4" s="2617" t="s">
        <v>1395</v>
      </c>
      <c r="C4" s="2618"/>
      <c r="D4" s="2618"/>
      <c r="E4" s="2619"/>
      <c r="F4" s="2620" t="s">
        <v>1396</v>
      </c>
      <c r="G4" s="2621"/>
      <c r="I4" s="2171"/>
    </row>
    <row r="5" spans="1:9" s="2162" customFormat="1" ht="45.75" customHeight="1" thickBot="1" x14ac:dyDescent="0.55000000000000004">
      <c r="A5" s="2172" t="s">
        <v>1397</v>
      </c>
      <c r="B5" s="2624" t="s">
        <v>1398</v>
      </c>
      <c r="C5" s="2625"/>
      <c r="D5" s="2626" t="s">
        <v>1399</v>
      </c>
      <c r="E5" s="2627"/>
      <c r="F5" s="2622"/>
      <c r="G5" s="2623"/>
      <c r="I5" s="2171"/>
    </row>
    <row r="6" spans="1:9" s="2162" customFormat="1" ht="42" customHeight="1" thickBot="1" x14ac:dyDescent="0.55000000000000004">
      <c r="A6" s="2173"/>
      <c r="B6" s="2612" t="s">
        <v>1400</v>
      </c>
      <c r="C6" s="2613"/>
      <c r="D6" s="2612" t="s">
        <v>1400</v>
      </c>
      <c r="E6" s="2613"/>
      <c r="F6" s="2174"/>
      <c r="G6" s="2174"/>
      <c r="I6" s="2171"/>
    </row>
    <row r="7" spans="1:9" s="2162" customFormat="1" ht="44.25" customHeight="1" thickBot="1" x14ac:dyDescent="0.55000000000000004">
      <c r="A7" s="2175"/>
      <c r="B7" s="2176" t="s">
        <v>1401</v>
      </c>
      <c r="C7" s="2177" t="s">
        <v>1402</v>
      </c>
      <c r="D7" s="2176" t="s">
        <v>1401</v>
      </c>
      <c r="E7" s="2177" t="s">
        <v>1402</v>
      </c>
      <c r="F7" s="2174" t="s">
        <v>1401</v>
      </c>
      <c r="G7" s="2174" t="s">
        <v>1403</v>
      </c>
      <c r="I7" s="2171"/>
    </row>
    <row r="8" spans="1:9" s="2182" customFormat="1" ht="90.75" customHeight="1" x14ac:dyDescent="0.3">
      <c r="A8" s="2178" t="s">
        <v>1141</v>
      </c>
      <c r="B8" s="2179"/>
      <c r="C8" s="2180"/>
      <c r="D8" s="2181"/>
      <c r="E8" s="2180"/>
      <c r="F8" s="2181"/>
      <c r="G8" s="2181"/>
      <c r="I8" s="2183"/>
    </row>
    <row r="9" spans="1:9" s="2189" customFormat="1" ht="45.75" customHeight="1" x14ac:dyDescent="0.5">
      <c r="A9" s="2184" t="s">
        <v>1145</v>
      </c>
      <c r="B9" s="2185">
        <f>'[6]létszám ei mód RM V.'!F9</f>
        <v>32</v>
      </c>
      <c r="C9" s="2186">
        <f>'[6]létszám ei mód RM V.'!G9</f>
        <v>32</v>
      </c>
      <c r="D9" s="2187">
        <f>'[6]létszám ei mód RM V.'!L9</f>
        <v>1</v>
      </c>
      <c r="E9" s="2186">
        <f>'[6]létszám ei mód RM V.'!M9</f>
        <v>1</v>
      </c>
      <c r="F9" s="2187">
        <f t="shared" ref="F9:G26" si="0">B9+D9</f>
        <v>33</v>
      </c>
      <c r="G9" s="2188">
        <f t="shared" si="0"/>
        <v>33</v>
      </c>
      <c r="I9" s="2169"/>
    </row>
    <row r="10" spans="1:9" s="2189" customFormat="1" ht="45.75" customHeight="1" x14ac:dyDescent="0.5">
      <c r="A10" s="2190" t="s">
        <v>1353</v>
      </c>
      <c r="B10" s="2191">
        <f>'[6]létszám ei mód RM V.'!F10</f>
        <v>22</v>
      </c>
      <c r="C10" s="2192">
        <f>'[6]létszám ei mód RM V.'!G10</f>
        <v>22</v>
      </c>
      <c r="D10" s="2191">
        <f>'[6]létszám ei mód RM V.'!L10</f>
        <v>1</v>
      </c>
      <c r="E10" s="2192">
        <f>'[6]létszám ei mód RM V.'!M10</f>
        <v>1</v>
      </c>
      <c r="F10" s="2193">
        <f t="shared" si="0"/>
        <v>23</v>
      </c>
      <c r="G10" s="2194">
        <f t="shared" si="0"/>
        <v>23</v>
      </c>
      <c r="I10" s="2169"/>
    </row>
    <row r="11" spans="1:9" s="2189" customFormat="1" ht="45.75" customHeight="1" x14ac:dyDescent="0.5">
      <c r="A11" s="2190" t="s">
        <v>1354</v>
      </c>
      <c r="B11" s="2185">
        <f>'[6]létszám ei mód RM V.'!F11</f>
        <v>22</v>
      </c>
      <c r="C11" s="2195">
        <f>'[6]létszám ei mód RM V.'!G11</f>
        <v>22</v>
      </c>
      <c r="D11" s="2187">
        <f>'[6]létszám ei mód RM V.'!L11</f>
        <v>1</v>
      </c>
      <c r="E11" s="2195">
        <f>'[6]létszám ei mód RM V.'!M11</f>
        <v>1</v>
      </c>
      <c r="F11" s="2196">
        <f t="shared" si="0"/>
        <v>23</v>
      </c>
      <c r="G11" s="2197">
        <f t="shared" si="0"/>
        <v>23</v>
      </c>
      <c r="I11" s="2169"/>
    </row>
    <row r="12" spans="1:9" s="2189" customFormat="1" ht="45.75" customHeight="1" x14ac:dyDescent="0.5">
      <c r="A12" s="2190" t="s">
        <v>1355</v>
      </c>
      <c r="B12" s="2191">
        <f>'[6]létszám ei mód RM V.'!F12</f>
        <v>26</v>
      </c>
      <c r="C12" s="2186">
        <f>'[6]létszám ei mód RM V.'!G12</f>
        <v>26</v>
      </c>
      <c r="D12" s="2191">
        <f>'[6]létszám ei mód RM V.'!L12</f>
        <v>1</v>
      </c>
      <c r="E12" s="2186">
        <f>'[6]létszám ei mód RM V.'!M12</f>
        <v>1</v>
      </c>
      <c r="F12" s="2187">
        <f t="shared" si="0"/>
        <v>27</v>
      </c>
      <c r="G12" s="2188">
        <f t="shared" si="0"/>
        <v>27</v>
      </c>
      <c r="I12" s="2169"/>
    </row>
    <row r="13" spans="1:9" s="2189" customFormat="1" ht="45.75" customHeight="1" x14ac:dyDescent="0.5">
      <c r="A13" s="2190" t="s">
        <v>1356</v>
      </c>
      <c r="B13" s="2191">
        <f>'[6]létszám ei mód RM V.'!F13</f>
        <v>25</v>
      </c>
      <c r="C13" s="2192">
        <f>'[6]létszám ei mód RM V.'!G13</f>
        <v>25</v>
      </c>
      <c r="D13" s="2191">
        <f>'[6]létszám ei mód RM V.'!L13</f>
        <v>1</v>
      </c>
      <c r="E13" s="2192">
        <f>'[6]létszám ei mód RM V.'!M13</f>
        <v>1</v>
      </c>
      <c r="F13" s="2193">
        <f t="shared" si="0"/>
        <v>26</v>
      </c>
      <c r="G13" s="2194">
        <f t="shared" si="0"/>
        <v>26</v>
      </c>
      <c r="I13" s="2169"/>
    </row>
    <row r="14" spans="1:9" s="2189" customFormat="1" ht="45.75" customHeight="1" x14ac:dyDescent="0.5">
      <c r="A14" s="2190" t="s">
        <v>1357</v>
      </c>
      <c r="B14" s="2191">
        <f>'[6]létszám ei mód RM V.'!F14</f>
        <v>22.5</v>
      </c>
      <c r="C14" s="2195">
        <f>'[6]létszám ei mód RM V.'!G14</f>
        <v>23</v>
      </c>
      <c r="D14" s="2191">
        <f>'[6]létszám ei mód RM V.'!L14</f>
        <v>1</v>
      </c>
      <c r="E14" s="2195">
        <f>'[6]létszám ei mód RM V.'!M14</f>
        <v>1</v>
      </c>
      <c r="F14" s="2196">
        <f t="shared" si="0"/>
        <v>23.5</v>
      </c>
      <c r="G14" s="2197">
        <f t="shared" si="0"/>
        <v>24</v>
      </c>
      <c r="I14" s="2169"/>
    </row>
    <row r="15" spans="1:9" s="2189" customFormat="1" ht="45.75" customHeight="1" x14ac:dyDescent="0.5">
      <c r="A15" s="2190" t="s">
        <v>1358</v>
      </c>
      <c r="B15" s="2191">
        <f>'[6]létszám ei mód RM V.'!F15</f>
        <v>18</v>
      </c>
      <c r="C15" s="2192">
        <f>'[6]létszám ei mód RM V.'!G15</f>
        <v>18</v>
      </c>
      <c r="D15" s="2191">
        <f>'[6]létszám ei mód RM V.'!L15</f>
        <v>1</v>
      </c>
      <c r="E15" s="2192">
        <f>'[6]létszám ei mód RM V.'!M15</f>
        <v>1</v>
      </c>
      <c r="F15" s="2193">
        <f t="shared" si="0"/>
        <v>19</v>
      </c>
      <c r="G15" s="2194">
        <f t="shared" si="0"/>
        <v>19</v>
      </c>
      <c r="I15" s="2169"/>
    </row>
    <row r="16" spans="1:9" s="2189" customFormat="1" ht="45.75" customHeight="1" x14ac:dyDescent="0.5">
      <c r="A16" s="2190" t="s">
        <v>1359</v>
      </c>
      <c r="B16" s="2191">
        <f>'[6]létszám ei mód RM V.'!F16</f>
        <v>18</v>
      </c>
      <c r="C16" s="2195">
        <f>'[6]létszám ei mód RM V.'!G16</f>
        <v>18</v>
      </c>
      <c r="D16" s="2191">
        <f>'[6]létszám ei mód RM V.'!L16</f>
        <v>1</v>
      </c>
      <c r="E16" s="2195">
        <f>'[6]létszám ei mód RM V.'!M16</f>
        <v>1</v>
      </c>
      <c r="F16" s="2196">
        <f t="shared" si="0"/>
        <v>19</v>
      </c>
      <c r="G16" s="2197">
        <f t="shared" si="0"/>
        <v>19</v>
      </c>
      <c r="I16" s="2169"/>
    </row>
    <row r="17" spans="1:9" s="2189" customFormat="1" ht="45.75" customHeight="1" x14ac:dyDescent="0.5">
      <c r="A17" s="2190" t="s">
        <v>1360</v>
      </c>
      <c r="B17" s="2191">
        <f>'[6]létszám ei mód RM V.'!F17</f>
        <v>25</v>
      </c>
      <c r="C17" s="2192">
        <f>'[6]létszám ei mód RM V.'!G17</f>
        <v>25</v>
      </c>
      <c r="D17" s="2191">
        <f>'[6]létszám ei mód RM V.'!L17</f>
        <v>1</v>
      </c>
      <c r="E17" s="2192">
        <f>'[6]létszám ei mód RM V.'!M17</f>
        <v>1</v>
      </c>
      <c r="F17" s="2193">
        <f t="shared" si="0"/>
        <v>26</v>
      </c>
      <c r="G17" s="2194">
        <f t="shared" si="0"/>
        <v>26</v>
      </c>
      <c r="I17" s="2169"/>
    </row>
    <row r="18" spans="1:9" s="2189" customFormat="1" ht="45.75" customHeight="1" x14ac:dyDescent="0.5">
      <c r="A18" s="2190" t="s">
        <v>1361</v>
      </c>
      <c r="B18" s="2191">
        <f>'[6]létszám ei mód RM V.'!F18</f>
        <v>28</v>
      </c>
      <c r="C18" s="2195">
        <f>'[6]létszám ei mód RM V.'!G18</f>
        <v>28</v>
      </c>
      <c r="D18" s="2191">
        <f>'[6]létszám ei mód RM V.'!L18</f>
        <v>1</v>
      </c>
      <c r="E18" s="2195">
        <f>'[6]létszám ei mód RM V.'!M18</f>
        <v>1</v>
      </c>
      <c r="F18" s="2196">
        <f t="shared" si="0"/>
        <v>29</v>
      </c>
      <c r="G18" s="2197">
        <f t="shared" si="0"/>
        <v>29</v>
      </c>
      <c r="I18" s="2169"/>
    </row>
    <row r="19" spans="1:9" s="2189" customFormat="1" ht="45.75" customHeight="1" x14ac:dyDescent="0.5">
      <c r="A19" s="2190" t="s">
        <v>1362</v>
      </c>
      <c r="B19" s="2191">
        <f>'[6]létszám ei mód RM V.'!F19</f>
        <v>15</v>
      </c>
      <c r="C19" s="2192">
        <f>'[6]létszám ei mód RM V.'!G19</f>
        <v>15</v>
      </c>
      <c r="D19" s="2191">
        <f>'[6]létszám ei mód RM V.'!L19</f>
        <v>1</v>
      </c>
      <c r="E19" s="2192">
        <f>'[6]létszám ei mód RM V.'!M19</f>
        <v>1</v>
      </c>
      <c r="F19" s="2193">
        <f t="shared" si="0"/>
        <v>16</v>
      </c>
      <c r="G19" s="2194">
        <f t="shared" si="0"/>
        <v>16</v>
      </c>
      <c r="I19" s="2169"/>
    </row>
    <row r="20" spans="1:9" s="2189" customFormat="1" ht="45.75" customHeight="1" x14ac:dyDescent="0.5">
      <c r="A20" s="2190" t="s">
        <v>1152</v>
      </c>
      <c r="B20" s="2191">
        <f>'[6]létszám ei mód RM V.'!F20</f>
        <v>11.5</v>
      </c>
      <c r="C20" s="2195">
        <f>'[6]létszám ei mód RM V.'!G20</f>
        <v>11</v>
      </c>
      <c r="D20" s="2191">
        <f>'[6]létszám ei mód RM V.'!L20</f>
        <v>1</v>
      </c>
      <c r="E20" s="2195">
        <f>'[6]létszám ei mód RM V.'!M20</f>
        <v>1</v>
      </c>
      <c r="F20" s="2196">
        <f t="shared" si="0"/>
        <v>12.5</v>
      </c>
      <c r="G20" s="2197">
        <f t="shared" si="0"/>
        <v>12</v>
      </c>
      <c r="I20" s="2169"/>
    </row>
    <row r="21" spans="1:9" s="2189" customFormat="1" ht="45.75" customHeight="1" x14ac:dyDescent="0.5">
      <c r="A21" s="2190" t="s">
        <v>1363</v>
      </c>
      <c r="B21" s="2191">
        <f>'[6]létszám ei mód RM V.'!F21</f>
        <v>15</v>
      </c>
      <c r="C21" s="2192">
        <f>'[6]létszám ei mód RM V.'!G21</f>
        <v>15</v>
      </c>
      <c r="D21" s="2191">
        <f>'[6]létszám ei mód RM V.'!L21</f>
        <v>1</v>
      </c>
      <c r="E21" s="2192">
        <f>'[6]létszám ei mód RM V.'!M21</f>
        <v>1</v>
      </c>
      <c r="F21" s="2193">
        <f t="shared" si="0"/>
        <v>16</v>
      </c>
      <c r="G21" s="2194">
        <f t="shared" si="0"/>
        <v>16</v>
      </c>
      <c r="I21" s="2169"/>
    </row>
    <row r="22" spans="1:9" s="2189" customFormat="1" ht="45.75" customHeight="1" x14ac:dyDescent="0.5">
      <c r="A22" s="2190" t="s">
        <v>1364</v>
      </c>
      <c r="B22" s="2191">
        <f>'[6]létszám ei mód RM V.'!F22</f>
        <v>20</v>
      </c>
      <c r="C22" s="2195">
        <f>'[6]létszám ei mód RM V.'!G22</f>
        <v>20</v>
      </c>
      <c r="D22" s="2191">
        <f>'[6]létszám ei mód RM V.'!L22</f>
        <v>1</v>
      </c>
      <c r="E22" s="2195">
        <f>'[6]létszám ei mód RM V.'!M22</f>
        <v>1</v>
      </c>
      <c r="F22" s="2196">
        <f t="shared" si="0"/>
        <v>21</v>
      </c>
      <c r="G22" s="2197">
        <f t="shared" si="0"/>
        <v>21</v>
      </c>
      <c r="I22" s="2169"/>
    </row>
    <row r="23" spans="1:9" s="2189" customFormat="1" ht="45.75" customHeight="1" x14ac:dyDescent="0.5">
      <c r="A23" s="2190" t="s">
        <v>1156</v>
      </c>
      <c r="B23" s="2191">
        <f>'[6]létszám ei mód RM V.'!F23</f>
        <v>28</v>
      </c>
      <c r="C23" s="2192">
        <f>'[6]létszám ei mód RM V.'!G23</f>
        <v>28</v>
      </c>
      <c r="D23" s="2191">
        <f>'[6]létszám ei mód RM V.'!L23</f>
        <v>1</v>
      </c>
      <c r="E23" s="2192">
        <f>'[6]létszám ei mód RM V.'!M23</f>
        <v>1</v>
      </c>
      <c r="F23" s="2193">
        <f t="shared" si="0"/>
        <v>29</v>
      </c>
      <c r="G23" s="2194">
        <f t="shared" si="0"/>
        <v>29</v>
      </c>
      <c r="I23" s="2169"/>
    </row>
    <row r="24" spans="1:9" s="2189" customFormat="1" ht="45.75" customHeight="1" x14ac:dyDescent="0.5">
      <c r="A24" s="2190" t="s">
        <v>1386</v>
      </c>
      <c r="B24" s="2191">
        <f>'[6]létszám ei mód RM V.'!F24</f>
        <v>22</v>
      </c>
      <c r="C24" s="2195">
        <f>'[6]létszám ei mód RM V.'!G24</f>
        <v>22</v>
      </c>
      <c r="D24" s="2191">
        <f>'[6]létszám ei mód RM V.'!L24</f>
        <v>1</v>
      </c>
      <c r="E24" s="2195">
        <f>'[6]létszám ei mód RM V.'!M24</f>
        <v>1</v>
      </c>
      <c r="F24" s="2196">
        <f t="shared" si="0"/>
        <v>23</v>
      </c>
      <c r="G24" s="2197">
        <f t="shared" si="0"/>
        <v>23</v>
      </c>
      <c r="I24" s="2169"/>
    </row>
    <row r="25" spans="1:9" s="2189" customFormat="1" ht="45.75" customHeight="1" x14ac:dyDescent="0.5">
      <c r="A25" s="2184" t="s">
        <v>1365</v>
      </c>
      <c r="B25" s="2191">
        <f>'[6]létszám ei mód RM V.'!F25</f>
        <v>16</v>
      </c>
      <c r="C25" s="2198">
        <f>'[6]létszám ei mód RM V.'!G25</f>
        <v>16</v>
      </c>
      <c r="D25" s="2191">
        <f>'[6]létszám ei mód RM V.'!L25</f>
        <v>1</v>
      </c>
      <c r="E25" s="2198">
        <f>'[6]létszám ei mód RM V.'!M25</f>
        <v>1</v>
      </c>
      <c r="F25" s="2199">
        <f t="shared" si="0"/>
        <v>17</v>
      </c>
      <c r="G25" s="2200">
        <f t="shared" si="0"/>
        <v>17</v>
      </c>
      <c r="I25" s="2169"/>
    </row>
    <row r="26" spans="1:9" s="2189" customFormat="1" ht="45.75" customHeight="1" thickBot="1" x14ac:dyDescent="0.55000000000000004">
      <c r="A26" s="2201" t="s">
        <v>1366</v>
      </c>
      <c r="B26" s="2185">
        <f>'[6]létszám ei mód RM V.'!F26</f>
        <v>11.5</v>
      </c>
      <c r="C26" s="2186">
        <f>'[6]létszám ei mód RM V.'!G26</f>
        <v>12</v>
      </c>
      <c r="D26" s="2187">
        <f>'[6]létszám ei mód RM V.'!L26</f>
        <v>1</v>
      </c>
      <c r="E26" s="2186">
        <f>'[6]létszám ei mód RM V.'!M26</f>
        <v>1</v>
      </c>
      <c r="F26" s="2199">
        <f t="shared" si="0"/>
        <v>12.5</v>
      </c>
      <c r="G26" s="2188">
        <f t="shared" si="0"/>
        <v>13</v>
      </c>
      <c r="I26" s="2169"/>
    </row>
    <row r="27" spans="1:9" s="2189" customFormat="1" ht="45.75" customHeight="1" thickBot="1" x14ac:dyDescent="0.55000000000000004">
      <c r="A27" s="2202" t="s">
        <v>1158</v>
      </c>
      <c r="B27" s="2203">
        <f t="shared" ref="B27:G27" si="1">SUM(B9:B26)</f>
        <v>377.5</v>
      </c>
      <c r="C27" s="2204">
        <f t="shared" si="1"/>
        <v>378</v>
      </c>
      <c r="D27" s="2203">
        <f t="shared" si="1"/>
        <v>18</v>
      </c>
      <c r="E27" s="2204">
        <f t="shared" si="1"/>
        <v>18</v>
      </c>
      <c r="F27" s="2203">
        <f t="shared" si="1"/>
        <v>395.5</v>
      </c>
      <c r="G27" s="2205">
        <f t="shared" si="1"/>
        <v>396</v>
      </c>
      <c r="I27" s="2169"/>
    </row>
    <row r="28" spans="1:9" s="2208" customFormat="1" ht="44.25" customHeight="1" thickBot="1" x14ac:dyDescent="0.55000000000000004">
      <c r="A28" s="2206" t="s">
        <v>226</v>
      </c>
      <c r="B28" s="2191">
        <f>'[6]létszám ei mód RM V.'!F28</f>
        <v>0</v>
      </c>
      <c r="C28" s="2186">
        <f>'[6]létszám ei mód RM V.'!G28</f>
        <v>0</v>
      </c>
      <c r="D28" s="2191">
        <f>'[6]létszám ei mód RM V.'!L28</f>
        <v>44</v>
      </c>
      <c r="E28" s="2204">
        <f>'[6]létszám ei mód RM V.'!M28</f>
        <v>44</v>
      </c>
      <c r="F28" s="2207">
        <f>B28+D28</f>
        <v>44</v>
      </c>
      <c r="G28" s="2195">
        <f>C28+E28</f>
        <v>44</v>
      </c>
      <c r="I28" s="2209"/>
    </row>
    <row r="29" spans="1:9" s="2189" customFormat="1" ht="42.75" customHeight="1" thickBot="1" x14ac:dyDescent="0.55000000000000004">
      <c r="A29" s="2206" t="s">
        <v>4</v>
      </c>
      <c r="B29" s="2203">
        <f>SUM(B27:B28)</f>
        <v>377.5</v>
      </c>
      <c r="C29" s="2210">
        <f>SUM(C27:C28)</f>
        <v>378</v>
      </c>
      <c r="D29" s="2211">
        <f>D28+D27</f>
        <v>62</v>
      </c>
      <c r="E29" s="2210">
        <f>E28+E27</f>
        <v>62</v>
      </c>
      <c r="F29" s="2211">
        <f>F28+F27</f>
        <v>439.5</v>
      </c>
      <c r="G29" s="2212">
        <f>G28+G27</f>
        <v>440</v>
      </c>
      <c r="I29" s="2169"/>
    </row>
    <row r="30" spans="1:9" s="2189" customFormat="1" ht="42.75" customHeight="1" x14ac:dyDescent="0.5">
      <c r="A30" s="2213" t="s">
        <v>1367</v>
      </c>
      <c r="B30" s="2187"/>
      <c r="C30" s="2214"/>
      <c r="D30" s="2187"/>
      <c r="E30" s="2214"/>
      <c r="F30" s="2187"/>
      <c r="G30" s="2187"/>
      <c r="I30" s="2169"/>
    </row>
    <row r="31" spans="1:9" s="2189" customFormat="1" ht="45.75" customHeight="1" x14ac:dyDescent="0.5">
      <c r="A31" s="2215" t="s">
        <v>1160</v>
      </c>
      <c r="B31" s="2187"/>
      <c r="C31" s="2214"/>
      <c r="D31" s="2187"/>
      <c r="E31" s="2214"/>
      <c r="F31" s="2187"/>
      <c r="G31" s="2187"/>
      <c r="I31" s="2169"/>
    </row>
    <row r="32" spans="1:9" s="2189" customFormat="1" ht="44.25" customHeight="1" x14ac:dyDescent="0.5">
      <c r="A32" s="2184" t="s">
        <v>1206</v>
      </c>
      <c r="B32" s="2185">
        <f>'[6]létszám ei mód RM V.'!F32</f>
        <v>21</v>
      </c>
      <c r="C32" s="2186">
        <f>'[6]létszám ei mód RM V.'!G32</f>
        <v>21</v>
      </c>
      <c r="D32" s="2187">
        <f>'[6]létszám ei mód RM V.'!L32</f>
        <v>15.5</v>
      </c>
      <c r="E32" s="2186">
        <f>'[6]létszám ei mód RM V.'!M32</f>
        <v>16</v>
      </c>
      <c r="F32" s="2187">
        <f t="shared" ref="F32:G36" si="2">B32+D32</f>
        <v>36.5</v>
      </c>
      <c r="G32" s="2188">
        <f t="shared" si="2"/>
        <v>37</v>
      </c>
      <c r="I32" s="2169"/>
    </row>
    <row r="33" spans="1:9" s="2189" customFormat="1" ht="44.25" customHeight="1" x14ac:dyDescent="0.5">
      <c r="A33" s="2190" t="s">
        <v>386</v>
      </c>
      <c r="B33" s="2191">
        <f>'[6]létszám ei mód RM V.'!F33</f>
        <v>18</v>
      </c>
      <c r="C33" s="2195">
        <f>'[6]létszám ei mód RM V.'!G33</f>
        <v>18</v>
      </c>
      <c r="D33" s="2191">
        <f>'[6]létszám ei mód RM V.'!L33</f>
        <v>1</v>
      </c>
      <c r="E33" s="2195">
        <f>'[6]létszám ei mód RM V.'!M33</f>
        <v>1</v>
      </c>
      <c r="F33" s="2196">
        <f t="shared" si="2"/>
        <v>19</v>
      </c>
      <c r="G33" s="2194">
        <f t="shared" si="2"/>
        <v>19</v>
      </c>
      <c r="I33" s="2169"/>
    </row>
    <row r="34" spans="1:9" s="2189" customFormat="1" ht="44.25" customHeight="1" x14ac:dyDescent="0.5">
      <c r="A34" s="2190" t="s">
        <v>1164</v>
      </c>
      <c r="B34" s="2191">
        <f>'[6]létszám ei mód RM V.'!F34</f>
        <v>77</v>
      </c>
      <c r="C34" s="2195">
        <f>'[6]létszám ei mód RM V.'!G34</f>
        <v>77</v>
      </c>
      <c r="D34" s="2191">
        <f>'[6]létszám ei mód RM V.'!L34</f>
        <v>7.5</v>
      </c>
      <c r="E34" s="2195">
        <f>'[6]létszám ei mód RM V.'!M34</f>
        <v>7</v>
      </c>
      <c r="F34" s="2196">
        <f t="shared" si="2"/>
        <v>84.5</v>
      </c>
      <c r="G34" s="2194">
        <f t="shared" si="2"/>
        <v>84</v>
      </c>
      <c r="I34" s="2169"/>
    </row>
    <row r="35" spans="1:9" s="2189" customFormat="1" ht="44.25" customHeight="1" x14ac:dyDescent="0.5">
      <c r="A35" s="2190" t="s">
        <v>1165</v>
      </c>
      <c r="B35" s="2191">
        <f>'[6]létszám ei mód RM V.'!F35</f>
        <v>35</v>
      </c>
      <c r="C35" s="2195">
        <f>'[6]létszám ei mód RM V.'!G35</f>
        <v>35</v>
      </c>
      <c r="D35" s="2191">
        <f>'[6]létszám ei mód RM V.'!L35</f>
        <v>11</v>
      </c>
      <c r="E35" s="2195">
        <f>'[6]létszám ei mód RM V.'!M35</f>
        <v>11</v>
      </c>
      <c r="F35" s="2196">
        <f t="shared" si="2"/>
        <v>46</v>
      </c>
      <c r="G35" s="2194">
        <f t="shared" si="2"/>
        <v>46</v>
      </c>
      <c r="I35" s="2169"/>
    </row>
    <row r="36" spans="1:9" s="2189" customFormat="1" ht="44.25" customHeight="1" thickBot="1" x14ac:dyDescent="0.55000000000000004">
      <c r="A36" s="2201" t="s">
        <v>1166</v>
      </c>
      <c r="B36" s="2191">
        <f>'[6]létszám ei mód RM V.'!F36</f>
        <v>64.5</v>
      </c>
      <c r="C36" s="2186">
        <f>'[6]létszám ei mód RM V.'!G36</f>
        <v>65</v>
      </c>
      <c r="D36" s="2191">
        <f>'[6]létszám ei mód RM V.'!L36</f>
        <v>30.25</v>
      </c>
      <c r="E36" s="2186">
        <f>'[6]létszám ei mód RM V.'!M36</f>
        <v>30</v>
      </c>
      <c r="F36" s="2187">
        <f t="shared" si="2"/>
        <v>94.75</v>
      </c>
      <c r="G36" s="2194">
        <f t="shared" si="2"/>
        <v>95</v>
      </c>
      <c r="I36" s="2169"/>
    </row>
    <row r="37" spans="1:9" s="2189" customFormat="1" ht="44.25" customHeight="1" thickBot="1" x14ac:dyDescent="0.55000000000000004">
      <c r="A37" s="2216" t="s">
        <v>1368</v>
      </c>
      <c r="B37" s="2211">
        <f t="shared" ref="B37:G37" si="3">SUM(B32:B36)</f>
        <v>215.5</v>
      </c>
      <c r="C37" s="2210">
        <f t="shared" si="3"/>
        <v>216</v>
      </c>
      <c r="D37" s="2211">
        <f t="shared" si="3"/>
        <v>65.25</v>
      </c>
      <c r="E37" s="2210">
        <f t="shared" si="3"/>
        <v>65</v>
      </c>
      <c r="F37" s="2211">
        <f t="shared" si="3"/>
        <v>280.75</v>
      </c>
      <c r="G37" s="2212">
        <f t="shared" si="3"/>
        <v>281</v>
      </c>
      <c r="I37" s="2169"/>
    </row>
    <row r="38" spans="1:9" s="2189" customFormat="1" ht="45.75" customHeight="1" x14ac:dyDescent="0.5">
      <c r="A38" s="2217" t="s">
        <v>1170</v>
      </c>
      <c r="B38" s="2218"/>
      <c r="C38" s="2219"/>
      <c r="D38" s="2218"/>
      <c r="E38" s="2219"/>
      <c r="F38" s="2218"/>
      <c r="G38" s="2218"/>
      <c r="I38" s="2169"/>
    </row>
    <row r="39" spans="1:9" s="2189" customFormat="1" ht="44.25" customHeight="1" thickBot="1" x14ac:dyDescent="0.55000000000000004">
      <c r="A39" s="2220" t="s">
        <v>1370</v>
      </c>
      <c r="B39" s="2185">
        <f>'[6]létszám ei mód RM V.'!F39</f>
        <v>1</v>
      </c>
      <c r="C39" s="2198">
        <f>'[6]létszám ei mód RM V.'!G39</f>
        <v>1</v>
      </c>
      <c r="D39" s="2187">
        <f>'[6]létszám ei mód RM V.'!L39</f>
        <v>15</v>
      </c>
      <c r="E39" s="2198">
        <f>'[6]létszám ei mód RM V.'!M39</f>
        <v>15</v>
      </c>
      <c r="F39" s="2199">
        <f>B39+D39</f>
        <v>16</v>
      </c>
      <c r="G39" s="2188">
        <f>C39+E39</f>
        <v>16</v>
      </c>
      <c r="I39" s="2169"/>
    </row>
    <row r="40" spans="1:9" s="2189" customFormat="1" ht="44.25" customHeight="1" thickBot="1" x14ac:dyDescent="0.55000000000000004">
      <c r="A40" s="2221" t="s">
        <v>1371</v>
      </c>
      <c r="B40" s="2211">
        <f t="shared" ref="B40:G40" si="4">B39</f>
        <v>1</v>
      </c>
      <c r="C40" s="2210">
        <f t="shared" si="4"/>
        <v>1</v>
      </c>
      <c r="D40" s="2211">
        <f t="shared" si="4"/>
        <v>15</v>
      </c>
      <c r="E40" s="2210">
        <f t="shared" si="4"/>
        <v>15</v>
      </c>
      <c r="F40" s="2211">
        <f t="shared" si="4"/>
        <v>16</v>
      </c>
      <c r="G40" s="2212">
        <f t="shared" si="4"/>
        <v>16</v>
      </c>
      <c r="I40" s="2169"/>
    </row>
    <row r="41" spans="1:9" s="2189" customFormat="1" ht="45.75" customHeight="1" x14ac:dyDescent="0.5">
      <c r="A41" s="2217" t="s">
        <v>1372</v>
      </c>
      <c r="B41" s="2218"/>
      <c r="C41" s="2219"/>
      <c r="D41" s="2218"/>
      <c r="E41" s="2219"/>
      <c r="F41" s="2218"/>
      <c r="G41" s="2218"/>
      <c r="I41" s="2169"/>
    </row>
    <row r="42" spans="1:9" s="2189" customFormat="1" ht="45" customHeight="1" thickBot="1" x14ac:dyDescent="0.55000000000000004">
      <c r="A42" s="2220" t="s">
        <v>1373</v>
      </c>
      <c r="B42" s="2185">
        <f>'[6]létszám ei mód RM V.'!F42</f>
        <v>61</v>
      </c>
      <c r="C42" s="2198">
        <f>'[6]létszám ei mód RM V.'!G42</f>
        <v>61</v>
      </c>
      <c r="D42" s="2187">
        <f>'[6]létszám ei mód RM V.'!L42</f>
        <v>34</v>
      </c>
      <c r="E42" s="2198">
        <f>'[6]létszám ei mód RM V.'!M42</f>
        <v>34</v>
      </c>
      <c r="F42" s="2199">
        <f>B42+D42</f>
        <v>95</v>
      </c>
      <c r="G42" s="2188">
        <f>C42+E42</f>
        <v>95</v>
      </c>
      <c r="I42" s="2169"/>
    </row>
    <row r="43" spans="1:9" s="2189" customFormat="1" ht="44.25" customHeight="1" thickBot="1" x14ac:dyDescent="0.55000000000000004">
      <c r="A43" s="2221" t="s">
        <v>1374</v>
      </c>
      <c r="B43" s="2211">
        <f t="shared" ref="B43:G43" si="5">B42</f>
        <v>61</v>
      </c>
      <c r="C43" s="2210">
        <f t="shared" si="5"/>
        <v>61</v>
      </c>
      <c r="D43" s="2211">
        <f t="shared" si="5"/>
        <v>34</v>
      </c>
      <c r="E43" s="2210">
        <f t="shared" si="5"/>
        <v>34</v>
      </c>
      <c r="F43" s="2211">
        <f t="shared" si="5"/>
        <v>95</v>
      </c>
      <c r="G43" s="2212">
        <f t="shared" si="5"/>
        <v>95</v>
      </c>
      <c r="I43" s="2169"/>
    </row>
    <row r="44" spans="1:9" s="2189" customFormat="1" ht="45.75" customHeight="1" x14ac:dyDescent="0.5">
      <c r="A44" s="2217" t="s">
        <v>1178</v>
      </c>
      <c r="B44" s="2218"/>
      <c r="C44" s="2219"/>
      <c r="D44" s="2218"/>
      <c r="E44" s="2219"/>
      <c r="F44" s="2218"/>
      <c r="G44" s="2218"/>
      <c r="I44" s="2169"/>
    </row>
    <row r="45" spans="1:9" s="2189" customFormat="1" ht="89.25" customHeight="1" x14ac:dyDescent="0.5">
      <c r="A45" s="2222" t="s">
        <v>1375</v>
      </c>
      <c r="B45" s="2223">
        <f>'[6]létszám ei mód RM V.'!F45</f>
        <v>105</v>
      </c>
      <c r="C45" s="2186">
        <f>'[6]létszám ei mód RM V.'!G45</f>
        <v>105</v>
      </c>
      <c r="D45" s="2223">
        <f>'[6]létszám ei mód RM V.'!L45</f>
        <v>68.754999999999995</v>
      </c>
      <c r="E45" s="2186">
        <f>'[6]létszám ei mód RM V.'!M45</f>
        <v>69</v>
      </c>
      <c r="F45" s="2187">
        <f>B45+D45</f>
        <v>173.755</v>
      </c>
      <c r="G45" s="2188">
        <f>C45+E45</f>
        <v>174</v>
      </c>
      <c r="I45" s="2169"/>
    </row>
    <row r="46" spans="1:9" s="2189" customFormat="1" ht="76.5" customHeight="1" thickBot="1" x14ac:dyDescent="0.55000000000000004">
      <c r="A46" s="2224" t="s">
        <v>1376</v>
      </c>
      <c r="B46" s="2185">
        <f>'[6]létszám ei mód RM V.'!F46</f>
        <v>146.5</v>
      </c>
      <c r="C46" s="2225">
        <f>'[6]létszám ei mód RM V.'!G46</f>
        <v>146</v>
      </c>
      <c r="D46" s="2187">
        <f>'[6]létszám ei mód RM V.'!L46</f>
        <v>19</v>
      </c>
      <c r="E46" s="2225">
        <f>'[6]létszám ei mód RM V.'!M46</f>
        <v>19</v>
      </c>
      <c r="F46" s="2226">
        <f>B46+D46</f>
        <v>165.5</v>
      </c>
      <c r="G46" s="2227">
        <f>C46+E46</f>
        <v>165</v>
      </c>
      <c r="I46" s="2169"/>
    </row>
    <row r="47" spans="1:9" s="2189" customFormat="1" ht="44.25" customHeight="1" thickBot="1" x14ac:dyDescent="0.55000000000000004">
      <c r="A47" s="2228" t="s">
        <v>1374</v>
      </c>
      <c r="B47" s="2211">
        <f t="shared" ref="B47:G47" si="6">SUM(B45:B46)</f>
        <v>251.5</v>
      </c>
      <c r="C47" s="2212">
        <f t="shared" si="6"/>
        <v>251</v>
      </c>
      <c r="D47" s="2211">
        <f t="shared" si="6"/>
        <v>87.754999999999995</v>
      </c>
      <c r="E47" s="2210">
        <f t="shared" si="6"/>
        <v>88</v>
      </c>
      <c r="F47" s="2211">
        <f t="shared" si="6"/>
        <v>339.255</v>
      </c>
      <c r="G47" s="2212">
        <f t="shared" si="6"/>
        <v>339</v>
      </c>
      <c r="I47" s="2169"/>
    </row>
    <row r="48" spans="1:9" s="2189" customFormat="1" ht="44.25" customHeight="1" thickBot="1" x14ac:dyDescent="0.55000000000000004">
      <c r="A48" s="2229" t="s">
        <v>1192</v>
      </c>
      <c r="B48" s="2230">
        <f t="shared" ref="B48:G48" si="7">B37+B40+B43+B47</f>
        <v>529</v>
      </c>
      <c r="C48" s="2231">
        <f t="shared" si="7"/>
        <v>529</v>
      </c>
      <c r="D48" s="2230">
        <f t="shared" si="7"/>
        <v>202.005</v>
      </c>
      <c r="E48" s="2232">
        <f t="shared" si="7"/>
        <v>202</v>
      </c>
      <c r="F48" s="2230">
        <f t="shared" si="7"/>
        <v>731.005</v>
      </c>
      <c r="G48" s="2231">
        <f t="shared" si="7"/>
        <v>731</v>
      </c>
      <c r="I48" s="2169"/>
    </row>
    <row r="49" spans="1:219" s="2189" customFormat="1" ht="44.25" customHeight="1" thickBot="1" x14ac:dyDescent="0.55000000000000004">
      <c r="A49" s="2233" t="s">
        <v>1377</v>
      </c>
      <c r="B49" s="2230">
        <f t="shared" ref="B49:G49" si="8">B29</f>
        <v>377.5</v>
      </c>
      <c r="C49" s="2231">
        <f t="shared" si="8"/>
        <v>378</v>
      </c>
      <c r="D49" s="2230">
        <f t="shared" si="8"/>
        <v>62</v>
      </c>
      <c r="E49" s="2232">
        <f t="shared" si="8"/>
        <v>62</v>
      </c>
      <c r="F49" s="2230">
        <f t="shared" si="8"/>
        <v>439.5</v>
      </c>
      <c r="G49" s="2231">
        <f t="shared" si="8"/>
        <v>440</v>
      </c>
      <c r="I49" s="2169"/>
    </row>
    <row r="50" spans="1:219" s="2806" customFormat="1" ht="42.75" customHeight="1" thickBot="1" x14ac:dyDescent="0.55000000000000004">
      <c r="A50" s="2803" t="s">
        <v>1404</v>
      </c>
      <c r="B50" s="2804">
        <f t="shared" ref="B50:G50" si="9">SUM(B48:B49)</f>
        <v>906.5</v>
      </c>
      <c r="C50" s="2805">
        <f t="shared" si="9"/>
        <v>907</v>
      </c>
      <c r="D50" s="2804">
        <f t="shared" si="9"/>
        <v>264.005</v>
      </c>
      <c r="E50" s="2805">
        <f t="shared" si="9"/>
        <v>264</v>
      </c>
      <c r="F50" s="2804">
        <f t="shared" si="9"/>
        <v>1170.5050000000001</v>
      </c>
      <c r="G50" s="2805">
        <f t="shared" si="9"/>
        <v>1171</v>
      </c>
      <c r="I50" s="2807"/>
    </row>
    <row r="51" spans="1:219" s="2189" customFormat="1" ht="44.25" customHeight="1" x14ac:dyDescent="0.5">
      <c r="A51" s="2222" t="s">
        <v>1378</v>
      </c>
      <c r="B51" s="2187">
        <f>'[6]létszám ei mód RM V.'!F51</f>
        <v>30</v>
      </c>
      <c r="C51" s="2200">
        <f>'[6]létszám ei mód RM V.'!G51</f>
        <v>30</v>
      </c>
      <c r="D51" s="2187">
        <f>'[6]létszám ei mód RM V.'!L51</f>
        <v>0</v>
      </c>
      <c r="E51" s="2198">
        <f>'[6]létszám ei mód RM V.'!M51</f>
        <v>0</v>
      </c>
      <c r="F51" s="2199">
        <f t="shared" ref="F51:G53" si="10">B51+D51</f>
        <v>30</v>
      </c>
      <c r="G51" s="2194">
        <f t="shared" si="10"/>
        <v>30</v>
      </c>
      <c r="I51" s="2169"/>
    </row>
    <row r="52" spans="1:219" s="2189" customFormat="1" ht="45.75" customHeight="1" x14ac:dyDescent="0.5">
      <c r="A52" s="2235" t="s">
        <v>75</v>
      </c>
      <c r="B52" s="2191">
        <f>'[6]létszám ei mód RM V.'!F52</f>
        <v>233</v>
      </c>
      <c r="C52" s="2197">
        <f>'[6]létszám ei mód RM V.'!G52</f>
        <v>233</v>
      </c>
      <c r="D52" s="2191">
        <f>'[6]létszám ei mód RM V.'!L52</f>
        <v>0</v>
      </c>
      <c r="E52" s="2195">
        <f>'[6]létszám ei mód RM V.'!M52</f>
        <v>0</v>
      </c>
      <c r="F52" s="2196">
        <f t="shared" si="10"/>
        <v>233</v>
      </c>
      <c r="G52" s="2197">
        <f t="shared" si="10"/>
        <v>233</v>
      </c>
      <c r="I52" s="2169"/>
    </row>
    <row r="53" spans="1:219" s="2189" customFormat="1" ht="45.75" customHeight="1" thickBot="1" x14ac:dyDescent="0.55000000000000004">
      <c r="A53" s="2236" t="s">
        <v>702</v>
      </c>
      <c r="B53" s="2187">
        <f>'[6]létszám ei mód RM V.'!F53</f>
        <v>0</v>
      </c>
      <c r="C53" s="2237">
        <f>'[6]létszám ei mód RM V.'!G53</f>
        <v>0</v>
      </c>
      <c r="D53" s="2187">
        <f>'[6]létszám ei mód RM V.'!L53</f>
        <v>0</v>
      </c>
      <c r="E53" s="2238">
        <f>'[6]létszám ei mód RM V.'!M53</f>
        <v>0</v>
      </c>
      <c r="F53" s="2187">
        <f t="shared" si="10"/>
        <v>0</v>
      </c>
      <c r="G53" s="2231">
        <f t="shared" si="10"/>
        <v>0</v>
      </c>
      <c r="I53" s="2169"/>
    </row>
    <row r="54" spans="1:219" s="2243" customFormat="1" ht="49.5" customHeight="1" thickBot="1" x14ac:dyDescent="0.55000000000000004">
      <c r="A54" s="2234" t="s">
        <v>747</v>
      </c>
      <c r="B54" s="2239">
        <f t="shared" ref="B54:G54" si="11">SUM(B50:B53)</f>
        <v>1169.5</v>
      </c>
      <c r="C54" s="2240">
        <f t="shared" si="11"/>
        <v>1170</v>
      </c>
      <c r="D54" s="2239">
        <f t="shared" si="11"/>
        <v>264.005</v>
      </c>
      <c r="E54" s="2241">
        <f t="shared" si="11"/>
        <v>264</v>
      </c>
      <c r="F54" s="2239">
        <f t="shared" si="11"/>
        <v>1433.5050000000001</v>
      </c>
      <c r="G54" s="2242">
        <f t="shared" si="11"/>
        <v>1434</v>
      </c>
      <c r="H54" s="2189"/>
      <c r="I54" s="2169"/>
      <c r="J54" s="2189"/>
      <c r="K54" s="2189"/>
      <c r="L54" s="2189"/>
      <c r="M54" s="2189"/>
      <c r="N54" s="2189"/>
      <c r="O54" s="2189"/>
      <c r="P54" s="2189"/>
      <c r="Q54" s="2189"/>
      <c r="R54" s="2189"/>
      <c r="S54" s="2189"/>
      <c r="T54" s="2189"/>
      <c r="U54" s="2189"/>
      <c r="V54" s="2189"/>
      <c r="W54" s="2189"/>
      <c r="X54" s="2189"/>
      <c r="Y54" s="2189"/>
      <c r="Z54" s="2189"/>
      <c r="AA54" s="2189"/>
      <c r="AB54" s="2189"/>
      <c r="AC54" s="2189"/>
      <c r="AD54" s="2189"/>
      <c r="AE54" s="2189"/>
      <c r="AF54" s="2189"/>
      <c r="AG54" s="2189"/>
      <c r="AH54" s="2189"/>
      <c r="AI54" s="2189"/>
      <c r="AJ54" s="2189"/>
      <c r="AK54" s="2189"/>
      <c r="AL54" s="2189"/>
      <c r="AM54" s="2189"/>
      <c r="AN54" s="2189"/>
      <c r="AO54" s="2189"/>
      <c r="AP54" s="2189"/>
      <c r="AQ54" s="2189"/>
      <c r="AR54" s="2189"/>
      <c r="AS54" s="2189"/>
      <c r="AT54" s="2189"/>
      <c r="AU54" s="2189"/>
      <c r="AV54" s="2189"/>
      <c r="AW54" s="2189"/>
      <c r="AX54" s="2189"/>
      <c r="AY54" s="2189"/>
      <c r="AZ54" s="2189"/>
      <c r="BA54" s="2189"/>
      <c r="BB54" s="2189"/>
      <c r="BC54" s="2189"/>
      <c r="BD54" s="2189"/>
      <c r="BE54" s="2189"/>
      <c r="BF54" s="2189"/>
      <c r="BG54" s="2189"/>
      <c r="BH54" s="2189"/>
      <c r="BI54" s="2189"/>
      <c r="BJ54" s="2189"/>
      <c r="BK54" s="2189"/>
      <c r="BL54" s="2189"/>
      <c r="BM54" s="2189"/>
      <c r="BN54" s="2189"/>
      <c r="BO54" s="2189"/>
      <c r="BP54" s="2189"/>
      <c r="BQ54" s="2189"/>
      <c r="BR54" s="2189"/>
      <c r="BS54" s="2189"/>
      <c r="BT54" s="2189"/>
      <c r="BU54" s="2189"/>
      <c r="BV54" s="2189"/>
      <c r="BW54" s="2189"/>
      <c r="BX54" s="2189"/>
      <c r="BY54" s="2189"/>
      <c r="BZ54" s="2189"/>
      <c r="CA54" s="2189"/>
      <c r="CB54" s="2189"/>
      <c r="CC54" s="2189"/>
      <c r="CD54" s="2189"/>
      <c r="CE54" s="2189"/>
      <c r="CF54" s="2189"/>
      <c r="CG54" s="2189"/>
      <c r="CH54" s="2189"/>
      <c r="CI54" s="2189"/>
      <c r="CJ54" s="2189"/>
      <c r="CK54" s="2189"/>
      <c r="CL54" s="2189"/>
      <c r="CM54" s="2189"/>
      <c r="CN54" s="2189"/>
      <c r="CO54" s="2189"/>
      <c r="CP54" s="2189"/>
      <c r="CQ54" s="2189"/>
      <c r="CR54" s="2189"/>
      <c r="CS54" s="2189"/>
      <c r="CT54" s="2189"/>
      <c r="CU54" s="2189"/>
      <c r="CV54" s="2189"/>
      <c r="CW54" s="2189"/>
      <c r="CX54" s="2189"/>
      <c r="CY54" s="2189"/>
      <c r="CZ54" s="2189"/>
      <c r="DA54" s="2189"/>
      <c r="DB54" s="2189"/>
      <c r="DC54" s="2189"/>
      <c r="DD54" s="2189"/>
      <c r="DE54" s="2189"/>
      <c r="DF54" s="2189"/>
      <c r="DG54" s="2189"/>
      <c r="DH54" s="2189"/>
      <c r="DI54" s="2189"/>
      <c r="DJ54" s="2189"/>
      <c r="DK54" s="2189"/>
      <c r="DL54" s="2189"/>
      <c r="DM54" s="2189"/>
      <c r="DN54" s="2189"/>
      <c r="DO54" s="2189"/>
      <c r="DP54" s="2189"/>
      <c r="DQ54" s="2189"/>
      <c r="DR54" s="2189"/>
      <c r="DS54" s="2189"/>
      <c r="DT54" s="2189"/>
      <c r="DU54" s="2189"/>
      <c r="DV54" s="2189"/>
      <c r="DW54" s="2189"/>
      <c r="DX54" s="2189"/>
      <c r="DY54" s="2189"/>
      <c r="DZ54" s="2189"/>
      <c r="EA54" s="2189"/>
      <c r="EB54" s="2189"/>
      <c r="EC54" s="2189"/>
      <c r="ED54" s="2189"/>
      <c r="EE54" s="2189"/>
      <c r="EF54" s="2189"/>
      <c r="EG54" s="2189"/>
      <c r="EH54" s="2189"/>
      <c r="EI54" s="2189"/>
      <c r="EJ54" s="2189"/>
      <c r="EK54" s="2189"/>
      <c r="EL54" s="2189"/>
      <c r="EM54" s="2189"/>
      <c r="EN54" s="2189"/>
      <c r="EO54" s="2189"/>
      <c r="EP54" s="2189"/>
      <c r="EQ54" s="2189"/>
      <c r="ER54" s="2189"/>
      <c r="ES54" s="2189"/>
      <c r="ET54" s="2189"/>
      <c r="EU54" s="2189"/>
      <c r="EV54" s="2189"/>
      <c r="EW54" s="2189"/>
      <c r="EX54" s="2189"/>
      <c r="EY54" s="2189"/>
      <c r="EZ54" s="2189"/>
      <c r="FA54" s="2189"/>
      <c r="FB54" s="2189"/>
      <c r="FC54" s="2189"/>
      <c r="FD54" s="2189"/>
      <c r="FE54" s="2189"/>
      <c r="FF54" s="2189"/>
      <c r="FG54" s="2189"/>
      <c r="FH54" s="2189"/>
      <c r="FI54" s="2189"/>
      <c r="FJ54" s="2189"/>
      <c r="FK54" s="2189"/>
      <c r="FL54" s="2189"/>
      <c r="FM54" s="2189"/>
      <c r="FN54" s="2189"/>
      <c r="FO54" s="2189"/>
      <c r="FP54" s="2189"/>
      <c r="FQ54" s="2189"/>
      <c r="FR54" s="2189"/>
      <c r="FS54" s="2189"/>
      <c r="FT54" s="2189"/>
      <c r="FU54" s="2189"/>
      <c r="FV54" s="2189"/>
      <c r="FW54" s="2189"/>
      <c r="FX54" s="2189"/>
      <c r="FY54" s="2189"/>
      <c r="FZ54" s="2189"/>
      <c r="GA54" s="2189"/>
      <c r="GB54" s="2189"/>
      <c r="GC54" s="2189"/>
      <c r="GD54" s="2189"/>
      <c r="GE54" s="2189"/>
      <c r="GF54" s="2189"/>
      <c r="GG54" s="2189"/>
      <c r="GH54" s="2189"/>
      <c r="GI54" s="2189"/>
      <c r="GJ54" s="2189"/>
      <c r="GK54" s="2189"/>
      <c r="GL54" s="2189"/>
      <c r="GM54" s="2189"/>
      <c r="GN54" s="2189"/>
      <c r="GO54" s="2189"/>
      <c r="GP54" s="2189"/>
      <c r="GQ54" s="2189"/>
      <c r="GR54" s="2189"/>
      <c r="GS54" s="2189"/>
      <c r="GT54" s="2189"/>
      <c r="GU54" s="2189"/>
      <c r="GV54" s="2189"/>
      <c r="GW54" s="2189"/>
      <c r="GX54" s="2189"/>
      <c r="GY54" s="2189"/>
      <c r="GZ54" s="2189"/>
      <c r="HA54" s="2189"/>
      <c r="HB54" s="2189"/>
      <c r="HC54" s="2189"/>
      <c r="HD54" s="2189"/>
      <c r="HE54" s="2189"/>
      <c r="HF54" s="2189"/>
      <c r="HG54" s="2189"/>
      <c r="HH54" s="2189"/>
      <c r="HI54" s="2189"/>
      <c r="HJ54" s="2189"/>
      <c r="HK54" s="2189"/>
    </row>
    <row r="55" spans="1:219" s="2189" customFormat="1" x14ac:dyDescent="0.5">
      <c r="A55" s="2246"/>
      <c r="B55" s="2244"/>
      <c r="C55" s="2247"/>
      <c r="E55" s="2208"/>
      <c r="I55" s="2248"/>
    </row>
    <row r="56" spans="1:219" s="2189" customFormat="1" x14ac:dyDescent="0.5">
      <c r="A56" s="2249"/>
      <c r="B56" s="2244"/>
      <c r="C56" s="2247"/>
      <c r="E56" s="2208"/>
      <c r="I56" s="2248"/>
    </row>
    <row r="57" spans="1:219" s="2189" customFormat="1" x14ac:dyDescent="0.5">
      <c r="A57" s="2249"/>
      <c r="B57" s="2244"/>
      <c r="C57" s="2247"/>
      <c r="E57" s="2208"/>
      <c r="I57" s="2248"/>
    </row>
    <row r="58" spans="1:219" s="2189" customFormat="1" x14ac:dyDescent="0.5">
      <c r="A58" s="2249"/>
      <c r="B58" s="2244"/>
      <c r="C58" s="2247"/>
      <c r="E58" s="2208"/>
      <c r="I58" s="2248"/>
    </row>
    <row r="59" spans="1:219" s="2189" customFormat="1" x14ac:dyDescent="0.5">
      <c r="A59" s="2249"/>
      <c r="B59" s="2244"/>
      <c r="C59" s="2247"/>
      <c r="E59" s="2208"/>
      <c r="I59" s="2248"/>
    </row>
    <row r="60" spans="1:219" s="2189" customFormat="1" x14ac:dyDescent="0.5">
      <c r="A60" s="2249"/>
      <c r="B60" s="2244"/>
      <c r="C60" s="2247"/>
      <c r="E60" s="2208"/>
      <c r="I60" s="2248"/>
    </row>
    <row r="61" spans="1:219" s="2189" customFormat="1" x14ac:dyDescent="0.5">
      <c r="A61" s="2249"/>
      <c r="B61" s="2245"/>
      <c r="C61" s="2208"/>
      <c r="E61" s="2208"/>
      <c r="I61" s="2248"/>
    </row>
    <row r="62" spans="1:219" s="2189" customFormat="1" x14ac:dyDescent="0.5">
      <c r="A62" s="2249"/>
      <c r="B62" s="2245"/>
      <c r="C62" s="2208"/>
      <c r="E62" s="2208"/>
      <c r="I62" s="2248"/>
    </row>
    <row r="63" spans="1:219" s="2189" customFormat="1" x14ac:dyDescent="0.5">
      <c r="A63" s="2249"/>
      <c r="B63" s="2245"/>
      <c r="C63" s="2208"/>
      <c r="E63" s="2208"/>
      <c r="I63" s="2248"/>
    </row>
    <row r="64" spans="1:219" s="2189" customFormat="1" x14ac:dyDescent="0.5">
      <c r="A64" s="2249"/>
      <c r="B64" s="2245"/>
      <c r="C64" s="2208"/>
      <c r="E64" s="2208"/>
      <c r="I64" s="2248"/>
    </row>
    <row r="65" spans="1:9" s="2189" customFormat="1" x14ac:dyDescent="0.5">
      <c r="A65" s="2249"/>
      <c r="B65" s="2245"/>
      <c r="C65" s="2208"/>
      <c r="E65" s="2208"/>
      <c r="I65" s="2248"/>
    </row>
    <row r="66" spans="1:9" s="2189" customFormat="1" x14ac:dyDescent="0.5">
      <c r="A66" s="2249"/>
      <c r="B66" s="2245"/>
      <c r="C66" s="2208"/>
      <c r="E66" s="2208"/>
      <c r="I66" s="2248"/>
    </row>
    <row r="67" spans="1:9" s="2189" customFormat="1" x14ac:dyDescent="0.5">
      <c r="A67" s="2249"/>
      <c r="B67" s="2245"/>
      <c r="C67" s="2208"/>
      <c r="E67" s="2208"/>
      <c r="I67" s="2248"/>
    </row>
    <row r="68" spans="1:9" s="2189" customFormat="1" x14ac:dyDescent="0.5">
      <c r="A68" s="2249"/>
      <c r="B68" s="2245"/>
      <c r="C68" s="2208"/>
      <c r="E68" s="2208"/>
      <c r="I68" s="2248"/>
    </row>
    <row r="69" spans="1:9" s="2189" customFormat="1" x14ac:dyDescent="0.5">
      <c r="A69" s="2249"/>
      <c r="B69" s="2245"/>
      <c r="C69" s="2208"/>
      <c r="E69" s="2208"/>
      <c r="I69" s="2248"/>
    </row>
    <row r="70" spans="1:9" s="2189" customFormat="1" x14ac:dyDescent="0.5">
      <c r="A70" s="2249"/>
      <c r="B70" s="2245"/>
      <c r="C70" s="2208"/>
      <c r="E70" s="2208"/>
      <c r="I70" s="2248"/>
    </row>
    <row r="71" spans="1:9" s="2189" customFormat="1" x14ac:dyDescent="0.5">
      <c r="A71" s="2249"/>
      <c r="B71" s="2245"/>
      <c r="C71" s="2208"/>
      <c r="E71" s="2208"/>
      <c r="I71" s="2248"/>
    </row>
    <row r="72" spans="1:9" s="2189" customFormat="1" x14ac:dyDescent="0.5">
      <c r="A72" s="2249"/>
      <c r="B72" s="2245"/>
      <c r="C72" s="2208"/>
      <c r="E72" s="2208"/>
      <c r="I72" s="2248"/>
    </row>
    <row r="73" spans="1:9" s="2189" customFormat="1" x14ac:dyDescent="0.5">
      <c r="A73" s="2249"/>
      <c r="B73" s="2245"/>
      <c r="C73" s="2208"/>
      <c r="E73" s="2208"/>
      <c r="I73" s="2248"/>
    </row>
    <row r="74" spans="1:9" s="2189" customFormat="1" x14ac:dyDescent="0.5">
      <c r="A74" s="2249"/>
      <c r="B74" s="2245"/>
      <c r="C74" s="2208"/>
      <c r="E74" s="2208"/>
      <c r="I74" s="2248"/>
    </row>
    <row r="75" spans="1:9" s="2189" customFormat="1" x14ac:dyDescent="0.5">
      <c r="A75" s="2249"/>
      <c r="B75" s="2245"/>
      <c r="C75" s="2208"/>
      <c r="E75" s="2208"/>
      <c r="I75" s="2248"/>
    </row>
    <row r="76" spans="1:9" s="2189" customFormat="1" x14ac:dyDescent="0.5">
      <c r="A76" s="2249"/>
      <c r="B76" s="2245"/>
      <c r="C76" s="2208"/>
      <c r="E76" s="2208"/>
      <c r="I76" s="2248"/>
    </row>
    <row r="77" spans="1:9" s="2189" customFormat="1" x14ac:dyDescent="0.5">
      <c r="A77" s="2249"/>
      <c r="B77" s="2245"/>
      <c r="C77" s="2208"/>
      <c r="E77" s="2208"/>
      <c r="I77" s="2248"/>
    </row>
    <row r="78" spans="1:9" s="2189" customFormat="1" x14ac:dyDescent="0.5">
      <c r="A78" s="2249"/>
      <c r="B78" s="2245"/>
      <c r="C78" s="2208"/>
      <c r="E78" s="2208"/>
      <c r="I78" s="2248"/>
    </row>
    <row r="79" spans="1:9" s="2189" customFormat="1" x14ac:dyDescent="0.5">
      <c r="A79" s="2249"/>
      <c r="B79" s="2245"/>
      <c r="C79" s="2208"/>
      <c r="E79" s="2208"/>
      <c r="I79" s="2248"/>
    </row>
    <row r="80" spans="1:9" s="2189" customFormat="1" x14ac:dyDescent="0.5">
      <c r="A80" s="2249"/>
      <c r="B80" s="2245"/>
      <c r="C80" s="2208"/>
      <c r="E80" s="2208"/>
      <c r="I80" s="2248"/>
    </row>
    <row r="81" spans="1:9" s="2189" customFormat="1" x14ac:dyDescent="0.5">
      <c r="A81" s="2249"/>
      <c r="B81" s="2245"/>
      <c r="C81" s="2208"/>
      <c r="E81" s="2208"/>
      <c r="I81" s="2248"/>
    </row>
    <row r="82" spans="1:9" s="2189" customFormat="1" x14ac:dyDescent="0.5">
      <c r="A82" s="2249"/>
      <c r="B82" s="2245"/>
      <c r="C82" s="2208"/>
      <c r="E82" s="2208"/>
      <c r="I82" s="2248"/>
    </row>
    <row r="83" spans="1:9" s="2189" customFormat="1" x14ac:dyDescent="0.5">
      <c r="A83" s="2162"/>
      <c r="C83" s="2208"/>
      <c r="E83" s="2208"/>
      <c r="I83" s="2248"/>
    </row>
    <row r="84" spans="1:9" s="2189" customFormat="1" x14ac:dyDescent="0.5">
      <c r="A84" s="2162"/>
      <c r="C84" s="2208"/>
      <c r="E84" s="2208"/>
      <c r="I84" s="2248"/>
    </row>
    <row r="85" spans="1:9" s="2189" customFormat="1" x14ac:dyDescent="0.5">
      <c r="A85" s="2162"/>
      <c r="C85" s="2208"/>
      <c r="E85" s="2208"/>
      <c r="I85" s="2248"/>
    </row>
    <row r="86" spans="1:9" s="2189" customFormat="1" x14ac:dyDescent="0.5">
      <c r="A86" s="2162"/>
      <c r="C86" s="2208"/>
      <c r="E86" s="2208"/>
      <c r="I86" s="2248"/>
    </row>
    <row r="87" spans="1:9" s="2189" customFormat="1" x14ac:dyDescent="0.5">
      <c r="A87" s="2162"/>
      <c r="C87" s="2208"/>
      <c r="E87" s="2208"/>
      <c r="I87" s="2248"/>
    </row>
    <row r="88" spans="1:9" s="2189" customFormat="1" x14ac:dyDescent="0.5">
      <c r="A88" s="2162"/>
      <c r="C88" s="2208"/>
      <c r="E88" s="2208"/>
      <c r="I88" s="2248"/>
    </row>
    <row r="89" spans="1:9" s="2189" customFormat="1" x14ac:dyDescent="0.5">
      <c r="A89" s="2162"/>
      <c r="C89" s="2208"/>
      <c r="E89" s="2208"/>
      <c r="I89" s="2248"/>
    </row>
    <row r="90" spans="1:9" s="2189" customFormat="1" x14ac:dyDescent="0.5">
      <c r="A90" s="2162"/>
      <c r="C90" s="2208"/>
      <c r="E90" s="2208"/>
      <c r="I90" s="2248"/>
    </row>
    <row r="91" spans="1:9" s="2189" customFormat="1" x14ac:dyDescent="0.5">
      <c r="A91" s="2162"/>
      <c r="C91" s="2208"/>
      <c r="E91" s="2208"/>
      <c r="I91" s="2248"/>
    </row>
    <row r="92" spans="1:9" s="2189" customFormat="1" x14ac:dyDescent="0.5">
      <c r="A92" s="2162"/>
      <c r="C92" s="2208"/>
      <c r="E92" s="2208"/>
      <c r="I92" s="2248"/>
    </row>
    <row r="93" spans="1:9" s="2189" customFormat="1" x14ac:dyDescent="0.5">
      <c r="A93" s="2162"/>
      <c r="C93" s="2208"/>
      <c r="E93" s="2208"/>
      <c r="I93" s="2248"/>
    </row>
    <row r="94" spans="1:9" s="2189" customFormat="1" x14ac:dyDescent="0.5">
      <c r="A94" s="2162"/>
      <c r="C94" s="2208"/>
      <c r="E94" s="2208"/>
      <c r="I94" s="2248"/>
    </row>
    <row r="95" spans="1:9" s="2189" customFormat="1" x14ac:dyDescent="0.5">
      <c r="A95" s="2162"/>
      <c r="C95" s="2208"/>
      <c r="E95" s="2208"/>
      <c r="I95" s="2248"/>
    </row>
    <row r="96" spans="1:9" s="2189" customFormat="1" x14ac:dyDescent="0.5">
      <c r="A96" s="2162"/>
      <c r="C96" s="2208"/>
      <c r="E96" s="2208"/>
      <c r="I96" s="2248"/>
    </row>
  </sheetData>
  <mergeCells count="9">
    <mergeCell ref="F4:G5"/>
    <mergeCell ref="B5:C5"/>
    <mergeCell ref="D5:E5"/>
    <mergeCell ref="B6:C6"/>
    <mergeCell ref="D6:E6"/>
    <mergeCell ref="B1:E1"/>
    <mergeCell ref="B2:E2"/>
    <mergeCell ref="B3:C3"/>
    <mergeCell ref="B4:E4"/>
  </mergeCells>
  <printOptions horizontalCentered="1" verticalCentered="1"/>
  <pageMargins left="0.39370078740157483" right="0" top="0" bottom="0" header="0.59055118110236227" footer="0"/>
  <pageSetup paperSize="9" scale="22" orientation="portrait" horizontalDpi="300" verticalDpi="300" r:id="rId1"/>
  <headerFooter alignWithMargins="0">
    <oddHeader>&amp;R&amp;"Times New Roman CE,Félkövér"&amp;32 &amp;42 7.  melléklet a …../2018. (…….)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C1:H48"/>
  <sheetViews>
    <sheetView zoomScaleNormal="100" zoomScaleSheetLayoutView="75" workbookViewId="0">
      <selection activeCell="C3" sqref="C3"/>
    </sheetView>
  </sheetViews>
  <sheetFormatPr defaultColWidth="9.33203125" defaultRowHeight="15" customHeight="1" x14ac:dyDescent="0.2"/>
  <cols>
    <col min="1" max="1" width="9.33203125" style="11"/>
    <col min="2" max="2" width="14.1640625" style="11" customWidth="1"/>
    <col min="3" max="3" width="115.1640625" style="11" customWidth="1"/>
    <col min="4" max="7" width="24.83203125" style="11" customWidth="1"/>
    <col min="8" max="8" width="11.5" style="11" bestFit="1" customWidth="1"/>
    <col min="9" max="16384" width="9.33203125" style="11"/>
  </cols>
  <sheetData>
    <row r="1" spans="3:7" ht="15" customHeight="1" x14ac:dyDescent="0.25">
      <c r="C1" s="2628"/>
      <c r="D1" s="2628"/>
    </row>
    <row r="2" spans="3:7" ht="24.75" customHeight="1" x14ac:dyDescent="0.35">
      <c r="C2" s="2631" t="s">
        <v>36</v>
      </c>
      <c r="D2" s="2631"/>
      <c r="E2" s="2631"/>
      <c r="F2" s="2631"/>
      <c r="G2" s="2631"/>
    </row>
    <row r="3" spans="3:7" ht="15" customHeight="1" x14ac:dyDescent="0.25">
      <c r="C3" s="497"/>
      <c r="D3" s="497"/>
    </row>
    <row r="4" spans="3:7" ht="24.75" customHeight="1" thickBot="1" x14ac:dyDescent="0.3">
      <c r="C4" s="2071" t="s">
        <v>250</v>
      </c>
      <c r="D4" s="2072"/>
      <c r="E4" s="2072"/>
      <c r="F4" s="2072"/>
      <c r="G4" s="2072" t="s">
        <v>32</v>
      </c>
    </row>
    <row r="5" spans="3:7" ht="24.75" customHeight="1" x14ac:dyDescent="0.25">
      <c r="C5" s="2073" t="s">
        <v>50</v>
      </c>
      <c r="D5" s="2629" t="s">
        <v>512</v>
      </c>
      <c r="E5" s="2630"/>
      <c r="F5" s="2074" t="s">
        <v>662</v>
      </c>
      <c r="G5" s="2075" t="s">
        <v>178</v>
      </c>
    </row>
    <row r="6" spans="3:7" ht="24.75" customHeight="1" thickBot="1" x14ac:dyDescent="0.3">
      <c r="C6" s="2076"/>
      <c r="D6" s="2077" t="s">
        <v>335</v>
      </c>
      <c r="E6" s="2077" t="s">
        <v>176</v>
      </c>
      <c r="F6" s="2078" t="s">
        <v>177</v>
      </c>
      <c r="G6" s="2079" t="s">
        <v>179</v>
      </c>
    </row>
    <row r="7" spans="3:7" ht="24.75" customHeight="1" x14ac:dyDescent="0.25">
      <c r="C7" s="2080" t="s">
        <v>138</v>
      </c>
      <c r="D7" s="2081">
        <v>1676078</v>
      </c>
      <c r="E7" s="2081">
        <v>1760483</v>
      </c>
      <c r="F7" s="2082">
        <v>1689688</v>
      </c>
      <c r="G7" s="2083">
        <f>+F7/E7*100</f>
        <v>95.978660401719296</v>
      </c>
    </row>
    <row r="8" spans="3:7" ht="24.75" customHeight="1" x14ac:dyDescent="0.25">
      <c r="C8" s="2084" t="s">
        <v>226</v>
      </c>
      <c r="D8" s="2085">
        <v>1396624</v>
      </c>
      <c r="E8" s="2085">
        <v>1440156</v>
      </c>
      <c r="F8" s="2086">
        <v>1305168</v>
      </c>
      <c r="G8" s="2083">
        <f>+F8/E8*100</f>
        <v>90.62684875805121</v>
      </c>
    </row>
    <row r="9" spans="3:7" ht="24.75" customHeight="1" thickBot="1" x14ac:dyDescent="0.3">
      <c r="C9" s="2087" t="s">
        <v>1688</v>
      </c>
      <c r="D9" s="2088">
        <f>SUM(D7:D8)</f>
        <v>3072702</v>
      </c>
      <c r="E9" s="2088">
        <f>SUM(E7:E8)</f>
        <v>3200639</v>
      </c>
      <c r="F9" s="2088">
        <f>SUM(F7:F8)</f>
        <v>2994856</v>
      </c>
      <c r="G9" s="2089">
        <f>+F9/E9*100</f>
        <v>93.57056512777605</v>
      </c>
    </row>
    <row r="10" spans="3:7" ht="24.75" customHeight="1" x14ac:dyDescent="0.25">
      <c r="C10" s="2090" t="s">
        <v>535</v>
      </c>
      <c r="D10" s="2091">
        <v>45000</v>
      </c>
      <c r="E10" s="2091">
        <v>303</v>
      </c>
      <c r="F10" s="2091">
        <v>0</v>
      </c>
      <c r="G10" s="2092">
        <f>+F10/E10*100</f>
        <v>0</v>
      </c>
    </row>
    <row r="11" spans="3:7" ht="39.75" customHeight="1" x14ac:dyDescent="0.25">
      <c r="C11" s="2093" t="s">
        <v>536</v>
      </c>
      <c r="D11" s="2082">
        <v>40000</v>
      </c>
      <c r="E11" s="2082">
        <v>83588</v>
      </c>
      <c r="F11" s="2082">
        <f>44691+1</f>
        <v>44692</v>
      </c>
      <c r="G11" s="2083">
        <f>+F11/E11*100</f>
        <v>53.467004833229645</v>
      </c>
    </row>
    <row r="12" spans="3:7" ht="33" customHeight="1" x14ac:dyDescent="0.25">
      <c r="C12" s="2094" t="s">
        <v>371</v>
      </c>
      <c r="D12" s="2082">
        <v>800</v>
      </c>
      <c r="E12" s="2082">
        <v>0</v>
      </c>
      <c r="F12" s="2082"/>
      <c r="G12" s="2083"/>
    </row>
    <row r="13" spans="3:7" ht="24.75" customHeight="1" x14ac:dyDescent="0.25">
      <c r="C13" s="2095" t="s">
        <v>537</v>
      </c>
      <c r="D13" s="2096">
        <v>4000</v>
      </c>
      <c r="E13" s="2096">
        <v>0</v>
      </c>
      <c r="F13" s="2097"/>
      <c r="G13" s="2098"/>
    </row>
    <row r="14" spans="3:7" ht="24.75" customHeight="1" x14ac:dyDescent="0.25">
      <c r="C14" s="2095" t="s">
        <v>208</v>
      </c>
      <c r="D14" s="2096">
        <v>3400</v>
      </c>
      <c r="E14" s="2096">
        <v>11740</v>
      </c>
      <c r="F14" s="2097">
        <v>10690</v>
      </c>
      <c r="G14" s="2098">
        <f t="shared" ref="G14:G32" si="0">+F14/E14*100</f>
        <v>91.05621805792164</v>
      </c>
    </row>
    <row r="15" spans="3:7" ht="24.75" customHeight="1" x14ac:dyDescent="0.25">
      <c r="C15" s="2095" t="s">
        <v>2</v>
      </c>
      <c r="D15" s="2096">
        <v>10500</v>
      </c>
      <c r="E15" s="2096">
        <v>5000</v>
      </c>
      <c r="F15" s="2097">
        <v>4809</v>
      </c>
      <c r="G15" s="2098">
        <f t="shared" si="0"/>
        <v>96.179999999999993</v>
      </c>
    </row>
    <row r="16" spans="3:7" ht="24.75" customHeight="1" x14ac:dyDescent="0.25">
      <c r="C16" s="2095" t="s">
        <v>221</v>
      </c>
      <c r="D16" s="2096">
        <v>500</v>
      </c>
      <c r="E16" s="2096">
        <v>750</v>
      </c>
      <c r="F16" s="2097">
        <v>0</v>
      </c>
      <c r="G16" s="2098">
        <f t="shared" si="0"/>
        <v>0</v>
      </c>
    </row>
    <row r="17" spans="3:7" ht="41.25" customHeight="1" x14ac:dyDescent="0.25">
      <c r="C17" s="2099" t="s">
        <v>1687</v>
      </c>
      <c r="D17" s="2096">
        <v>2000</v>
      </c>
      <c r="E17" s="2096">
        <v>1327</v>
      </c>
      <c r="F17" s="2097">
        <v>1327</v>
      </c>
      <c r="G17" s="2098">
        <f t="shared" si="0"/>
        <v>100</v>
      </c>
    </row>
    <row r="18" spans="3:7" ht="24.75" customHeight="1" x14ac:dyDescent="0.25">
      <c r="C18" s="2100" t="s">
        <v>388</v>
      </c>
      <c r="D18" s="2096">
        <v>5000</v>
      </c>
      <c r="E18" s="2096">
        <v>0</v>
      </c>
      <c r="F18" s="2097">
        <v>0</v>
      </c>
      <c r="G18" s="2098"/>
    </row>
    <row r="19" spans="3:7" ht="24.75" customHeight="1" x14ac:dyDescent="0.25">
      <c r="C19" s="2095" t="s">
        <v>117</v>
      </c>
      <c r="D19" s="2096">
        <v>5000</v>
      </c>
      <c r="E19" s="2096">
        <v>4845</v>
      </c>
      <c r="F19" s="2097">
        <v>4845</v>
      </c>
      <c r="G19" s="2098">
        <f t="shared" si="0"/>
        <v>100</v>
      </c>
    </row>
    <row r="20" spans="3:7" ht="24.75" customHeight="1" x14ac:dyDescent="0.25">
      <c r="C20" s="2095" t="s">
        <v>169</v>
      </c>
      <c r="D20" s="2096">
        <v>1250</v>
      </c>
      <c r="E20" s="2096">
        <v>1250</v>
      </c>
      <c r="F20" s="2097">
        <v>1011</v>
      </c>
      <c r="G20" s="2098">
        <f t="shared" si="0"/>
        <v>80.88</v>
      </c>
    </row>
    <row r="21" spans="3:7" ht="24.75" customHeight="1" x14ac:dyDescent="0.25">
      <c r="C21" s="2095" t="s">
        <v>181</v>
      </c>
      <c r="D21" s="2096">
        <v>20200</v>
      </c>
      <c r="E21" s="2096">
        <v>14261</v>
      </c>
      <c r="F21" s="2097">
        <v>13750</v>
      </c>
      <c r="G21" s="2098">
        <f t="shared" si="0"/>
        <v>96.416801065843899</v>
      </c>
    </row>
    <row r="22" spans="3:7" ht="24.75" customHeight="1" x14ac:dyDescent="0.25">
      <c r="C22" s="2095" t="s">
        <v>3</v>
      </c>
      <c r="D22" s="2096">
        <v>200</v>
      </c>
      <c r="E22" s="2096">
        <v>400</v>
      </c>
      <c r="F22" s="2096">
        <v>300</v>
      </c>
      <c r="G22" s="2098">
        <f t="shared" si="0"/>
        <v>75</v>
      </c>
    </row>
    <row r="23" spans="3:7" ht="24.75" customHeight="1" x14ac:dyDescent="0.25">
      <c r="C23" s="2101" t="s">
        <v>30</v>
      </c>
      <c r="D23" s="2096">
        <v>1500</v>
      </c>
      <c r="E23" s="2096">
        <v>1095</v>
      </c>
      <c r="F23" s="2097">
        <v>1095</v>
      </c>
      <c r="G23" s="2098">
        <f t="shared" si="0"/>
        <v>100</v>
      </c>
    </row>
    <row r="24" spans="3:7" ht="24.75" customHeight="1" x14ac:dyDescent="0.25">
      <c r="C24" s="2100" t="s">
        <v>49</v>
      </c>
      <c r="D24" s="2096">
        <v>6200</v>
      </c>
      <c r="E24" s="2096">
        <v>6675</v>
      </c>
      <c r="F24" s="2096">
        <v>5707</v>
      </c>
      <c r="G24" s="2098">
        <f t="shared" si="0"/>
        <v>85.49812734082397</v>
      </c>
    </row>
    <row r="25" spans="3:7" ht="24.75" customHeight="1" x14ac:dyDescent="0.25">
      <c r="C25" s="2102" t="s">
        <v>152</v>
      </c>
      <c r="D25" s="2096">
        <v>21000</v>
      </c>
      <c r="E25" s="2096">
        <v>21000</v>
      </c>
      <c r="F25" s="2103">
        <v>21000</v>
      </c>
      <c r="G25" s="2098">
        <f t="shared" si="0"/>
        <v>100</v>
      </c>
    </row>
    <row r="26" spans="3:7" ht="24.75" customHeight="1" x14ac:dyDescent="0.25">
      <c r="C26" s="2101" t="s">
        <v>79</v>
      </c>
      <c r="D26" s="2103">
        <v>2300</v>
      </c>
      <c r="E26" s="2103">
        <v>2300</v>
      </c>
      <c r="F26" s="2103">
        <v>2300</v>
      </c>
      <c r="G26" s="2098">
        <f t="shared" si="0"/>
        <v>100</v>
      </c>
    </row>
    <row r="27" spans="3:7" ht="24.75" customHeight="1" x14ac:dyDescent="0.25">
      <c r="C27" s="2104" t="s">
        <v>15</v>
      </c>
      <c r="D27" s="2103">
        <v>800</v>
      </c>
      <c r="E27" s="2103">
        <v>816</v>
      </c>
      <c r="F27" s="2103">
        <v>723</v>
      </c>
      <c r="G27" s="2098">
        <f t="shared" si="0"/>
        <v>88.60294117647058</v>
      </c>
    </row>
    <row r="28" spans="3:7" ht="41.25" customHeight="1" x14ac:dyDescent="0.25">
      <c r="C28" s="2105" t="s">
        <v>153</v>
      </c>
      <c r="D28" s="2103">
        <v>14550</v>
      </c>
      <c r="E28" s="2103">
        <v>0</v>
      </c>
      <c r="F28" s="2103">
        <v>0</v>
      </c>
      <c r="G28" s="2098"/>
    </row>
    <row r="29" spans="3:7" ht="33.75" customHeight="1" x14ac:dyDescent="0.25">
      <c r="C29" s="2099" t="s">
        <v>517</v>
      </c>
      <c r="D29" s="2103">
        <v>7000</v>
      </c>
      <c r="E29" s="2103">
        <v>7000</v>
      </c>
      <c r="F29" s="2103">
        <v>7000</v>
      </c>
      <c r="G29" s="2098">
        <f t="shared" si="0"/>
        <v>100</v>
      </c>
    </row>
    <row r="30" spans="3:7" ht="24.75" customHeight="1" x14ac:dyDescent="0.25">
      <c r="C30" s="2102" t="s">
        <v>538</v>
      </c>
      <c r="D30" s="2096">
        <v>4290</v>
      </c>
      <c r="E30" s="2096">
        <v>0</v>
      </c>
      <c r="F30" s="2096">
        <v>0</v>
      </c>
      <c r="G30" s="2106"/>
    </row>
    <row r="31" spans="3:7" ht="24.75" customHeight="1" x14ac:dyDescent="0.25">
      <c r="C31" s="2102" t="s">
        <v>614</v>
      </c>
      <c r="D31" s="2096"/>
      <c r="E31" s="2096">
        <v>300</v>
      </c>
      <c r="F31" s="2096">
        <v>300</v>
      </c>
      <c r="G31" s="2106">
        <f t="shared" si="0"/>
        <v>100</v>
      </c>
    </row>
    <row r="32" spans="3:7" ht="24.75" customHeight="1" x14ac:dyDescent="0.25">
      <c r="C32" s="2107" t="s">
        <v>232</v>
      </c>
      <c r="D32" s="2108">
        <v>16000</v>
      </c>
      <c r="E32" s="2108">
        <v>17092</v>
      </c>
      <c r="F32" s="2108">
        <v>14496</v>
      </c>
      <c r="G32" s="2098">
        <f t="shared" si="0"/>
        <v>84.811607769716829</v>
      </c>
    </row>
    <row r="33" spans="3:8" ht="24.75" customHeight="1" thickBot="1" x14ac:dyDescent="0.3">
      <c r="C33" s="2109" t="s">
        <v>539</v>
      </c>
      <c r="D33" s="2088">
        <f>SUM(D10:D32)</f>
        <v>211490</v>
      </c>
      <c r="E33" s="2088">
        <f>SUM(E10:E32)</f>
        <v>179742</v>
      </c>
      <c r="F33" s="2088">
        <f>SUM(F10:F32)</f>
        <v>134045</v>
      </c>
      <c r="G33" s="2110">
        <f>+F33/E33*100</f>
        <v>74.576337194423118</v>
      </c>
    </row>
    <row r="34" spans="3:8" s="26" customFormat="1" ht="24.75" customHeight="1" thickBot="1" x14ac:dyDescent="0.3">
      <c r="C34" s="2111" t="s">
        <v>540</v>
      </c>
      <c r="D34" s="2112">
        <f>D9+D33</f>
        <v>3284192</v>
      </c>
      <c r="E34" s="2112">
        <f>E9+E33</f>
        <v>3380381</v>
      </c>
      <c r="F34" s="2112">
        <f>F9+F33</f>
        <v>3128901</v>
      </c>
      <c r="G34" s="2113">
        <f>+F34/E34*100</f>
        <v>92.560601896650113</v>
      </c>
      <c r="H34" s="415"/>
    </row>
    <row r="35" spans="3:8" ht="24.75" customHeight="1" x14ac:dyDescent="0.25">
      <c r="C35" s="2114"/>
      <c r="D35" s="2115"/>
      <c r="E35" s="2116"/>
      <c r="F35" s="2116"/>
      <c r="G35" s="2116"/>
    </row>
    <row r="36" spans="3:8" ht="24.75" customHeight="1" x14ac:dyDescent="0.25">
      <c r="C36" s="2116"/>
      <c r="D36" s="2115"/>
      <c r="E36" s="2115"/>
      <c r="F36" s="2115"/>
      <c r="G36" s="2116"/>
    </row>
    <row r="37" spans="3:8" ht="24.75" customHeight="1" thickBot="1" x14ac:dyDescent="0.3">
      <c r="C37" s="2117" t="s">
        <v>33</v>
      </c>
      <c r="D37" s="2118"/>
      <c r="E37" s="2118"/>
      <c r="F37" s="2116"/>
      <c r="G37" s="2118" t="s">
        <v>32</v>
      </c>
    </row>
    <row r="38" spans="3:8" ht="24.75" customHeight="1" x14ac:dyDescent="0.25">
      <c r="C38" s="2119" t="s">
        <v>50</v>
      </c>
      <c r="D38" s="2629" t="s">
        <v>512</v>
      </c>
      <c r="E38" s="2630"/>
      <c r="F38" s="2074" t="s">
        <v>662</v>
      </c>
      <c r="G38" s="2120" t="s">
        <v>178</v>
      </c>
    </row>
    <row r="39" spans="3:8" ht="24.75" customHeight="1" thickBot="1" x14ac:dyDescent="0.3">
      <c r="C39" s="2121"/>
      <c r="D39" s="2077" t="s">
        <v>335</v>
      </c>
      <c r="E39" s="2077" t="s">
        <v>176</v>
      </c>
      <c r="F39" s="2078" t="s">
        <v>177</v>
      </c>
      <c r="G39" s="2122" t="s">
        <v>179</v>
      </c>
    </row>
    <row r="40" spans="3:8" ht="24.75" customHeight="1" x14ac:dyDescent="0.25">
      <c r="C40" s="2123" t="s">
        <v>138</v>
      </c>
      <c r="D40" s="2091"/>
      <c r="E40" s="2124">
        <v>89973</v>
      </c>
      <c r="F40" s="2125">
        <v>85695</v>
      </c>
      <c r="G40" s="2126">
        <f>F40/E40*100</f>
        <v>95.24524023873829</v>
      </c>
    </row>
    <row r="41" spans="3:8" ht="24.75" customHeight="1" x14ac:dyDescent="0.25">
      <c r="C41" s="2084" t="s">
        <v>226</v>
      </c>
      <c r="D41" s="2127"/>
      <c r="E41" s="2128">
        <v>133488</v>
      </c>
      <c r="F41" s="2128">
        <v>104784</v>
      </c>
      <c r="G41" s="2129">
        <f>F41/E41*100</f>
        <v>78.496943545487227</v>
      </c>
    </row>
    <row r="42" spans="3:8" ht="24.75" customHeight="1" thickBot="1" x14ac:dyDescent="0.3">
      <c r="C42" s="2087" t="s">
        <v>1689</v>
      </c>
      <c r="D42" s="2130">
        <f>SUM(D40:D41)</f>
        <v>0</v>
      </c>
      <c r="E42" s="2130">
        <f>SUM(E40:E41)</f>
        <v>223461</v>
      </c>
      <c r="F42" s="2130">
        <f>SUM(F40:F41)</f>
        <v>190479</v>
      </c>
      <c r="G42" s="2131">
        <f>F42/E42*100</f>
        <v>85.24037751553962</v>
      </c>
    </row>
    <row r="43" spans="3:8" ht="15" customHeight="1" thickBot="1" x14ac:dyDescent="0.3">
      <c r="C43" s="2132"/>
      <c r="D43" s="2133"/>
      <c r="E43" s="2133"/>
      <c r="F43" s="2134"/>
      <c r="G43" s="2135"/>
    </row>
    <row r="44" spans="3:8" ht="24.75" customHeight="1" thickBot="1" x14ac:dyDescent="0.3">
      <c r="C44" s="2136" t="s">
        <v>22</v>
      </c>
      <c r="D44" s="2137">
        <f>+D34+D42</f>
        <v>3284192</v>
      </c>
      <c r="E44" s="2137">
        <f>+E34+E42</f>
        <v>3603842</v>
      </c>
      <c r="F44" s="2137">
        <f>+F42+F34</f>
        <v>3319380</v>
      </c>
      <c r="G44" s="2138">
        <f>+F44/E44*100</f>
        <v>92.106701681150284</v>
      </c>
    </row>
    <row r="46" spans="3:8" ht="15" customHeight="1" x14ac:dyDescent="0.2">
      <c r="F46" s="6"/>
    </row>
    <row r="47" spans="3:8" ht="15" customHeight="1" x14ac:dyDescent="0.2">
      <c r="E47" s="22"/>
      <c r="F47" s="6"/>
    </row>
    <row r="48" spans="3:8" ht="15" customHeight="1" x14ac:dyDescent="0.2">
      <c r="F48" s="6"/>
    </row>
  </sheetData>
  <mergeCells count="4">
    <mergeCell ref="C1:D1"/>
    <mergeCell ref="D5:E5"/>
    <mergeCell ref="C2:G2"/>
    <mergeCell ref="D38:E38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55" orientation="portrait" verticalDpi="300" r:id="rId1"/>
  <headerFooter alignWithMargins="0">
    <oddHeader>&amp;C&amp;"Times New Roman CE,Félkövér"&amp;14
&amp;R&amp;"Arial,Félkövér"&amp;14 8. melléklet a …../2018. (…….)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B1:I130"/>
  <sheetViews>
    <sheetView zoomScaleNormal="100" zoomScaleSheetLayoutView="75" workbookViewId="0">
      <selection activeCell="B101" sqref="B101"/>
    </sheetView>
  </sheetViews>
  <sheetFormatPr defaultColWidth="9.33203125" defaultRowHeight="15" customHeight="1" x14ac:dyDescent="0.2"/>
  <cols>
    <col min="1" max="1" width="12.5" style="11" bestFit="1" customWidth="1"/>
    <col min="2" max="2" width="103.33203125" style="11" customWidth="1"/>
    <col min="3" max="6" width="20.6640625" style="11" customWidth="1"/>
    <col min="7" max="7" width="25" style="11" customWidth="1"/>
    <col min="8" max="8" width="59" style="11" customWidth="1"/>
    <col min="9" max="9" width="18.83203125" style="11" bestFit="1" customWidth="1"/>
    <col min="10" max="16384" width="9.33203125" style="11"/>
  </cols>
  <sheetData>
    <row r="1" spans="2:7" ht="15" customHeight="1" x14ac:dyDescent="0.25">
      <c r="B1" s="21"/>
    </row>
    <row r="2" spans="2:7" ht="24" customHeight="1" x14ac:dyDescent="0.35">
      <c r="B2" s="2631" t="s">
        <v>289</v>
      </c>
      <c r="C2" s="2631"/>
      <c r="D2" s="2631"/>
      <c r="E2" s="2631"/>
      <c r="F2" s="2631"/>
    </row>
    <row r="3" spans="2:7" ht="15" customHeight="1" x14ac:dyDescent="0.25">
      <c r="B3" s="21"/>
      <c r="C3" s="21"/>
    </row>
    <row r="4" spans="2:7" s="408" customFormat="1" ht="24.75" customHeight="1" thickBot="1" x14ac:dyDescent="0.35">
      <c r="B4" s="2139" t="s">
        <v>250</v>
      </c>
      <c r="C4" s="127"/>
      <c r="F4" s="127" t="s">
        <v>32</v>
      </c>
    </row>
    <row r="5" spans="2:7" s="408" customFormat="1" ht="24.75" customHeight="1" x14ac:dyDescent="0.25">
      <c r="B5" s="661" t="s">
        <v>50</v>
      </c>
      <c r="C5" s="2632" t="s">
        <v>512</v>
      </c>
      <c r="D5" s="2632"/>
      <c r="E5" s="2140" t="s">
        <v>662</v>
      </c>
      <c r="F5" s="2141" t="s">
        <v>178</v>
      </c>
    </row>
    <row r="6" spans="2:7" s="408" customFormat="1" ht="24.75" customHeight="1" thickBot="1" x14ac:dyDescent="0.3">
      <c r="B6" s="2142"/>
      <c r="C6" s="2143" t="s">
        <v>335</v>
      </c>
      <c r="D6" s="2144" t="s">
        <v>176</v>
      </c>
      <c r="E6" s="2145" t="s">
        <v>177</v>
      </c>
      <c r="F6" s="2146" t="s">
        <v>179</v>
      </c>
    </row>
    <row r="7" spans="2:7" s="27" customFormat="1" ht="17.100000000000001" customHeight="1" x14ac:dyDescent="0.25">
      <c r="B7" s="136" t="s">
        <v>126</v>
      </c>
      <c r="C7" s="137"/>
      <c r="D7" s="137"/>
      <c r="E7" s="137"/>
      <c r="F7" s="137"/>
    </row>
    <row r="8" spans="2:7" ht="24.95" customHeight="1" x14ac:dyDescent="0.25">
      <c r="B8" s="138" t="s">
        <v>127</v>
      </c>
      <c r="C8" s="139"/>
      <c r="D8" s="139"/>
      <c r="E8" s="139"/>
      <c r="F8" s="153"/>
    </row>
    <row r="9" spans="2:7" ht="38.25" customHeight="1" x14ac:dyDescent="0.2">
      <c r="B9" s="493" t="s">
        <v>413</v>
      </c>
      <c r="C9" s="423">
        <v>99994</v>
      </c>
      <c r="D9" s="423">
        <v>132312</v>
      </c>
      <c r="E9" s="423">
        <f>453321-E10-E11</f>
        <v>106854</v>
      </c>
      <c r="F9" s="437">
        <f t="shared" ref="F9:F38" si="0">+E9/D9*100</f>
        <v>80.759114819517507</v>
      </c>
      <c r="G9" s="6"/>
    </row>
    <row r="10" spans="2:7" ht="24.95" customHeight="1" x14ac:dyDescent="0.2">
      <c r="B10" s="438" t="s">
        <v>588</v>
      </c>
      <c r="C10" s="193">
        <v>247454</v>
      </c>
      <c r="D10" s="193">
        <v>319776</v>
      </c>
      <c r="E10" s="193">
        <v>319776</v>
      </c>
      <c r="F10" s="437">
        <f t="shared" si="0"/>
        <v>100</v>
      </c>
      <c r="G10" s="6"/>
    </row>
    <row r="11" spans="2:7" ht="40.5" customHeight="1" thickBot="1" x14ac:dyDescent="0.25">
      <c r="B11" s="494" t="s">
        <v>1692</v>
      </c>
      <c r="C11" s="193"/>
      <c r="D11" s="193">
        <v>26691</v>
      </c>
      <c r="E11" s="193">
        <v>26691</v>
      </c>
      <c r="F11" s="437">
        <f t="shared" si="0"/>
        <v>100</v>
      </c>
      <c r="G11" s="6"/>
    </row>
    <row r="12" spans="2:7" ht="24.95" customHeight="1" thickBot="1" x14ac:dyDescent="0.3">
      <c r="B12" s="141" t="s">
        <v>541</v>
      </c>
      <c r="C12" s="142">
        <f>SUM(C9:C11)</f>
        <v>347448</v>
      </c>
      <c r="D12" s="142">
        <f>SUM(D9:D11)</f>
        <v>478779</v>
      </c>
      <c r="E12" s="142">
        <f>SUM(E9:E11)</f>
        <v>453321</v>
      </c>
      <c r="F12" s="154">
        <f t="shared" si="0"/>
        <v>94.682724179631933</v>
      </c>
      <c r="G12" s="6"/>
    </row>
    <row r="13" spans="2:7" ht="24.95" customHeight="1" x14ac:dyDescent="0.2">
      <c r="B13" s="439" t="s">
        <v>414</v>
      </c>
      <c r="C13" s="119">
        <v>13412</v>
      </c>
      <c r="D13" s="119">
        <v>16617</v>
      </c>
      <c r="E13" s="119">
        <v>0</v>
      </c>
      <c r="F13" s="155">
        <f t="shared" si="0"/>
        <v>0</v>
      </c>
      <c r="G13" s="6"/>
    </row>
    <row r="14" spans="2:7" ht="24.95" customHeight="1" x14ac:dyDescent="0.2">
      <c r="B14" s="439" t="s">
        <v>1693</v>
      </c>
      <c r="C14" s="119">
        <v>40200</v>
      </c>
      <c r="D14" s="119">
        <v>40200</v>
      </c>
      <c r="E14" s="119">
        <v>40200</v>
      </c>
      <c r="F14" s="155">
        <f t="shared" si="0"/>
        <v>100</v>
      </c>
      <c r="G14" s="6"/>
    </row>
    <row r="15" spans="2:7" ht="24.95" customHeight="1" x14ac:dyDescent="0.2">
      <c r="B15" s="439" t="s">
        <v>1694</v>
      </c>
      <c r="C15" s="119">
        <v>26800</v>
      </c>
      <c r="D15" s="119">
        <v>26800</v>
      </c>
      <c r="E15" s="119">
        <v>26800</v>
      </c>
      <c r="F15" s="155">
        <f t="shared" si="0"/>
        <v>100</v>
      </c>
      <c r="G15" s="6"/>
    </row>
    <row r="16" spans="2:7" ht="24.95" customHeight="1" x14ac:dyDescent="0.2">
      <c r="B16" s="439" t="s">
        <v>1695</v>
      </c>
      <c r="C16" s="119">
        <v>33030</v>
      </c>
      <c r="D16" s="119">
        <v>52556</v>
      </c>
      <c r="E16" s="119">
        <f>146605-E14-E15-E17</f>
        <v>51684</v>
      </c>
      <c r="F16" s="155">
        <f t="shared" si="0"/>
        <v>98.340817413806221</v>
      </c>
      <c r="G16" s="6"/>
    </row>
    <row r="17" spans="2:7" ht="24.95" customHeight="1" thickBot="1" x14ac:dyDescent="0.25">
      <c r="B17" s="440" t="s">
        <v>1696</v>
      </c>
      <c r="C17" s="126"/>
      <c r="D17" s="126">
        <v>27921</v>
      </c>
      <c r="E17" s="126">
        <v>27921</v>
      </c>
      <c r="F17" s="155">
        <f t="shared" si="0"/>
        <v>100</v>
      </c>
      <c r="G17" s="6"/>
    </row>
    <row r="18" spans="2:7" ht="24.95" customHeight="1" thickBot="1" x14ac:dyDescent="0.3">
      <c r="B18" s="143" t="s">
        <v>393</v>
      </c>
      <c r="C18" s="142">
        <f>SUM(C13:C16)</f>
        <v>113442</v>
      </c>
      <c r="D18" s="142">
        <f>SUM(D13:D17)</f>
        <v>164094</v>
      </c>
      <c r="E18" s="142">
        <f>SUM(E13:E17)</f>
        <v>146605</v>
      </c>
      <c r="F18" s="154">
        <f t="shared" si="0"/>
        <v>89.342084415030413</v>
      </c>
      <c r="G18" s="6"/>
    </row>
    <row r="19" spans="2:7" ht="36" customHeight="1" x14ac:dyDescent="0.2">
      <c r="B19" s="441" t="s">
        <v>416</v>
      </c>
      <c r="C19" s="355">
        <v>107753</v>
      </c>
      <c r="D19" s="355">
        <v>164547</v>
      </c>
      <c r="E19" s="355">
        <f>502285-E20-E21-E22</f>
        <v>78888</v>
      </c>
      <c r="F19" s="356">
        <f t="shared" si="0"/>
        <v>47.942533136429105</v>
      </c>
      <c r="G19" s="6"/>
    </row>
    <row r="20" spans="2:7" ht="24.95" customHeight="1" x14ac:dyDescent="0.2">
      <c r="B20" s="442" t="s">
        <v>1697</v>
      </c>
      <c r="C20" s="98">
        <v>164400</v>
      </c>
      <c r="D20" s="98">
        <v>164400</v>
      </c>
      <c r="E20" s="98">
        <v>164400</v>
      </c>
      <c r="F20" s="403">
        <f t="shared" si="0"/>
        <v>100</v>
      </c>
      <c r="G20" s="6"/>
    </row>
    <row r="21" spans="2:7" ht="24.95" customHeight="1" x14ac:dyDescent="0.2">
      <c r="B21" s="442" t="s">
        <v>1698</v>
      </c>
      <c r="C21" s="98">
        <v>111000</v>
      </c>
      <c r="D21" s="98">
        <v>194189</v>
      </c>
      <c r="E21" s="98">
        <v>194189</v>
      </c>
      <c r="F21" s="403">
        <f t="shared" si="0"/>
        <v>100</v>
      </c>
      <c r="G21" s="6"/>
    </row>
    <row r="22" spans="2:7" ht="24.95" customHeight="1" thickBot="1" x14ac:dyDescent="0.25">
      <c r="B22" s="440" t="s">
        <v>1699</v>
      </c>
      <c r="C22" s="126"/>
      <c r="D22" s="126">
        <v>64808</v>
      </c>
      <c r="E22" s="126">
        <v>64808</v>
      </c>
      <c r="F22" s="478">
        <f t="shared" si="0"/>
        <v>100</v>
      </c>
      <c r="G22" s="6"/>
    </row>
    <row r="23" spans="2:7" ht="24.95" customHeight="1" thickBot="1" x14ac:dyDescent="0.3">
      <c r="B23" s="194" t="s">
        <v>394</v>
      </c>
      <c r="C23" s="195">
        <f>SUM(C19:C21)</f>
        <v>383153</v>
      </c>
      <c r="D23" s="195">
        <f>SUM(D19:D22)</f>
        <v>587944</v>
      </c>
      <c r="E23" s="195">
        <f>SUM(E19:E22)</f>
        <v>502285</v>
      </c>
      <c r="F23" s="154">
        <f t="shared" si="0"/>
        <v>85.430755310029525</v>
      </c>
      <c r="G23" s="6"/>
    </row>
    <row r="24" spans="2:7" ht="24.95" customHeight="1" x14ac:dyDescent="0.25">
      <c r="B24" s="443" t="s">
        <v>418</v>
      </c>
      <c r="C24" s="421">
        <v>59334</v>
      </c>
      <c r="D24" s="421">
        <v>201075</v>
      </c>
      <c r="E24" s="421">
        <f>382654-E25-E26-E27</f>
        <v>168824</v>
      </c>
      <c r="F24" s="444">
        <f>+E24/D24*100</f>
        <v>83.960711177421359</v>
      </c>
      <c r="G24" s="6"/>
    </row>
    <row r="25" spans="2:7" ht="24.95" customHeight="1" x14ac:dyDescent="0.2">
      <c r="B25" s="445" t="s">
        <v>1700</v>
      </c>
      <c r="C25" s="196">
        <v>119400</v>
      </c>
      <c r="D25" s="196">
        <v>119400</v>
      </c>
      <c r="E25" s="196">
        <v>119400</v>
      </c>
      <c r="F25" s="446">
        <f>+E25/D25*100</f>
        <v>100</v>
      </c>
      <c r="G25" s="6"/>
    </row>
    <row r="26" spans="2:7" ht="24.95" customHeight="1" x14ac:dyDescent="0.25">
      <c r="B26" s="438" t="s">
        <v>1701</v>
      </c>
      <c r="C26" s="193">
        <v>24000</v>
      </c>
      <c r="D26" s="193">
        <v>53081</v>
      </c>
      <c r="E26" s="193">
        <v>53081</v>
      </c>
      <c r="F26" s="447">
        <f>+E26/D26*100</f>
        <v>100</v>
      </c>
      <c r="G26" s="6"/>
    </row>
    <row r="27" spans="2:7" ht="24.95" customHeight="1" thickBot="1" x14ac:dyDescent="0.25">
      <c r="B27" s="438" t="s">
        <v>1702</v>
      </c>
      <c r="C27" s="196"/>
      <c r="D27" s="196">
        <v>41349</v>
      </c>
      <c r="E27" s="196">
        <v>41349</v>
      </c>
      <c r="F27" s="446">
        <f>+E27/D27*100</f>
        <v>100</v>
      </c>
      <c r="G27" s="6"/>
    </row>
    <row r="28" spans="2:7" ht="24.95" customHeight="1" thickBot="1" x14ac:dyDescent="0.3">
      <c r="B28" s="141" t="s">
        <v>260</v>
      </c>
      <c r="C28" s="142">
        <f>+C26+C24+C25+C27</f>
        <v>202734</v>
      </c>
      <c r="D28" s="142">
        <f>+D26+D24+D25+D27</f>
        <v>414905</v>
      </c>
      <c r="E28" s="142">
        <f>+E26+E24+E25+E27</f>
        <v>382654</v>
      </c>
      <c r="F28" s="154">
        <f>+E28/D28*100</f>
        <v>92.226895313385</v>
      </c>
      <c r="G28" s="6"/>
    </row>
    <row r="29" spans="2:7" ht="24.95" customHeight="1" x14ac:dyDescent="0.2">
      <c r="B29" s="354" t="s">
        <v>417</v>
      </c>
      <c r="C29" s="355">
        <v>202268</v>
      </c>
      <c r="D29" s="355">
        <v>244900</v>
      </c>
      <c r="E29" s="355">
        <f>567221-E30-E31-E32</f>
        <v>192116</v>
      </c>
      <c r="F29" s="403">
        <f t="shared" si="0"/>
        <v>78.446712944058788</v>
      </c>
      <c r="G29" s="6"/>
    </row>
    <row r="30" spans="2:7" ht="24.95" customHeight="1" x14ac:dyDescent="0.2">
      <c r="B30" s="390" t="s">
        <v>1703</v>
      </c>
      <c r="C30" s="98">
        <v>139800</v>
      </c>
      <c r="D30" s="98">
        <v>139800</v>
      </c>
      <c r="E30" s="98">
        <v>139800</v>
      </c>
      <c r="F30" s="403">
        <f t="shared" si="0"/>
        <v>100</v>
      </c>
      <c r="G30" s="6"/>
    </row>
    <row r="31" spans="2:7" ht="24.95" customHeight="1" x14ac:dyDescent="0.2">
      <c r="B31" s="140" t="s">
        <v>1704</v>
      </c>
      <c r="C31" s="126"/>
      <c r="D31" s="126">
        <v>36461</v>
      </c>
      <c r="E31" s="126">
        <v>36461</v>
      </c>
      <c r="F31" s="155">
        <f t="shared" si="0"/>
        <v>100</v>
      </c>
      <c r="G31" s="6"/>
    </row>
    <row r="32" spans="2:7" ht="24.95" customHeight="1" thickBot="1" x14ac:dyDescent="0.25">
      <c r="B32" s="390" t="s">
        <v>598</v>
      </c>
      <c r="C32" s="98">
        <v>93050</v>
      </c>
      <c r="D32" s="98">
        <v>198844</v>
      </c>
      <c r="E32" s="98">
        <v>198844</v>
      </c>
      <c r="F32" s="155">
        <f t="shared" si="0"/>
        <v>100</v>
      </c>
      <c r="G32" s="6"/>
    </row>
    <row r="33" spans="2:9" ht="24.95" customHeight="1" thickBot="1" x14ac:dyDescent="0.3">
      <c r="B33" s="141" t="s">
        <v>5</v>
      </c>
      <c r="C33" s="142">
        <f>SUM(C29:C32)</f>
        <v>435118</v>
      </c>
      <c r="D33" s="142">
        <f>+D32+D29+D30+D31</f>
        <v>620005</v>
      </c>
      <c r="E33" s="142">
        <f>+E32+E29+E30+E31</f>
        <v>567221</v>
      </c>
      <c r="F33" s="154">
        <f t="shared" si="0"/>
        <v>91.486520269997811</v>
      </c>
      <c r="G33" s="6"/>
    </row>
    <row r="34" spans="2:9" ht="27" customHeight="1" x14ac:dyDescent="0.3">
      <c r="B34" s="354" t="s">
        <v>397</v>
      </c>
      <c r="C34" s="119">
        <v>175000</v>
      </c>
      <c r="D34" s="119">
        <v>175000</v>
      </c>
      <c r="E34" s="119">
        <f>387200-E35-E36</f>
        <v>175000</v>
      </c>
      <c r="F34" s="155">
        <f t="shared" si="0"/>
        <v>100</v>
      </c>
      <c r="G34" s="6"/>
      <c r="H34" s="477"/>
      <c r="I34" s="476"/>
    </row>
    <row r="35" spans="2:9" ht="39" customHeight="1" x14ac:dyDescent="0.3">
      <c r="B35" s="144" t="s">
        <v>1690</v>
      </c>
      <c r="C35" s="126">
        <v>127300</v>
      </c>
      <c r="D35" s="126">
        <v>127300</v>
      </c>
      <c r="E35" s="126">
        <f>+'3 bev.részl'!I17</f>
        <v>127300</v>
      </c>
      <c r="F35" s="155">
        <f t="shared" si="0"/>
        <v>100</v>
      </c>
      <c r="G35" s="6"/>
      <c r="H35" s="477"/>
      <c r="I35" s="476"/>
    </row>
    <row r="36" spans="2:9" ht="46.5" customHeight="1" thickBot="1" x14ac:dyDescent="0.35">
      <c r="B36" s="346" t="s">
        <v>1691</v>
      </c>
      <c r="C36" s="135">
        <v>84900</v>
      </c>
      <c r="D36" s="135">
        <v>84900</v>
      </c>
      <c r="E36" s="135">
        <f>+'3 bev.részl'!I18</f>
        <v>84900</v>
      </c>
      <c r="F36" s="155">
        <f t="shared" si="0"/>
        <v>100</v>
      </c>
      <c r="G36" s="6"/>
      <c r="H36" s="477"/>
      <c r="I36" s="476"/>
    </row>
    <row r="37" spans="2:9" s="94" customFormat="1" ht="24.95" customHeight="1" thickBot="1" x14ac:dyDescent="0.35">
      <c r="B37" s="141" t="s">
        <v>128</v>
      </c>
      <c r="C37" s="145">
        <f>SUM(C34:C36)</f>
        <v>387200</v>
      </c>
      <c r="D37" s="145">
        <f>SUM(D34:D36)</f>
        <v>387200</v>
      </c>
      <c r="E37" s="145">
        <f>SUM(E34:E36)</f>
        <v>387200</v>
      </c>
      <c r="F37" s="154">
        <f t="shared" si="0"/>
        <v>100</v>
      </c>
      <c r="G37" s="6"/>
      <c r="H37" s="477"/>
      <c r="I37" s="476"/>
    </row>
    <row r="38" spans="2:9" ht="24.95" customHeight="1" thickBot="1" x14ac:dyDescent="0.35">
      <c r="B38" s="197" t="s">
        <v>129</v>
      </c>
      <c r="C38" s="133">
        <f>+C12+C18+C23+C33+C28+C37</f>
        <v>1869095</v>
      </c>
      <c r="D38" s="133">
        <f>+D12+D18+D23+D33+D28+D37</f>
        <v>2652927</v>
      </c>
      <c r="E38" s="133">
        <f>+E12+E18+E23+E33+E28+E37</f>
        <v>2439286</v>
      </c>
      <c r="F38" s="154">
        <f t="shared" si="0"/>
        <v>91.946970270949777</v>
      </c>
      <c r="G38" s="6"/>
      <c r="H38" s="477"/>
      <c r="I38" s="476"/>
    </row>
    <row r="39" spans="2:9" ht="24.95" customHeight="1" x14ac:dyDescent="0.3">
      <c r="B39" s="146" t="s">
        <v>542</v>
      </c>
      <c r="C39" s="355"/>
      <c r="D39" s="355"/>
      <c r="E39" s="355"/>
      <c r="F39" s="356"/>
      <c r="G39" s="6"/>
      <c r="H39" s="477"/>
      <c r="I39" s="476"/>
    </row>
    <row r="40" spans="2:9" ht="24.95" customHeight="1" x14ac:dyDescent="0.3">
      <c r="B40" s="368" t="s">
        <v>401</v>
      </c>
      <c r="C40" s="358">
        <v>2000</v>
      </c>
      <c r="D40" s="358">
        <v>2000</v>
      </c>
      <c r="E40" s="358">
        <v>2000</v>
      </c>
      <c r="F40" s="359">
        <f t="shared" ref="F40:F56" si="1">+E40/D40*100</f>
        <v>100</v>
      </c>
      <c r="G40" s="6"/>
      <c r="H40" s="477"/>
      <c r="I40" s="476"/>
    </row>
    <row r="41" spans="2:9" s="27" customFormat="1" ht="24.95" customHeight="1" x14ac:dyDescent="0.3">
      <c r="B41" s="151" t="s">
        <v>6</v>
      </c>
      <c r="C41" s="360">
        <v>1200</v>
      </c>
      <c r="D41" s="360">
        <v>1200</v>
      </c>
      <c r="E41" s="360">
        <v>1200</v>
      </c>
      <c r="F41" s="359">
        <f t="shared" si="1"/>
        <v>100</v>
      </c>
      <c r="G41" s="6"/>
      <c r="H41" s="477"/>
      <c r="I41" s="476"/>
    </row>
    <row r="42" spans="2:9" ht="24.95" customHeight="1" x14ac:dyDescent="0.3">
      <c r="B42" s="369" t="s">
        <v>209</v>
      </c>
      <c r="C42" s="204">
        <v>2000</v>
      </c>
      <c r="D42" s="204">
        <v>2000</v>
      </c>
      <c r="E42" s="204">
        <v>2000</v>
      </c>
      <c r="F42" s="359">
        <f t="shared" si="1"/>
        <v>100</v>
      </c>
      <c r="G42" s="6"/>
      <c r="H42" s="477"/>
      <c r="I42" s="476"/>
    </row>
    <row r="43" spans="2:9" s="27" customFormat="1" ht="24.95" customHeight="1" x14ac:dyDescent="0.3">
      <c r="B43" s="151" t="s">
        <v>210</v>
      </c>
      <c r="C43" s="360">
        <v>3000</v>
      </c>
      <c r="D43" s="360">
        <v>3000</v>
      </c>
      <c r="E43" s="360">
        <v>3000</v>
      </c>
      <c r="F43" s="359">
        <f t="shared" si="1"/>
        <v>100</v>
      </c>
      <c r="G43" s="6"/>
      <c r="H43" s="477"/>
      <c r="I43" s="476"/>
    </row>
    <row r="44" spans="2:9" ht="24.95" customHeight="1" x14ac:dyDescent="0.3">
      <c r="B44" s="368" t="s">
        <v>211</v>
      </c>
      <c r="C44" s="204">
        <v>17000</v>
      </c>
      <c r="D44" s="204">
        <v>17000</v>
      </c>
      <c r="E44" s="204">
        <v>17000</v>
      </c>
      <c r="F44" s="359">
        <f t="shared" si="1"/>
        <v>100</v>
      </c>
      <c r="G44" s="6"/>
      <c r="H44" s="477"/>
      <c r="I44" s="476"/>
    </row>
    <row r="45" spans="2:9" s="27" customFormat="1" ht="24.95" customHeight="1" x14ac:dyDescent="0.3">
      <c r="B45" s="151" t="s">
        <v>212</v>
      </c>
      <c r="C45" s="360">
        <v>1000</v>
      </c>
      <c r="D45" s="360">
        <v>1000</v>
      </c>
      <c r="E45" s="360">
        <v>1000</v>
      </c>
      <c r="F45" s="359">
        <f t="shared" si="1"/>
        <v>100</v>
      </c>
      <c r="G45" s="6"/>
      <c r="H45" s="477"/>
      <c r="I45" s="476"/>
    </row>
    <row r="46" spans="2:9" ht="24.95" customHeight="1" x14ac:dyDescent="0.3">
      <c r="B46" s="369" t="s">
        <v>213</v>
      </c>
      <c r="C46" s="204">
        <v>1000</v>
      </c>
      <c r="D46" s="204">
        <v>1000</v>
      </c>
      <c r="E46" s="204">
        <v>1000</v>
      </c>
      <c r="F46" s="359">
        <f t="shared" si="1"/>
        <v>100</v>
      </c>
      <c r="G46" s="6"/>
      <c r="H46" s="477"/>
      <c r="I46" s="476"/>
    </row>
    <row r="47" spans="2:9" ht="24.95" customHeight="1" x14ac:dyDescent="0.3">
      <c r="B47" s="368" t="s">
        <v>7</v>
      </c>
      <c r="C47" s="361">
        <v>650</v>
      </c>
      <c r="D47" s="361">
        <v>650</v>
      </c>
      <c r="E47" s="361">
        <v>650</v>
      </c>
      <c r="F47" s="362">
        <f t="shared" si="1"/>
        <v>100</v>
      </c>
      <c r="G47" s="6"/>
      <c r="H47" s="477"/>
      <c r="I47" s="476"/>
    </row>
    <row r="48" spans="2:9" ht="24.95" customHeight="1" x14ac:dyDescent="0.3">
      <c r="B48" s="390" t="s">
        <v>31</v>
      </c>
      <c r="C48" s="363">
        <v>1000</v>
      </c>
      <c r="D48" s="363">
        <v>1000</v>
      </c>
      <c r="E48" s="363">
        <v>1000</v>
      </c>
      <c r="F48" s="362">
        <f t="shared" si="1"/>
        <v>100</v>
      </c>
      <c r="G48" s="6"/>
      <c r="H48" s="477"/>
      <c r="I48" s="476"/>
    </row>
    <row r="49" spans="2:9" ht="24.95" customHeight="1" x14ac:dyDescent="0.3">
      <c r="B49" s="368" t="s">
        <v>1705</v>
      </c>
      <c r="C49" s="361">
        <v>2500</v>
      </c>
      <c r="D49" s="361">
        <v>2500</v>
      </c>
      <c r="E49" s="361">
        <v>2500</v>
      </c>
      <c r="F49" s="362">
        <f t="shared" si="1"/>
        <v>100</v>
      </c>
      <c r="G49" s="6"/>
      <c r="H49" s="477"/>
      <c r="I49" s="476"/>
    </row>
    <row r="50" spans="2:9" ht="24.95" customHeight="1" x14ac:dyDescent="0.3">
      <c r="B50" s="392" t="s">
        <v>233</v>
      </c>
      <c r="C50" s="361">
        <v>400</v>
      </c>
      <c r="D50" s="361">
        <v>400</v>
      </c>
      <c r="E50" s="361">
        <v>400</v>
      </c>
      <c r="F50" s="362">
        <f t="shared" si="1"/>
        <v>100</v>
      </c>
      <c r="G50" s="6"/>
      <c r="H50" s="477"/>
      <c r="I50" s="476"/>
    </row>
    <row r="51" spans="2:9" ht="24.95" customHeight="1" x14ac:dyDescent="0.3">
      <c r="B51" s="369" t="s">
        <v>234</v>
      </c>
      <c r="C51" s="204">
        <v>1500</v>
      </c>
      <c r="D51" s="204">
        <v>1500</v>
      </c>
      <c r="E51" s="204">
        <v>1500</v>
      </c>
      <c r="F51" s="359">
        <f t="shared" si="1"/>
        <v>100</v>
      </c>
      <c r="G51" s="6"/>
      <c r="H51" s="477"/>
      <c r="I51" s="476"/>
    </row>
    <row r="52" spans="2:9" ht="24.95" customHeight="1" x14ac:dyDescent="0.3">
      <c r="B52" s="392" t="s">
        <v>359</v>
      </c>
      <c r="C52" s="361">
        <v>1600</v>
      </c>
      <c r="D52" s="361">
        <v>1600</v>
      </c>
      <c r="E52" s="361">
        <v>1600</v>
      </c>
      <c r="F52" s="359">
        <f t="shared" si="1"/>
        <v>100</v>
      </c>
      <c r="G52" s="6"/>
      <c r="H52" s="477"/>
      <c r="I52" s="476"/>
    </row>
    <row r="53" spans="2:9" ht="36" customHeight="1" x14ac:dyDescent="0.3">
      <c r="B53" s="790" t="s">
        <v>43</v>
      </c>
      <c r="C53" s="363">
        <v>1000</v>
      </c>
      <c r="D53" s="363">
        <v>1000</v>
      </c>
      <c r="E53" s="363">
        <v>1000</v>
      </c>
      <c r="F53" s="791">
        <f t="shared" si="1"/>
        <v>100</v>
      </c>
      <c r="G53" s="6"/>
      <c r="H53" s="477"/>
      <c r="I53" s="476"/>
    </row>
    <row r="54" spans="2:9" ht="36" customHeight="1" x14ac:dyDescent="0.3">
      <c r="B54" s="406" t="s">
        <v>518</v>
      </c>
      <c r="C54" s="792">
        <v>2000</v>
      </c>
      <c r="D54" s="792">
        <v>2000</v>
      </c>
      <c r="E54" s="792">
        <v>2000</v>
      </c>
      <c r="F54" s="405">
        <f t="shared" si="1"/>
        <v>100</v>
      </c>
      <c r="G54" s="6"/>
      <c r="H54" s="477"/>
      <c r="I54" s="476"/>
    </row>
    <row r="55" spans="2:9" ht="24.95" customHeight="1" thickBot="1" x14ac:dyDescent="0.35">
      <c r="B55" s="338" t="s">
        <v>543</v>
      </c>
      <c r="C55" s="364">
        <f>SUM(C40:C54)</f>
        <v>37850</v>
      </c>
      <c r="D55" s="364">
        <f t="shared" ref="D55:E55" si="2">SUM(D40:D54)</f>
        <v>37850</v>
      </c>
      <c r="E55" s="364">
        <f t="shared" si="2"/>
        <v>37850</v>
      </c>
      <c r="F55" s="365">
        <f t="shared" si="1"/>
        <v>100</v>
      </c>
      <c r="G55" s="6"/>
      <c r="H55" s="477"/>
      <c r="I55" s="476"/>
    </row>
    <row r="56" spans="2:9" ht="33" customHeight="1" thickBot="1" x14ac:dyDescent="0.35">
      <c r="B56" s="198" t="s">
        <v>130</v>
      </c>
      <c r="C56" s="99">
        <f>C38+C55</f>
        <v>1906945</v>
      </c>
      <c r="D56" s="99">
        <f>D38+D55</f>
        <v>2690777</v>
      </c>
      <c r="E56" s="99">
        <f>E38+E55</f>
        <v>2477136</v>
      </c>
      <c r="F56" s="154">
        <f t="shared" si="1"/>
        <v>92.060248768292581</v>
      </c>
      <c r="G56" s="6"/>
      <c r="H56" s="477"/>
      <c r="I56" s="477"/>
    </row>
    <row r="57" spans="2:9" s="27" customFormat="1" ht="24.75" customHeight="1" x14ac:dyDescent="0.3">
      <c r="B57" s="147" t="s">
        <v>395</v>
      </c>
      <c r="C57" s="148"/>
      <c r="D57" s="148"/>
      <c r="E57" s="148"/>
      <c r="F57" s="156"/>
      <c r="G57" s="6"/>
      <c r="H57" s="477"/>
      <c r="I57" s="477"/>
    </row>
    <row r="58" spans="2:9" s="27" customFormat="1" ht="24.75" customHeight="1" x14ac:dyDescent="0.3">
      <c r="B58" s="161"/>
      <c r="C58" s="149"/>
      <c r="D58" s="149"/>
      <c r="E58" s="149"/>
      <c r="F58" s="157"/>
      <c r="G58" s="6"/>
      <c r="H58" s="477"/>
      <c r="I58" s="477"/>
    </row>
    <row r="59" spans="2:9" ht="24.75" customHeight="1" thickBot="1" x14ac:dyDescent="0.35">
      <c r="B59" s="198" t="s">
        <v>154</v>
      </c>
      <c r="C59" s="99">
        <v>15000</v>
      </c>
      <c r="D59" s="99">
        <v>16226</v>
      </c>
      <c r="E59" s="99">
        <v>15700</v>
      </c>
      <c r="F59" s="206">
        <f>+E59/D59*100</f>
        <v>96.758289165536794</v>
      </c>
      <c r="G59" s="6"/>
      <c r="H59" s="477"/>
      <c r="I59" s="477"/>
    </row>
    <row r="60" spans="2:9" s="27" customFormat="1" ht="24.75" customHeight="1" x14ac:dyDescent="0.3">
      <c r="B60" s="147" t="s">
        <v>131</v>
      </c>
      <c r="C60" s="148"/>
      <c r="D60" s="148"/>
      <c r="E60" s="148"/>
      <c r="F60" s="156"/>
      <c r="G60" s="6"/>
      <c r="H60" s="477"/>
      <c r="I60" s="477"/>
    </row>
    <row r="61" spans="2:9" ht="18" customHeight="1" thickBot="1" x14ac:dyDescent="0.35">
      <c r="B61" s="201"/>
      <c r="C61" s="199"/>
      <c r="D61" s="199"/>
      <c r="E61" s="199"/>
      <c r="F61" s="200"/>
      <c r="G61" s="6"/>
      <c r="H61" s="477"/>
      <c r="I61" s="477"/>
    </row>
    <row r="62" spans="2:9" ht="24.75" customHeight="1" thickBot="1" x14ac:dyDescent="0.35">
      <c r="B62" s="202" t="s">
        <v>519</v>
      </c>
      <c r="C62" s="133">
        <v>15000</v>
      </c>
      <c r="D62" s="133">
        <v>0</v>
      </c>
      <c r="E62" s="133">
        <v>0</v>
      </c>
      <c r="F62" s="154">
        <v>0</v>
      </c>
      <c r="G62" s="6"/>
      <c r="H62" s="477"/>
      <c r="I62" s="476"/>
    </row>
    <row r="63" spans="2:9" s="27" customFormat="1" ht="24.75" customHeight="1" x14ac:dyDescent="0.3">
      <c r="B63" s="150" t="s">
        <v>132</v>
      </c>
      <c r="C63" s="148"/>
      <c r="D63" s="148"/>
      <c r="E63" s="148"/>
      <c r="F63" s="156"/>
      <c r="G63" s="6"/>
      <c r="H63" s="477"/>
      <c r="I63" s="476"/>
    </row>
    <row r="64" spans="2:9" ht="29.25" customHeight="1" x14ac:dyDescent="0.3">
      <c r="B64" s="203" t="s">
        <v>272</v>
      </c>
      <c r="C64" s="204">
        <v>2000</v>
      </c>
      <c r="D64" s="204">
        <v>2000</v>
      </c>
      <c r="E64" s="204">
        <v>2000</v>
      </c>
      <c r="F64" s="155">
        <f>+E64/D64*100</f>
        <v>100</v>
      </c>
      <c r="G64" s="6"/>
      <c r="H64" s="477"/>
      <c r="I64" s="476"/>
    </row>
    <row r="65" spans="2:9" ht="29.25" customHeight="1" x14ac:dyDescent="0.3">
      <c r="B65" s="203" t="s">
        <v>1706</v>
      </c>
      <c r="C65" s="204">
        <v>10000</v>
      </c>
      <c r="D65" s="204">
        <v>10000</v>
      </c>
      <c r="E65" s="204">
        <v>10000</v>
      </c>
      <c r="F65" s="155">
        <f t="shared" ref="F65:F67" si="3">+E65/D65*100</f>
        <v>100</v>
      </c>
      <c r="G65" s="6"/>
      <c r="H65" s="477"/>
      <c r="I65" s="476"/>
    </row>
    <row r="66" spans="2:9" ht="29.25" customHeight="1" x14ac:dyDescent="0.3">
      <c r="B66" s="203" t="s">
        <v>520</v>
      </c>
      <c r="C66" s="204">
        <v>30000</v>
      </c>
      <c r="D66" s="204">
        <v>0</v>
      </c>
      <c r="E66" s="204">
        <v>0</v>
      </c>
      <c r="F66" s="155"/>
      <c r="G66" s="6"/>
      <c r="H66" s="477"/>
      <c r="I66" s="476"/>
    </row>
    <row r="67" spans="2:9" ht="29.25" customHeight="1" x14ac:dyDescent="0.3">
      <c r="B67" s="203" t="s">
        <v>615</v>
      </c>
      <c r="C67" s="204"/>
      <c r="D67" s="204">
        <v>10000</v>
      </c>
      <c r="E67" s="204">
        <v>10000</v>
      </c>
      <c r="F67" s="155">
        <f t="shared" si="3"/>
        <v>100</v>
      </c>
      <c r="G67" s="6"/>
      <c r="H67" s="477"/>
      <c r="I67" s="476"/>
    </row>
    <row r="68" spans="2:9" ht="24.95" customHeight="1" thickBot="1" x14ac:dyDescent="0.35">
      <c r="B68" s="198" t="s">
        <v>133</v>
      </c>
      <c r="C68" s="99">
        <f>SUM(C64:C67)</f>
        <v>42000</v>
      </c>
      <c r="D68" s="99">
        <f>SUM(D64:D67)</f>
        <v>22000</v>
      </c>
      <c r="E68" s="99">
        <f>SUM(E64:E67)</f>
        <v>22000</v>
      </c>
      <c r="F68" s="206">
        <f>+E68/D68*100</f>
        <v>100</v>
      </c>
      <c r="G68" s="6"/>
      <c r="H68" s="477"/>
      <c r="I68" s="477"/>
    </row>
    <row r="69" spans="2:9" ht="24.95" customHeight="1" thickBot="1" x14ac:dyDescent="0.35">
      <c r="B69" s="198" t="s">
        <v>134</v>
      </c>
      <c r="C69" s="99">
        <f>C62+C68</f>
        <v>57000</v>
      </c>
      <c r="D69" s="99">
        <f>D62+D68</f>
        <v>22000</v>
      </c>
      <c r="E69" s="99">
        <f>E62+E68</f>
        <v>22000</v>
      </c>
      <c r="F69" s="154">
        <f>+E69/D69*100</f>
        <v>100</v>
      </c>
      <c r="G69" s="6"/>
      <c r="H69" s="477"/>
      <c r="I69" s="477"/>
    </row>
    <row r="70" spans="2:9" s="27" customFormat="1" ht="24.95" customHeight="1" x14ac:dyDescent="0.3">
      <c r="B70" s="147" t="s">
        <v>135</v>
      </c>
      <c r="C70" s="148"/>
      <c r="D70" s="148"/>
      <c r="E70" s="148"/>
      <c r="F70" s="156"/>
      <c r="G70" s="6"/>
      <c r="H70" s="477"/>
      <c r="I70" s="477"/>
    </row>
    <row r="71" spans="2:9" s="27" customFormat="1" ht="40.5" customHeight="1" x14ac:dyDescent="0.3">
      <c r="B71" s="492" t="s">
        <v>396</v>
      </c>
      <c r="C71" s="149"/>
      <c r="D71" s="149"/>
      <c r="E71" s="149"/>
      <c r="F71" s="157"/>
      <c r="G71" s="6"/>
      <c r="H71" s="477"/>
      <c r="I71" s="477"/>
    </row>
    <row r="72" spans="2:9" ht="24.95" customHeight="1" x14ac:dyDescent="0.3">
      <c r="B72" s="151" t="s">
        <v>544</v>
      </c>
      <c r="C72" s="204">
        <v>2400</v>
      </c>
      <c r="D72" s="204">
        <v>3832</v>
      </c>
      <c r="E72" s="204">
        <v>2384</v>
      </c>
      <c r="F72" s="359">
        <f t="shared" ref="F72:F83" si="4">+E72/D72*100</f>
        <v>62.21294363256785</v>
      </c>
      <c r="G72" s="6"/>
      <c r="H72" s="477"/>
      <c r="I72" s="477"/>
    </row>
    <row r="73" spans="2:9" s="27" customFormat="1" ht="24.95" customHeight="1" x14ac:dyDescent="0.3">
      <c r="B73" s="151" t="s">
        <v>10</v>
      </c>
      <c r="C73" s="360">
        <v>25218</v>
      </c>
      <c r="D73" s="360">
        <v>29920</v>
      </c>
      <c r="E73" s="360">
        <v>29920</v>
      </c>
      <c r="F73" s="359">
        <f t="shared" si="4"/>
        <v>100</v>
      </c>
      <c r="G73" s="6"/>
      <c r="H73" s="477"/>
      <c r="I73" s="477"/>
    </row>
    <row r="74" spans="2:9" s="27" customFormat="1" ht="24.95" customHeight="1" x14ac:dyDescent="0.3">
      <c r="B74" s="151" t="s">
        <v>1708</v>
      </c>
      <c r="C74" s="360"/>
      <c r="D74" s="360">
        <v>2300</v>
      </c>
      <c r="E74" s="360">
        <v>2300</v>
      </c>
      <c r="F74" s="359">
        <f t="shared" si="4"/>
        <v>100</v>
      </c>
      <c r="G74" s="6"/>
      <c r="H74" s="477"/>
      <c r="I74" s="477"/>
    </row>
    <row r="75" spans="2:9" s="27" customFormat="1" ht="24.95" customHeight="1" x14ac:dyDescent="0.3">
      <c r="B75" s="151" t="s">
        <v>521</v>
      </c>
      <c r="C75" s="360">
        <v>35000</v>
      </c>
      <c r="D75" s="360">
        <v>40000</v>
      </c>
      <c r="E75" s="360">
        <v>40000</v>
      </c>
      <c r="F75" s="359">
        <f t="shared" si="4"/>
        <v>100</v>
      </c>
      <c r="G75" s="6"/>
      <c r="H75" s="477"/>
      <c r="I75" s="477"/>
    </row>
    <row r="76" spans="2:9" s="27" customFormat="1" ht="43.5" customHeight="1" x14ac:dyDescent="0.3">
      <c r="B76" s="151" t="s">
        <v>663</v>
      </c>
      <c r="C76" s="360"/>
      <c r="D76" s="360">
        <v>3565</v>
      </c>
      <c r="E76" s="360">
        <v>0</v>
      </c>
      <c r="F76" s="359">
        <f t="shared" si="4"/>
        <v>0</v>
      </c>
      <c r="G76" s="6"/>
      <c r="H76" s="477"/>
      <c r="I76" s="477"/>
    </row>
    <row r="77" spans="2:9" s="27" customFormat="1" ht="41.25" customHeight="1" x14ac:dyDescent="0.3">
      <c r="B77" s="151" t="s">
        <v>616</v>
      </c>
      <c r="C77" s="360"/>
      <c r="D77" s="360">
        <v>500</v>
      </c>
      <c r="E77" s="360">
        <v>500</v>
      </c>
      <c r="F77" s="359">
        <f t="shared" si="4"/>
        <v>100</v>
      </c>
      <c r="G77" s="6"/>
      <c r="H77" s="477"/>
      <c r="I77" s="477"/>
    </row>
    <row r="78" spans="2:9" s="27" customFormat="1" ht="24.95" customHeight="1" x14ac:dyDescent="0.3">
      <c r="B78" s="151" t="s">
        <v>1707</v>
      </c>
      <c r="C78" s="360">
        <v>13000</v>
      </c>
      <c r="D78" s="360">
        <v>13000</v>
      </c>
      <c r="E78" s="360">
        <v>13000</v>
      </c>
      <c r="F78" s="359">
        <f t="shared" si="4"/>
        <v>100</v>
      </c>
      <c r="G78" s="6"/>
      <c r="H78" s="477"/>
      <c r="I78" s="477"/>
    </row>
    <row r="79" spans="2:9" s="27" customFormat="1" ht="24.95" customHeight="1" x14ac:dyDescent="0.3">
      <c r="B79" s="151" t="s">
        <v>429</v>
      </c>
      <c r="C79" s="360">
        <v>10000</v>
      </c>
      <c r="D79" s="360">
        <v>10000</v>
      </c>
      <c r="E79" s="360">
        <v>10000</v>
      </c>
      <c r="F79" s="359">
        <f t="shared" si="4"/>
        <v>100</v>
      </c>
      <c r="G79" s="6"/>
      <c r="H79" s="477"/>
      <c r="I79" s="477"/>
    </row>
    <row r="80" spans="2:9" ht="45" customHeight="1" x14ac:dyDescent="0.3">
      <c r="B80" s="151" t="s">
        <v>476</v>
      </c>
      <c r="C80" s="366"/>
      <c r="D80" s="366">
        <v>762</v>
      </c>
      <c r="E80" s="366">
        <v>762</v>
      </c>
      <c r="F80" s="359">
        <f t="shared" si="4"/>
        <v>100</v>
      </c>
      <c r="G80" s="6"/>
      <c r="H80" s="477"/>
      <c r="I80" s="477"/>
    </row>
    <row r="81" spans="2:9" ht="45" customHeight="1" x14ac:dyDescent="0.3">
      <c r="B81" s="793" t="s">
        <v>522</v>
      </c>
      <c r="C81" s="794">
        <v>3000</v>
      </c>
      <c r="D81" s="794">
        <v>6000</v>
      </c>
      <c r="E81" s="794">
        <v>3623</v>
      </c>
      <c r="F81" s="789">
        <f t="shared" si="4"/>
        <v>60.383333333333333</v>
      </c>
      <c r="G81" s="6"/>
      <c r="H81" s="477"/>
      <c r="I81" s="477"/>
    </row>
    <row r="82" spans="2:9" ht="48" customHeight="1" x14ac:dyDescent="0.3">
      <c r="B82" s="406" t="s">
        <v>191</v>
      </c>
      <c r="C82" s="660">
        <v>1000</v>
      </c>
      <c r="D82" s="660">
        <v>1000</v>
      </c>
      <c r="E82" s="660">
        <v>1000</v>
      </c>
      <c r="F82" s="405">
        <f t="shared" si="4"/>
        <v>100</v>
      </c>
      <c r="G82" s="6"/>
      <c r="H82" s="477"/>
      <c r="I82" s="477"/>
    </row>
    <row r="83" spans="2:9" ht="24.95" customHeight="1" thickBot="1" x14ac:dyDescent="0.35">
      <c r="B83" s="198" t="s">
        <v>136</v>
      </c>
      <c r="C83" s="205">
        <f>SUM(C71:C82)</f>
        <v>89618</v>
      </c>
      <c r="D83" s="205">
        <f>SUM(D71:D82)</f>
        <v>110879</v>
      </c>
      <c r="E83" s="205">
        <f>SUM(E71:E82)</f>
        <v>103489</v>
      </c>
      <c r="F83" s="367">
        <f t="shared" si="4"/>
        <v>93.335076975802451</v>
      </c>
      <c r="G83" s="6"/>
      <c r="H83" s="477"/>
      <c r="I83" s="477"/>
    </row>
    <row r="84" spans="2:9" s="27" customFormat="1" ht="24.95" customHeight="1" x14ac:dyDescent="0.3">
      <c r="B84" s="150" t="s">
        <v>307</v>
      </c>
      <c r="C84" s="148"/>
      <c r="D84" s="148"/>
      <c r="E84" s="148"/>
      <c r="F84" s="156"/>
      <c r="G84" s="6"/>
      <c r="H84" s="477"/>
      <c r="I84" s="477"/>
    </row>
    <row r="85" spans="2:9" ht="24.95" customHeight="1" x14ac:dyDescent="0.3">
      <c r="B85" s="370" t="s">
        <v>249</v>
      </c>
      <c r="C85" s="204">
        <v>1500</v>
      </c>
      <c r="D85" s="204">
        <v>1500</v>
      </c>
      <c r="E85" s="204">
        <v>1000</v>
      </c>
      <c r="F85" s="359">
        <f>+E85/D85*100</f>
        <v>66.666666666666657</v>
      </c>
      <c r="G85" s="6"/>
      <c r="H85" s="477"/>
      <c r="I85" s="477"/>
    </row>
    <row r="86" spans="2:9" ht="24.95" customHeight="1" x14ac:dyDescent="0.3">
      <c r="B86" s="370" t="s">
        <v>523</v>
      </c>
      <c r="C86" s="204">
        <v>300</v>
      </c>
      <c r="D86" s="204">
        <v>375</v>
      </c>
      <c r="E86" s="204">
        <v>144</v>
      </c>
      <c r="F86" s="359">
        <f>+E86/D86*100</f>
        <v>38.4</v>
      </c>
      <c r="G86" s="1015"/>
      <c r="H86" s="477"/>
      <c r="I86" s="477"/>
    </row>
    <row r="87" spans="2:9" ht="24.95" customHeight="1" thickBot="1" x14ac:dyDescent="0.35">
      <c r="B87" s="198" t="s">
        <v>325</v>
      </c>
      <c r="C87" s="99">
        <f>SUM(C85:C86)</f>
        <v>1800</v>
      </c>
      <c r="D87" s="99">
        <f>SUM(D85:D86)</f>
        <v>1875</v>
      </c>
      <c r="E87" s="99">
        <f>SUM(E85:E86)</f>
        <v>1144</v>
      </c>
      <c r="F87" s="206">
        <f>+E87/D87*100</f>
        <v>61.013333333333328</v>
      </c>
      <c r="G87" s="6"/>
      <c r="H87" s="477"/>
      <c r="I87" s="477"/>
    </row>
    <row r="88" spans="2:9" ht="24.75" customHeight="1" thickBot="1" x14ac:dyDescent="0.35">
      <c r="B88" s="198" t="s">
        <v>326</v>
      </c>
      <c r="C88" s="99">
        <f>C83+C87</f>
        <v>91418</v>
      </c>
      <c r="D88" s="99">
        <f>D83+D87</f>
        <v>112754</v>
      </c>
      <c r="E88" s="99">
        <f>E83+E87</f>
        <v>104633</v>
      </c>
      <c r="F88" s="154">
        <f>+E88/D88*100</f>
        <v>92.797594763822119</v>
      </c>
      <c r="G88" s="6"/>
      <c r="H88" s="477"/>
      <c r="I88" s="477"/>
    </row>
    <row r="89" spans="2:9" ht="24.75" customHeight="1" x14ac:dyDescent="0.3">
      <c r="B89" s="152" t="s">
        <v>327</v>
      </c>
      <c r="C89" s="148"/>
      <c r="D89" s="148"/>
      <c r="E89" s="148"/>
      <c r="F89" s="156"/>
      <c r="G89" s="6"/>
      <c r="H89" s="477"/>
      <c r="I89" s="477"/>
    </row>
    <row r="90" spans="2:9" ht="24.75" customHeight="1" x14ac:dyDescent="0.3">
      <c r="B90" s="390" t="s">
        <v>524</v>
      </c>
      <c r="C90" s="98">
        <v>89000</v>
      </c>
      <c r="D90" s="98">
        <v>89000</v>
      </c>
      <c r="E90" s="98">
        <v>89000</v>
      </c>
      <c r="F90" s="403">
        <f t="shared" ref="F90:F96" si="5">+E90/D90*100</f>
        <v>100</v>
      </c>
      <c r="G90" s="6"/>
      <c r="H90" s="477"/>
      <c r="I90" s="477"/>
    </row>
    <row r="91" spans="2:9" ht="24.75" customHeight="1" x14ac:dyDescent="0.3">
      <c r="B91" s="390" t="s">
        <v>215</v>
      </c>
      <c r="C91" s="98">
        <v>40000</v>
      </c>
      <c r="D91" s="98">
        <v>41552</v>
      </c>
      <c r="E91" s="98">
        <v>38093</v>
      </c>
      <c r="F91" s="403">
        <f t="shared" si="5"/>
        <v>91.675490951097416</v>
      </c>
      <c r="G91" s="6"/>
      <c r="H91" s="477"/>
      <c r="I91" s="477"/>
    </row>
    <row r="92" spans="2:9" ht="24.75" customHeight="1" x14ac:dyDescent="0.3">
      <c r="B92" s="390" t="s">
        <v>648</v>
      </c>
      <c r="C92" s="98"/>
      <c r="D92" s="98">
        <v>9259</v>
      </c>
      <c r="E92" s="98">
        <v>0</v>
      </c>
      <c r="F92" s="403">
        <f t="shared" si="5"/>
        <v>0</v>
      </c>
      <c r="G92" s="6"/>
      <c r="H92" s="477"/>
      <c r="I92" s="477"/>
    </row>
    <row r="93" spans="2:9" ht="46.5" customHeight="1" x14ac:dyDescent="0.3">
      <c r="B93" s="488" t="s">
        <v>468</v>
      </c>
      <c r="C93" s="126"/>
      <c r="D93" s="126">
        <v>8059</v>
      </c>
      <c r="E93" s="126">
        <v>8059</v>
      </c>
      <c r="F93" s="155">
        <f t="shared" si="5"/>
        <v>100</v>
      </c>
      <c r="G93" s="6"/>
      <c r="H93" s="477"/>
      <c r="I93" s="477"/>
    </row>
    <row r="94" spans="2:9" ht="24.95" customHeight="1" thickBot="1" x14ac:dyDescent="0.35">
      <c r="B94" s="198" t="s">
        <v>328</v>
      </c>
      <c r="C94" s="99">
        <f>SUM(C90:C93)</f>
        <v>129000</v>
      </c>
      <c r="D94" s="99">
        <f>SUM(D90:D93)</f>
        <v>147870</v>
      </c>
      <c r="E94" s="99">
        <f>SUM(E90:E93)</f>
        <v>135152</v>
      </c>
      <c r="F94" s="206">
        <f t="shared" si="5"/>
        <v>91.399202001758312</v>
      </c>
      <c r="G94" s="6"/>
      <c r="H94" s="477"/>
      <c r="I94" s="477"/>
    </row>
    <row r="95" spans="2:9" ht="24.95" customHeight="1" thickBot="1" x14ac:dyDescent="0.35">
      <c r="B95" s="198" t="s">
        <v>329</v>
      </c>
      <c r="C95" s="99">
        <f>C94</f>
        <v>129000</v>
      </c>
      <c r="D95" s="99">
        <f>D94</f>
        <v>147870</v>
      </c>
      <c r="E95" s="99">
        <f>E94</f>
        <v>135152</v>
      </c>
      <c r="F95" s="154">
        <f t="shared" si="5"/>
        <v>91.399202001758312</v>
      </c>
      <c r="G95" s="6"/>
      <c r="H95" s="477"/>
      <c r="I95" s="476"/>
    </row>
    <row r="96" spans="2:9" ht="24.95" customHeight="1" thickBot="1" x14ac:dyDescent="0.35">
      <c r="B96" s="198" t="s">
        <v>545</v>
      </c>
      <c r="C96" s="205">
        <f>+C69+C88+C95+C59</f>
        <v>292418</v>
      </c>
      <c r="D96" s="205">
        <f>+D69+D88+D95+D59</f>
        <v>298850</v>
      </c>
      <c r="E96" s="205">
        <f>+E69+E88+E95+E59</f>
        <v>277485</v>
      </c>
      <c r="F96" s="154">
        <f t="shared" si="5"/>
        <v>92.850928559477993</v>
      </c>
      <c r="G96" s="6"/>
      <c r="H96" s="476"/>
      <c r="I96" s="476"/>
    </row>
    <row r="97" spans="2:7" ht="24.95" customHeight="1" thickBot="1" x14ac:dyDescent="0.3">
      <c r="B97" s="202" t="s">
        <v>80</v>
      </c>
      <c r="C97" s="133">
        <f>+C56+C96</f>
        <v>2199363</v>
      </c>
      <c r="D97" s="133">
        <f>+D56+D96</f>
        <v>2989627</v>
      </c>
      <c r="E97" s="133">
        <f>+E56+E96</f>
        <v>2754621</v>
      </c>
      <c r="F97" s="154">
        <f>+E97/D97*100</f>
        <v>92.139286941146835</v>
      </c>
      <c r="G97" s="6"/>
    </row>
    <row r="98" spans="2:7" ht="15" customHeight="1" x14ac:dyDescent="0.2">
      <c r="B98" s="27"/>
      <c r="C98" s="27"/>
      <c r="D98" s="27"/>
      <c r="E98" s="27"/>
      <c r="F98" s="27"/>
      <c r="G98" s="6"/>
    </row>
    <row r="99" spans="2:7" ht="15" customHeight="1" x14ac:dyDescent="0.2">
      <c r="B99" s="27"/>
      <c r="C99" s="27"/>
      <c r="D99" s="27"/>
      <c r="E99" s="100"/>
      <c r="F99" s="27"/>
      <c r="G99" s="6"/>
    </row>
    <row r="100" spans="2:7" ht="24.75" customHeight="1" thickBot="1" x14ac:dyDescent="0.35">
      <c r="B100" s="188" t="s">
        <v>33</v>
      </c>
      <c r="C100" s="127"/>
      <c r="D100" s="127"/>
      <c r="E100" s="127"/>
      <c r="F100" s="127" t="s">
        <v>32</v>
      </c>
      <c r="G100" s="6"/>
    </row>
    <row r="101" spans="2:7" ht="24.75" customHeight="1" x14ac:dyDescent="0.25">
      <c r="B101" s="661" t="s">
        <v>50</v>
      </c>
      <c r="C101" s="2633" t="s">
        <v>512</v>
      </c>
      <c r="D101" s="2633"/>
      <c r="E101" s="209" t="s">
        <v>662</v>
      </c>
      <c r="F101" s="209" t="s">
        <v>178</v>
      </c>
      <c r="G101" s="6"/>
    </row>
    <row r="102" spans="2:7" ht="24.75" customHeight="1" thickBot="1" x14ac:dyDescent="0.3">
      <c r="B102" s="662"/>
      <c r="C102" s="1014" t="s">
        <v>335</v>
      </c>
      <c r="D102" s="496" t="s">
        <v>176</v>
      </c>
      <c r="E102" s="97" t="s">
        <v>177</v>
      </c>
      <c r="F102" s="97" t="s">
        <v>179</v>
      </c>
      <c r="G102" s="6"/>
    </row>
    <row r="103" spans="2:7" ht="42.75" customHeight="1" x14ac:dyDescent="0.2">
      <c r="B103" s="890" t="s">
        <v>587</v>
      </c>
      <c r="C103" s="119"/>
      <c r="D103" s="358">
        <v>4893</v>
      </c>
      <c r="E103" s="358">
        <f>15354-E104-E105</f>
        <v>4306</v>
      </c>
      <c r="F103" s="403">
        <f t="shared" ref="F103:F119" si="6">+E103/D103*100</f>
        <v>88.003269977518912</v>
      </c>
      <c r="G103" s="6"/>
    </row>
    <row r="104" spans="2:7" ht="24.75" customHeight="1" x14ac:dyDescent="0.2">
      <c r="B104" s="390" t="s">
        <v>588</v>
      </c>
      <c r="C104" s="119"/>
      <c r="D104" s="358">
        <v>2045</v>
      </c>
      <c r="E104" s="358">
        <v>2045</v>
      </c>
      <c r="F104" s="403">
        <f t="shared" si="6"/>
        <v>100</v>
      </c>
      <c r="G104" s="6"/>
    </row>
    <row r="105" spans="2:7" ht="42" customHeight="1" thickBot="1" x14ac:dyDescent="0.3">
      <c r="B105" s="442" t="s">
        <v>589</v>
      </c>
      <c r="C105" s="119"/>
      <c r="D105" s="358">
        <v>9003</v>
      </c>
      <c r="E105" s="358">
        <v>9003</v>
      </c>
      <c r="F105" s="403">
        <f t="shared" si="6"/>
        <v>100</v>
      </c>
      <c r="G105" s="6"/>
    </row>
    <row r="106" spans="2:7" ht="24.75" customHeight="1" thickBot="1" x14ac:dyDescent="0.3">
      <c r="B106" s="141" t="s">
        <v>541</v>
      </c>
      <c r="C106" s="142">
        <f t="shared" ref="C106:E106" si="7">SUM(C103:C105)</f>
        <v>0</v>
      </c>
      <c r="D106" s="142">
        <f t="shared" si="7"/>
        <v>15941</v>
      </c>
      <c r="E106" s="142">
        <f t="shared" si="7"/>
        <v>15354</v>
      </c>
      <c r="F106" s="154">
        <f>+E106/D106*100</f>
        <v>96.317671413336683</v>
      </c>
      <c r="G106" s="6"/>
    </row>
    <row r="107" spans="2:7" ht="24.75" customHeight="1" x14ac:dyDescent="0.2">
      <c r="B107" s="442" t="s">
        <v>590</v>
      </c>
      <c r="C107" s="864"/>
      <c r="D107" s="180">
        <v>1199</v>
      </c>
      <c r="E107" s="180">
        <f>1266-E108</f>
        <v>1163</v>
      </c>
      <c r="F107" s="403">
        <f t="shared" si="6"/>
        <v>96.997497914929113</v>
      </c>
      <c r="G107" s="6"/>
    </row>
    <row r="108" spans="2:7" ht="24.75" customHeight="1" thickBot="1" x14ac:dyDescent="0.3">
      <c r="B108" s="442" t="s">
        <v>591</v>
      </c>
      <c r="C108" s="864"/>
      <c r="D108" s="180">
        <v>103</v>
      </c>
      <c r="E108" s="180">
        <v>103</v>
      </c>
      <c r="F108" s="403">
        <f t="shared" si="6"/>
        <v>100</v>
      </c>
      <c r="G108" s="6"/>
    </row>
    <row r="109" spans="2:7" ht="24.75" customHeight="1" thickBot="1" x14ac:dyDescent="0.3">
      <c r="B109" s="865" t="s">
        <v>393</v>
      </c>
      <c r="C109" s="142">
        <f>SUM(C107:C108)</f>
        <v>0</v>
      </c>
      <c r="D109" s="142">
        <f>SUM(D107:D108)</f>
        <v>1302</v>
      </c>
      <c r="E109" s="142">
        <f>SUM(E107:E108)</f>
        <v>1266</v>
      </c>
      <c r="F109" s="154">
        <f>+E109/D109*100</f>
        <v>97.235023041474662</v>
      </c>
      <c r="G109" s="6"/>
    </row>
    <row r="110" spans="2:7" ht="35.25" customHeight="1" x14ac:dyDescent="0.2">
      <c r="B110" s="442" t="s">
        <v>416</v>
      </c>
      <c r="C110" s="180">
        <v>10000</v>
      </c>
      <c r="D110" s="180">
        <v>11110</v>
      </c>
      <c r="E110" s="180">
        <f>26007-E111-E112</f>
        <v>2329</v>
      </c>
      <c r="F110" s="403">
        <f t="shared" si="6"/>
        <v>20.963096309630963</v>
      </c>
      <c r="G110" s="6"/>
    </row>
    <row r="111" spans="2:7" ht="24.75" customHeight="1" x14ac:dyDescent="0.2">
      <c r="B111" s="442" t="s">
        <v>592</v>
      </c>
      <c r="C111" s="866"/>
      <c r="D111" s="180">
        <v>15000</v>
      </c>
      <c r="E111" s="180">
        <v>15000</v>
      </c>
      <c r="F111" s="403">
        <f t="shared" si="6"/>
        <v>100</v>
      </c>
      <c r="G111" s="6"/>
    </row>
    <row r="112" spans="2:7" ht="24.75" customHeight="1" thickBot="1" x14ac:dyDescent="0.25">
      <c r="B112" s="440" t="s">
        <v>593</v>
      </c>
      <c r="C112" s="867"/>
      <c r="D112" s="126">
        <v>8678</v>
      </c>
      <c r="E112" s="126">
        <v>8678</v>
      </c>
      <c r="F112" s="403">
        <f t="shared" si="6"/>
        <v>100</v>
      </c>
      <c r="G112" s="6"/>
    </row>
    <row r="113" spans="2:7" ht="24.75" customHeight="1" thickBot="1" x14ac:dyDescent="0.3">
      <c r="B113" s="865" t="s">
        <v>594</v>
      </c>
      <c r="C113" s="868">
        <f t="shared" ref="C113:E113" si="8">SUM(C110:C112)</f>
        <v>10000</v>
      </c>
      <c r="D113" s="142">
        <f t="shared" si="8"/>
        <v>34788</v>
      </c>
      <c r="E113" s="142">
        <f t="shared" si="8"/>
        <v>26007</v>
      </c>
      <c r="F113" s="154">
        <f>+E113/D113*100</f>
        <v>74.758537426698851</v>
      </c>
      <c r="G113" s="6"/>
    </row>
    <row r="114" spans="2:7" ht="24.75" customHeight="1" x14ac:dyDescent="0.2">
      <c r="B114" s="869" t="s">
        <v>595</v>
      </c>
      <c r="C114" s="423"/>
      <c r="D114" s="421">
        <v>15796</v>
      </c>
      <c r="E114" s="421">
        <f>10318-E115</f>
        <v>8311</v>
      </c>
      <c r="F114" s="444">
        <f t="shared" si="6"/>
        <v>52.61458597113193</v>
      </c>
      <c r="G114" s="6"/>
    </row>
    <row r="115" spans="2:7" ht="24.75" customHeight="1" thickBot="1" x14ac:dyDescent="0.3">
      <c r="B115" s="869" t="s">
        <v>596</v>
      </c>
      <c r="C115" s="423"/>
      <c r="D115" s="193">
        <v>2007</v>
      </c>
      <c r="E115" s="193">
        <v>2007</v>
      </c>
      <c r="F115" s="447">
        <f t="shared" si="6"/>
        <v>100</v>
      </c>
      <c r="G115" s="6"/>
    </row>
    <row r="116" spans="2:7" ht="24.75" customHeight="1" thickBot="1" x14ac:dyDescent="0.3">
      <c r="B116" s="141" t="s">
        <v>260</v>
      </c>
      <c r="C116" s="868">
        <f>SUM(C114:C115)</f>
        <v>0</v>
      </c>
      <c r="D116" s="142">
        <f>SUM(D114:D115)</f>
        <v>17803</v>
      </c>
      <c r="E116" s="142">
        <f>SUM(E114:E115)</f>
        <v>10318</v>
      </c>
      <c r="F116" s="154">
        <f>+E116/D116*100</f>
        <v>57.956524181317761</v>
      </c>
      <c r="G116" s="6"/>
    </row>
    <row r="117" spans="2:7" ht="24.75" customHeight="1" x14ac:dyDescent="0.2">
      <c r="B117" s="870" t="s">
        <v>597</v>
      </c>
      <c r="C117" s="871">
        <v>3000</v>
      </c>
      <c r="D117" s="361">
        <v>16599</v>
      </c>
      <c r="E117" s="361">
        <f>15665-E118-E119</f>
        <v>8708</v>
      </c>
      <c r="F117" s="403">
        <f t="shared" si="6"/>
        <v>52.460991626001565</v>
      </c>
      <c r="G117" s="6"/>
    </row>
    <row r="118" spans="2:7" ht="24.75" customHeight="1" x14ac:dyDescent="0.2">
      <c r="B118" s="870" t="s">
        <v>598</v>
      </c>
      <c r="C118" s="872"/>
      <c r="D118" s="361">
        <v>5977</v>
      </c>
      <c r="E118" s="361">
        <v>5977</v>
      </c>
      <c r="F118" s="403">
        <f t="shared" si="6"/>
        <v>100</v>
      </c>
      <c r="G118" s="6"/>
    </row>
    <row r="119" spans="2:7" ht="24.75" customHeight="1" thickBot="1" x14ac:dyDescent="0.3">
      <c r="B119" s="442" t="s">
        <v>599</v>
      </c>
      <c r="C119" s="864"/>
      <c r="D119" s="361">
        <v>980</v>
      </c>
      <c r="E119" s="361">
        <v>980</v>
      </c>
      <c r="F119" s="403">
        <f t="shared" si="6"/>
        <v>100</v>
      </c>
      <c r="G119" s="6"/>
    </row>
    <row r="120" spans="2:7" ht="24.75" customHeight="1" thickBot="1" x14ac:dyDescent="0.3">
      <c r="B120" s="141" t="s">
        <v>5</v>
      </c>
      <c r="C120" s="142">
        <f t="shared" ref="C120:E120" si="9">SUM(C117:C119)</f>
        <v>3000</v>
      </c>
      <c r="D120" s="142">
        <f t="shared" si="9"/>
        <v>23556</v>
      </c>
      <c r="E120" s="142">
        <f t="shared" si="9"/>
        <v>15665</v>
      </c>
      <c r="F120" s="154">
        <f>+E120/D120*100</f>
        <v>66.501103752759377</v>
      </c>
      <c r="G120" s="6"/>
    </row>
    <row r="121" spans="2:7" ht="24.75" customHeight="1" thickBot="1" x14ac:dyDescent="0.3">
      <c r="B121" s="24" t="s">
        <v>600</v>
      </c>
      <c r="C121" s="873">
        <f>C106+C109+C113+C116+C120</f>
        <v>13000</v>
      </c>
      <c r="D121" s="873">
        <f>D106+D109+D113+D116+D120</f>
        <v>93390</v>
      </c>
      <c r="E121" s="873">
        <f>E106+E109+E113+E116+E120</f>
        <v>68610</v>
      </c>
      <c r="F121" s="154">
        <f>+E121/D121*100</f>
        <v>73.466109861869583</v>
      </c>
      <c r="G121" s="6"/>
    </row>
    <row r="122" spans="2:7" ht="15" customHeight="1" thickBot="1" x14ac:dyDescent="0.3">
      <c r="B122" s="207"/>
      <c r="C122" s="190"/>
      <c r="D122" s="190"/>
      <c r="E122" s="189"/>
      <c r="F122" s="659"/>
      <c r="G122" s="6"/>
    </row>
    <row r="123" spans="2:7" ht="21.75" customHeight="1" thickBot="1" x14ac:dyDescent="0.3">
      <c r="B123" s="495" t="s">
        <v>8</v>
      </c>
      <c r="C123" s="321">
        <f>+C97+C121</f>
        <v>2212363</v>
      </c>
      <c r="D123" s="321">
        <f>+D97+D121</f>
        <v>3083017</v>
      </c>
      <c r="E123" s="321">
        <f>+E97+E121</f>
        <v>2823231</v>
      </c>
      <c r="F123" s="1910">
        <f>+E123/D123*100</f>
        <v>91.573643609490318</v>
      </c>
      <c r="G123" s="6"/>
    </row>
    <row r="124" spans="2:7" ht="15" customHeight="1" x14ac:dyDescent="0.2">
      <c r="E124" s="6"/>
    </row>
    <row r="125" spans="2:7" ht="15" customHeight="1" x14ac:dyDescent="0.2">
      <c r="E125" s="6"/>
      <c r="F125" s="6"/>
    </row>
    <row r="126" spans="2:7" ht="15" customHeight="1" x14ac:dyDescent="0.2">
      <c r="E126" s="6"/>
    </row>
    <row r="130" spans="5:5" ht="15" customHeight="1" x14ac:dyDescent="0.2">
      <c r="E130" s="6"/>
    </row>
  </sheetData>
  <mergeCells count="3">
    <mergeCell ref="C5:D5"/>
    <mergeCell ref="B2:F2"/>
    <mergeCell ref="C101:D101"/>
  </mergeCells>
  <phoneticPr fontId="0" type="noConversion"/>
  <printOptions horizontalCentered="1" verticalCentered="1"/>
  <pageMargins left="0" right="0" top="0" bottom="0" header="0.51181102362204722" footer="0.51181102362204722"/>
  <pageSetup paperSize="9" scale="55" orientation="portrait" r:id="rId1"/>
  <headerFooter alignWithMargins="0">
    <oddHeader>&amp;R&amp;"Arial,Félkövér"&amp;18 &amp;16 9. melléklet a …../2018. (…….) önkormányzati rendelethez</oddHeader>
  </headerFooter>
  <rowBreaks count="2" manualBreakCount="2">
    <brk id="56" min="1" max="5" man="1"/>
    <brk id="9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36</vt:i4>
      </vt:variant>
    </vt:vector>
  </HeadingPairs>
  <TitlesOfParts>
    <vt:vector size="67" baseType="lpstr">
      <vt:lpstr>1 kiemelt előirányzatok telj. </vt:lpstr>
      <vt:lpstr>2 mérleg </vt:lpstr>
      <vt:lpstr>3 bev.részl</vt:lpstr>
      <vt:lpstr>4 int bevétel</vt:lpstr>
      <vt:lpstr>5 normatíva</vt:lpstr>
      <vt:lpstr>6 int kiadás</vt:lpstr>
      <vt:lpstr>7. létszám ei zárás 2017 év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 </vt:lpstr>
      <vt:lpstr>27 kataszter</vt:lpstr>
      <vt:lpstr>28 vagyonkimutatás </vt:lpstr>
      <vt:lpstr>29 felhalmozás</vt:lpstr>
      <vt:lpstr>30 felújítás</vt:lpstr>
      <vt:lpstr>31 Részesedések</vt:lpstr>
      <vt:lpstr>'17 fbev.'!Nyomtatási_cím</vt:lpstr>
      <vt:lpstr>'18 fkia.'!Nyomtatási_cím</vt:lpstr>
      <vt:lpstr>'19 pénzeszkváltsa'!Nyomtatási_cím</vt:lpstr>
      <vt:lpstr>'3 bev.részl'!Nyomtatási_cím</vt:lpstr>
      <vt:lpstr>'7. létszám ei zárás 2017 év'!Nyomtatási_cím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 '!Nyomtatási_terület</vt:lpstr>
      <vt:lpstr>'27 kataszter'!Nyomtatási_terület</vt:lpstr>
      <vt:lpstr>'28 vagyonkimutatás '!Nyomtatási_terület</vt:lpstr>
      <vt:lpstr>'29 felhalmozás'!Nyomtatási_terület</vt:lpstr>
      <vt:lpstr>'3 bev.részl'!Nyomtatási_terület</vt:lpstr>
      <vt:lpstr>'30 felújítás'!Nyomtatási_terület</vt:lpstr>
      <vt:lpstr>'31 Részesedések'!Nyomtatási_terület</vt:lpstr>
      <vt:lpstr>'4 int bevétel'!Nyomtatási_terület</vt:lpstr>
      <vt:lpstr>'5 normatíva'!Nyomtatási_terület</vt:lpstr>
      <vt:lpstr>'6 int kiadás'!Nyomtatási_terület</vt:lpstr>
      <vt:lpstr>'7. létszám ei zárás 2017 év'!Nyomtatási_terület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2018-04-19T12:42:44Z</cp:lastPrinted>
  <dcterms:created xsi:type="dcterms:W3CDTF">1998-01-10T07:52:54Z</dcterms:created>
  <dcterms:modified xsi:type="dcterms:W3CDTF">2018-04-19T12:53:40Z</dcterms:modified>
</cp:coreProperties>
</file>