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sztelaszlo\Documents\2016 beszámoló\"/>
    </mc:Choice>
  </mc:AlternateContent>
  <bookViews>
    <workbookView xWindow="240" yWindow="30" windowWidth="12120" windowHeight="8025"/>
  </bookViews>
  <sheets>
    <sheet name="ÁGLAP 2016. tény" sheetId="1" r:id="rId1"/>
    <sheet name="Összköltséges" sheetId="14" r:id="rId2"/>
    <sheet name="mutatószámok" sheetId="6" r:id="rId3"/>
    <sheet name="alapadatok" sheetId="7" r:id="rId4"/>
    <sheet name="ÖK ingatlanok elszámolása" sheetId="10" r:id="rId5"/>
    <sheet name="beruházások" sheetId="9" r:id="rId6"/>
    <sheet name="pénzügyi eredmény" sheetId="13" r:id="rId7"/>
    <sheet name="mellékszámítás-bevételek" sheetId="15" r:id="rId8"/>
  </sheets>
  <definedNames>
    <definedName name="_xlnm._FilterDatabase" localSheetId="3" hidden="1">alapadatok!$A$2:$B$148</definedName>
    <definedName name="_xlnm.Print_Titles" localSheetId="0">'ÁGLAP 2016. tény'!$A:$B</definedName>
    <definedName name="_xlnm.Print_Titles" localSheetId="5">beruházások!$3:$4</definedName>
    <definedName name="_xlnm.Print_Area" localSheetId="3">alapadatok!$A$2:$D$168</definedName>
    <definedName name="_xlnm.Print_Area" localSheetId="5">beruházások!$A$1:$I$69</definedName>
    <definedName name="_xlnm.Print_Area" localSheetId="2">mutatószámok!$A$1:$G$31</definedName>
    <definedName name="_xlnm.Print_Area" localSheetId="4">'ÖK ingatlanok elszámolása'!$A$1:$E$65</definedName>
  </definedNames>
  <calcPr calcId="162913"/>
</workbook>
</file>

<file path=xl/calcChain.xml><?xml version="1.0" encoding="utf-8"?>
<calcChain xmlns="http://schemas.openxmlformats.org/spreadsheetml/2006/main">
  <c r="AG4" i="1" l="1"/>
  <c r="C26" i="13" l="1"/>
  <c r="B26" i="13"/>
  <c r="AC25" i="1" l="1"/>
  <c r="R25" i="1"/>
  <c r="L25" i="1"/>
  <c r="G25" i="1"/>
  <c r="AP24" i="1"/>
  <c r="AQ24" i="1"/>
  <c r="Y25" i="1"/>
  <c r="X25" i="1"/>
  <c r="U25" i="1"/>
  <c r="T25" i="1"/>
  <c r="Q25" i="1"/>
  <c r="P25" i="1"/>
  <c r="AO24" i="1"/>
  <c r="H25" i="1"/>
  <c r="AM24" i="1"/>
  <c r="AM25" i="1" s="1"/>
  <c r="AR23" i="1"/>
  <c r="AM23" i="1"/>
  <c r="AG25" i="1"/>
  <c r="AP23" i="1"/>
  <c r="AP25" i="1" s="1"/>
  <c r="AB25" i="1"/>
  <c r="AA25" i="1"/>
  <c r="Z25" i="1"/>
  <c r="W25" i="1"/>
  <c r="V25" i="1"/>
  <c r="S25" i="1"/>
  <c r="O25" i="1"/>
  <c r="M25" i="1"/>
  <c r="K25" i="1"/>
  <c r="J25" i="1"/>
  <c r="I25" i="1"/>
  <c r="E25" i="1"/>
  <c r="AK23" i="1"/>
  <c r="AR21" i="1"/>
  <c r="AQ21" i="1"/>
  <c r="AP21" i="1"/>
  <c r="AM21" i="1"/>
  <c r="AO21" i="1"/>
  <c r="AN21" i="1"/>
  <c r="AR20" i="1"/>
  <c r="AM20" i="1"/>
  <c r="AQ20" i="1"/>
  <c r="AP20" i="1"/>
  <c r="AO20" i="1"/>
  <c r="AN20" i="1"/>
  <c r="AR19" i="1"/>
  <c r="AP19" i="1"/>
  <c r="AM19" i="1"/>
  <c r="AQ19" i="1"/>
  <c r="AO19" i="1"/>
  <c r="AK19" i="1"/>
  <c r="V17" i="1"/>
  <c r="R17" i="1"/>
  <c r="AR16" i="1"/>
  <c r="AP16" i="1"/>
  <c r="AQ16" i="1"/>
  <c r="AA17" i="1"/>
  <c r="W17" i="1"/>
  <c r="S17" i="1"/>
  <c r="AO16" i="1"/>
  <c r="J17" i="1"/>
  <c r="AQ15" i="1"/>
  <c r="AM15" i="1"/>
  <c r="AP15" i="1"/>
  <c r="AO15" i="1"/>
  <c r="AN15" i="1"/>
  <c r="AR14" i="1"/>
  <c r="AQ14" i="1"/>
  <c r="AM14" i="1"/>
  <c r="AP14" i="1"/>
  <c r="AN14" i="1"/>
  <c r="AR13" i="1"/>
  <c r="AQ13" i="1"/>
  <c r="AP13" i="1"/>
  <c r="AO13" i="1"/>
  <c r="AN13" i="1"/>
  <c r="AM13" i="1"/>
  <c r="AR12" i="1"/>
  <c r="AQ12" i="1"/>
  <c r="AM12" i="1"/>
  <c r="AP12" i="1"/>
  <c r="AN12" i="1"/>
  <c r="AR11" i="1"/>
  <c r="AQ11" i="1"/>
  <c r="AP11" i="1"/>
  <c r="AO11" i="1"/>
  <c r="AN11" i="1"/>
  <c r="AM11" i="1"/>
  <c r="AR10" i="1"/>
  <c r="AQ10" i="1"/>
  <c r="AM10" i="1"/>
  <c r="AP10" i="1"/>
  <c r="AN10" i="1"/>
  <c r="AR9" i="1"/>
  <c r="AQ9" i="1"/>
  <c r="AP9" i="1"/>
  <c r="AO9" i="1"/>
  <c r="O17" i="1"/>
  <c r="AN9" i="1"/>
  <c r="AM9" i="1"/>
  <c r="AR8" i="1"/>
  <c r="AQ8" i="1"/>
  <c r="AM8" i="1"/>
  <c r="AP8" i="1"/>
  <c r="AC17" i="1"/>
  <c r="AB17" i="1"/>
  <c r="Z17" i="1"/>
  <c r="Y17" i="1"/>
  <c r="X17" i="1"/>
  <c r="U17" i="1"/>
  <c r="T17" i="1"/>
  <c r="Q17" i="1"/>
  <c r="P17" i="1"/>
  <c r="M17" i="1"/>
  <c r="L17" i="1"/>
  <c r="K17" i="1"/>
  <c r="I17" i="1"/>
  <c r="H17" i="1"/>
  <c r="E17" i="1"/>
  <c r="D17" i="1"/>
  <c r="AG6" i="1"/>
  <c r="AE6" i="1"/>
  <c r="S6" i="1"/>
  <c r="S18" i="1" s="1"/>
  <c r="S22" i="1" s="1"/>
  <c r="S26" i="1" s="1"/>
  <c r="AQ5" i="1"/>
  <c r="AR5" i="1"/>
  <c r="AP5" i="1"/>
  <c r="Z6" i="1"/>
  <c r="Z18" i="1" s="1"/>
  <c r="Z22" i="1" s="1"/>
  <c r="Z26" i="1" s="1"/>
  <c r="Y6" i="1"/>
  <c r="V6" i="1"/>
  <c r="U6" i="1"/>
  <c r="R6" i="1"/>
  <c r="R18" i="1" s="1"/>
  <c r="R22" i="1" s="1"/>
  <c r="R26" i="1" s="1"/>
  <c r="M6" i="1"/>
  <c r="M18" i="1" s="1"/>
  <c r="M22" i="1" s="1"/>
  <c r="M26" i="1" s="1"/>
  <c r="I6" i="1"/>
  <c r="I18" i="1" s="1"/>
  <c r="I22" i="1" s="1"/>
  <c r="H6" i="1"/>
  <c r="D6" i="1"/>
  <c r="AP4" i="1"/>
  <c r="AO4" i="1"/>
  <c r="AN4" i="1"/>
  <c r="AI6" i="1"/>
  <c r="AQ4" i="1"/>
  <c r="AB6" i="1"/>
  <c r="AB18" i="1" s="1"/>
  <c r="AB22" i="1" s="1"/>
  <c r="AB26" i="1" s="1"/>
  <c r="AA6" i="1"/>
  <c r="X6" i="1"/>
  <c r="W6" i="1"/>
  <c r="T6" i="1"/>
  <c r="P6" i="1"/>
  <c r="O6" i="1"/>
  <c r="O18" i="1" s="1"/>
  <c r="O22" i="1" s="1"/>
  <c r="O26" i="1" s="1"/>
  <c r="K6" i="1"/>
  <c r="K18" i="1" s="1"/>
  <c r="K22" i="1" s="1"/>
  <c r="J6" i="1"/>
  <c r="G6" i="1"/>
  <c r="AM4" i="1"/>
  <c r="G4" i="6"/>
  <c r="I26" i="1" l="1"/>
  <c r="V18" i="1"/>
  <c r="V22" i="1" s="1"/>
  <c r="V26" i="1" s="1"/>
  <c r="AP6" i="1"/>
  <c r="K26" i="1"/>
  <c r="AT9" i="1"/>
  <c r="P18" i="1"/>
  <c r="P22" i="1" s="1"/>
  <c r="P26" i="1" s="1"/>
  <c r="AT13" i="1"/>
  <c r="AQ17" i="1"/>
  <c r="H18" i="1"/>
  <c r="H22" i="1" s="1"/>
  <c r="H26" i="1" s="1"/>
  <c r="U18" i="1"/>
  <c r="U22" i="1" s="1"/>
  <c r="U26" i="1" s="1"/>
  <c r="Y18" i="1"/>
  <c r="Y22" i="1" s="1"/>
  <c r="Y26" i="1" s="1"/>
  <c r="T18" i="1"/>
  <c r="T22" i="1" s="1"/>
  <c r="T26" i="1" s="1"/>
  <c r="X18" i="1"/>
  <c r="X22" i="1" s="1"/>
  <c r="X26" i="1" s="1"/>
  <c r="AT21" i="1"/>
  <c r="Q6" i="1"/>
  <c r="Q18" i="1" s="1"/>
  <c r="Q22" i="1" s="1"/>
  <c r="Q26" i="1" s="1"/>
  <c r="AO5" i="1"/>
  <c r="AK5" i="1"/>
  <c r="G17" i="1"/>
  <c r="G18" i="1" s="1"/>
  <c r="G22" i="1" s="1"/>
  <c r="G26" i="1" s="1"/>
  <c r="AN8" i="1"/>
  <c r="AK8" i="1"/>
  <c r="AK10" i="1"/>
  <c r="AK13" i="1"/>
  <c r="AK14" i="1"/>
  <c r="L6" i="1"/>
  <c r="L18" i="1" s="1"/>
  <c r="L22" i="1" s="1"/>
  <c r="L26" i="1" s="1"/>
  <c r="AC6" i="1"/>
  <c r="AC18" i="1" s="1"/>
  <c r="AC22" i="1" s="1"/>
  <c r="AC26" i="1" s="1"/>
  <c r="D18" i="1"/>
  <c r="D22" i="1" s="1"/>
  <c r="AM5" i="1"/>
  <c r="AM6" i="1" s="1"/>
  <c r="AO6" i="1"/>
  <c r="AP17" i="1"/>
  <c r="AP18" i="1" s="1"/>
  <c r="AP22" i="1" s="1"/>
  <c r="AP26" i="1" s="1"/>
  <c r="AK9" i="1"/>
  <c r="AT11" i="1"/>
  <c r="AK11" i="1"/>
  <c r="AK12" i="1"/>
  <c r="AI17" i="1"/>
  <c r="AI18" i="1" s="1"/>
  <c r="AI22" i="1" s="1"/>
  <c r="AI26" i="1" s="1"/>
  <c r="AR15" i="1"/>
  <c r="AR17" i="1" s="1"/>
  <c r="AM16" i="1"/>
  <c r="AK16" i="1"/>
  <c r="AN24" i="1"/>
  <c r="AK24" i="1"/>
  <c r="AK25" i="1" s="1"/>
  <c r="AI25" i="1"/>
  <c r="AR24" i="1"/>
  <c r="E6" i="1"/>
  <c r="E18" i="1" s="1"/>
  <c r="E22" i="1" s="1"/>
  <c r="E26" i="1" s="1"/>
  <c r="AK4" i="1"/>
  <c r="J18" i="1"/>
  <c r="J22" i="1" s="1"/>
  <c r="J26" i="1" s="1"/>
  <c r="W18" i="1"/>
  <c r="W22" i="1" s="1"/>
  <c r="W26" i="1" s="1"/>
  <c r="AA18" i="1"/>
  <c r="AA22" i="1" s="1"/>
  <c r="AA26" i="1" s="1"/>
  <c r="AQ6" i="1"/>
  <c r="AT20" i="1"/>
  <c r="AK21" i="1"/>
  <c r="AR25" i="1"/>
  <c r="AN16" i="1"/>
  <c r="AN23" i="1"/>
  <c r="AE25" i="1"/>
  <c r="AK15" i="1"/>
  <c r="AE17" i="1"/>
  <c r="AE18" i="1" s="1"/>
  <c r="AE22" i="1" s="1"/>
  <c r="AK20" i="1"/>
  <c r="AO23" i="1"/>
  <c r="AO25" i="1" s="1"/>
  <c r="AR4" i="1"/>
  <c r="AN5" i="1"/>
  <c r="AN6" i="1" s="1"/>
  <c r="AO8" i="1"/>
  <c r="AO10" i="1"/>
  <c r="AT10" i="1" s="1"/>
  <c r="AO12" i="1"/>
  <c r="AT12" i="1" s="1"/>
  <c r="AO14" i="1"/>
  <c r="AT14" i="1" s="1"/>
  <c r="AG17" i="1"/>
  <c r="AG18" i="1" s="1"/>
  <c r="AG22" i="1" s="1"/>
  <c r="AG26" i="1" s="1"/>
  <c r="AN19" i="1"/>
  <c r="AT19" i="1" s="1"/>
  <c r="AQ23" i="1"/>
  <c r="AQ25" i="1" s="1"/>
  <c r="D25" i="1"/>
  <c r="C60" i="10"/>
  <c r="C59" i="10"/>
  <c r="C56" i="10"/>
  <c r="AN25" i="1" l="1"/>
  <c r="AQ18" i="1"/>
  <c r="AQ22" i="1" s="1"/>
  <c r="AQ26" i="1" s="1"/>
  <c r="AT8" i="1"/>
  <c r="AK6" i="1"/>
  <c r="AT24" i="1"/>
  <c r="AT15" i="1"/>
  <c r="AT16" i="1"/>
  <c r="AO17" i="1"/>
  <c r="AO18" i="1" s="1"/>
  <c r="AO22" i="1" s="1"/>
  <c r="AO26" i="1" s="1"/>
  <c r="AE26" i="1"/>
  <c r="AT23" i="1"/>
  <c r="AT5" i="1"/>
  <c r="AK17" i="1"/>
  <c r="AK18" i="1" s="1"/>
  <c r="AK22" i="1" s="1"/>
  <c r="AK26" i="1" s="1"/>
  <c r="AR6" i="1"/>
  <c r="AR18" i="1" s="1"/>
  <c r="AR22" i="1" s="1"/>
  <c r="AR26" i="1" s="1"/>
  <c r="AT4" i="1"/>
  <c r="AM17" i="1"/>
  <c r="AM18" i="1" s="1"/>
  <c r="AM22" i="1" s="1"/>
  <c r="AM26" i="1" s="1"/>
  <c r="D26" i="1"/>
  <c r="AN17" i="1"/>
  <c r="AN18" i="1" s="1"/>
  <c r="AN22" i="1" s="1"/>
  <c r="AN26" i="1" s="1"/>
  <c r="C61" i="10"/>
  <c r="AT17" i="1" l="1"/>
  <c r="AT6" i="1"/>
  <c r="AT25" i="1"/>
  <c r="F27" i="15"/>
  <c r="F28" i="15"/>
  <c r="F29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6" i="15"/>
  <c r="F4" i="15"/>
  <c r="D25" i="15"/>
  <c r="D30" i="15" s="1"/>
  <c r="C30" i="15"/>
  <c r="AT18" i="1" l="1"/>
  <c r="F30" i="15"/>
  <c r="F25" i="15"/>
  <c r="E31" i="10"/>
  <c r="E42" i="10"/>
  <c r="AT22" i="1" l="1"/>
  <c r="AT26" i="1" s="1"/>
  <c r="D159" i="7"/>
  <c r="D164" i="7" s="1"/>
  <c r="D152" i="7"/>
  <c r="D150" i="7"/>
  <c r="D140" i="7"/>
  <c r="D138" i="7"/>
  <c r="D137" i="7"/>
  <c r="D136" i="7"/>
  <c r="D134" i="7"/>
  <c r="D133" i="7"/>
  <c r="D132" i="7"/>
  <c r="D131" i="7"/>
  <c r="D130" i="7"/>
  <c r="D126" i="7"/>
  <c r="D125" i="7"/>
  <c r="D122" i="7"/>
  <c r="C164" i="7"/>
  <c r="C154" i="7"/>
  <c r="C139" i="7"/>
  <c r="F24" i="6" s="1"/>
  <c r="C135" i="7"/>
  <c r="C127" i="7"/>
  <c r="C124" i="7"/>
  <c r="D113" i="7"/>
  <c r="D100" i="7"/>
  <c r="D90" i="7"/>
  <c r="D85" i="7"/>
  <c r="D80" i="7"/>
  <c r="D76" i="7"/>
  <c r="D69" i="7" s="1"/>
  <c r="D59" i="7"/>
  <c r="D56" i="7"/>
  <c r="D49" i="7"/>
  <c r="D40" i="7"/>
  <c r="D33" i="7"/>
  <c r="D21" i="7"/>
  <c r="D13" i="7"/>
  <c r="D5" i="7"/>
  <c r="C59" i="7"/>
  <c r="C56" i="7"/>
  <c r="C49" i="7"/>
  <c r="C40" i="7"/>
  <c r="C33" i="7"/>
  <c r="C21" i="7"/>
  <c r="C13" i="7"/>
  <c r="C5" i="7"/>
  <c r="C113" i="7"/>
  <c r="C100" i="7"/>
  <c r="C90" i="7"/>
  <c r="C85" i="7"/>
  <c r="C80" i="7"/>
  <c r="C76" i="7"/>
  <c r="C69" i="7" s="1"/>
  <c r="F23" i="6" l="1"/>
  <c r="G3" i="6"/>
  <c r="D139" i="7"/>
  <c r="F25" i="6"/>
  <c r="D154" i="7"/>
  <c r="D165" i="7" s="1"/>
  <c r="D124" i="7"/>
  <c r="D135" i="7"/>
  <c r="D127" i="7"/>
  <c r="D32" i="7"/>
  <c r="C143" i="7"/>
  <c r="C165" i="7"/>
  <c r="D84" i="7"/>
  <c r="D4" i="7"/>
  <c r="G7" i="6" s="1"/>
  <c r="C84" i="7"/>
  <c r="C32" i="7"/>
  <c r="C4" i="7"/>
  <c r="F7" i="6" s="1"/>
  <c r="G23" i="6" l="1"/>
  <c r="G12" i="6"/>
  <c r="G13" i="6" s="1"/>
  <c r="G11" i="6"/>
  <c r="G10" i="6"/>
  <c r="D117" i="7"/>
  <c r="G8" i="6" s="1"/>
  <c r="D143" i="7"/>
  <c r="G24" i="6"/>
  <c r="F11" i="6"/>
  <c r="F10" i="6"/>
  <c r="F12" i="6"/>
  <c r="F13" i="6" s="1"/>
  <c r="C117" i="7"/>
  <c r="F8" i="6" s="1"/>
  <c r="F18" i="6"/>
  <c r="F16" i="6"/>
  <c r="F17" i="6"/>
  <c r="G5" i="6"/>
  <c r="G25" i="6"/>
  <c r="D63" i="7"/>
  <c r="G29" i="6" s="1"/>
  <c r="C166" i="7"/>
  <c r="C63" i="7"/>
  <c r="G26" i="6" l="1"/>
  <c r="C168" i="7"/>
  <c r="F30" i="6" s="1"/>
  <c r="F31" i="6" s="1"/>
  <c r="F20" i="6"/>
  <c r="F21" i="6"/>
  <c r="F19" i="6"/>
  <c r="F15" i="6"/>
  <c r="D166" i="7"/>
  <c r="G17" i="6"/>
  <c r="G16" i="6"/>
  <c r="G18" i="6"/>
  <c r="F29" i="6"/>
  <c r="F26" i="6"/>
  <c r="F45" i="14"/>
  <c r="F35" i="14"/>
  <c r="F20" i="14"/>
  <c r="F16" i="14"/>
  <c r="F8" i="14"/>
  <c r="F5" i="14"/>
  <c r="H45" i="14"/>
  <c r="J40" i="14"/>
  <c r="H35" i="14"/>
  <c r="J31" i="14"/>
  <c r="J22" i="14"/>
  <c r="J21" i="14"/>
  <c r="H20" i="14"/>
  <c r="J19" i="14"/>
  <c r="J18" i="14"/>
  <c r="J17" i="14"/>
  <c r="H16" i="14"/>
  <c r="J15" i="14"/>
  <c r="J14" i="14"/>
  <c r="J13" i="14"/>
  <c r="J12" i="14"/>
  <c r="J11" i="14"/>
  <c r="J9" i="14"/>
  <c r="H8" i="14"/>
  <c r="J7" i="14"/>
  <c r="H5" i="14"/>
  <c r="J5" i="14" s="1"/>
  <c r="J3" i="14"/>
  <c r="F24" i="14" l="1"/>
  <c r="D168" i="7"/>
  <c r="G30" i="6" s="1"/>
  <c r="G31" i="6" s="1"/>
  <c r="G21" i="6"/>
  <c r="G19" i="6"/>
  <c r="G15" i="6"/>
  <c r="G20" i="6"/>
  <c r="H46" i="14"/>
  <c r="F46" i="14"/>
  <c r="J8" i="14"/>
  <c r="J45" i="14"/>
  <c r="J16" i="14"/>
  <c r="J20" i="14"/>
  <c r="H24" i="14"/>
  <c r="J35" i="14"/>
  <c r="J46" i="14" l="1"/>
  <c r="F47" i="14"/>
  <c r="F49" i="14" s="1"/>
  <c r="J24" i="14"/>
  <c r="H47" i="14"/>
  <c r="H49" i="14" l="1"/>
  <c r="J49" i="14" s="1"/>
  <c r="J47" i="14"/>
  <c r="I55" i="9" l="1"/>
  <c r="I23" i="9"/>
  <c r="I13" i="9"/>
  <c r="I56" i="9"/>
  <c r="I57" i="9"/>
  <c r="I58" i="9"/>
  <c r="I59" i="9"/>
  <c r="I60" i="9"/>
  <c r="I61" i="9"/>
  <c r="I62" i="9"/>
  <c r="I47" i="9"/>
  <c r="I48" i="9"/>
  <c r="I49" i="9"/>
  <c r="I50" i="9"/>
  <c r="I51" i="9"/>
  <c r="I46" i="9"/>
  <c r="I42" i="9"/>
  <c r="I43" i="9"/>
  <c r="I44" i="9"/>
  <c r="I41" i="9"/>
  <c r="G45" i="9"/>
  <c r="G35" i="9"/>
  <c r="G19" i="9"/>
  <c r="E63" i="9"/>
  <c r="E45" i="9"/>
  <c r="E35" i="9"/>
  <c r="E19" i="9"/>
  <c r="E4" i="9"/>
  <c r="E52" i="9" l="1"/>
  <c r="E65" i="9" s="1"/>
  <c r="I19" i="9"/>
  <c r="G63" i="9"/>
  <c r="I63" i="9" s="1"/>
  <c r="G4" i="9"/>
  <c r="G52" i="9" s="1"/>
  <c r="I52" i="9" s="1"/>
  <c r="G65" i="9" l="1"/>
  <c r="I65" i="9" s="1"/>
  <c r="B49" i="10" l="1"/>
  <c r="B50" i="10" s="1"/>
  <c r="E48" i="10"/>
  <c r="E28" i="10" l="1"/>
  <c r="B24" i="13" l="1"/>
  <c r="B23" i="13"/>
  <c r="B15" i="13"/>
  <c r="B18" i="13" s="1"/>
  <c r="B10" i="13"/>
  <c r="B9" i="13"/>
  <c r="B25" i="13" l="1"/>
  <c r="B27" i="13" s="1"/>
  <c r="B11" i="13"/>
  <c r="B20" i="13" s="1"/>
  <c r="E29" i="10" l="1"/>
  <c r="E22" i="10"/>
  <c r="E24" i="10"/>
  <c r="B51" i="10"/>
  <c r="E51" i="10" s="1"/>
  <c r="B12" i="10" l="1"/>
  <c r="B32" i="10" s="1"/>
  <c r="B52" i="10" s="1"/>
  <c r="C49" i="10" l="1"/>
  <c r="E49" i="10" s="1"/>
  <c r="C12" i="10"/>
  <c r="C32" i="10" s="1"/>
  <c r="C50" i="10" l="1"/>
  <c r="I40" i="9"/>
  <c r="I39" i="9"/>
  <c r="I38" i="9"/>
  <c r="I37" i="9"/>
  <c r="I36" i="9"/>
  <c r="I34" i="9"/>
  <c r="I33" i="9"/>
  <c r="I32" i="9"/>
  <c r="I31" i="9"/>
  <c r="I30" i="9"/>
  <c r="I29" i="9"/>
  <c r="I28" i="9"/>
  <c r="I27" i="9"/>
  <c r="I26" i="9"/>
  <c r="I25" i="9"/>
  <c r="I24" i="9"/>
  <c r="I22" i="9"/>
  <c r="I21" i="9"/>
  <c r="I20" i="9"/>
  <c r="I18" i="9"/>
  <c r="I17" i="9"/>
  <c r="I16" i="9"/>
  <c r="I15" i="9"/>
  <c r="I14" i="9"/>
  <c r="I12" i="9"/>
  <c r="I11" i="9"/>
  <c r="I10" i="9"/>
  <c r="I9" i="9"/>
  <c r="I8" i="9"/>
  <c r="I7" i="9"/>
  <c r="I6" i="9"/>
  <c r="I5" i="9"/>
  <c r="C52" i="10" l="1"/>
  <c r="E52" i="10" s="1"/>
  <c r="C64" i="10"/>
  <c r="C65" i="10" s="1"/>
  <c r="E50" i="10"/>
  <c r="I35" i="9"/>
  <c r="I45" i="9"/>
  <c r="I4" i="9"/>
  <c r="E4" i="6" l="1"/>
  <c r="E18" i="10" l="1"/>
  <c r="E19" i="10"/>
  <c r="E20" i="10"/>
  <c r="E21" i="10"/>
  <c r="E25" i="10"/>
  <c r="E26" i="10"/>
  <c r="E27" i="10"/>
  <c r="E35" i="10"/>
  <c r="E37" i="10"/>
  <c r="E38" i="10"/>
  <c r="E39" i="10"/>
  <c r="E40" i="10"/>
  <c r="E41" i="10"/>
  <c r="E43" i="10"/>
  <c r="E45" i="10"/>
  <c r="E17" i="10"/>
  <c r="E46" i="10"/>
  <c r="E3" i="6" l="1"/>
  <c r="E5" i="6"/>
  <c r="E47" i="10" l="1"/>
  <c r="C24" i="13" l="1"/>
  <c r="C23" i="13" l="1"/>
  <c r="C18" i="13" l="1"/>
  <c r="C25" i="13" l="1"/>
  <c r="C27" i="13" l="1"/>
  <c r="C11" i="13"/>
  <c r="C20" i="13" l="1"/>
  <c r="D23" i="6" l="1"/>
  <c r="D24" i="6"/>
  <c r="D16" i="6"/>
  <c r="D30" i="6"/>
  <c r="D31" i="6" s="1"/>
  <c r="D25" i="6" l="1"/>
  <c r="D8" i="6"/>
  <c r="D7" i="6"/>
  <c r="D15" i="6"/>
  <c r="D21" i="6"/>
  <c r="D20" i="6"/>
  <c r="D19" i="6"/>
  <c r="D18" i="6"/>
  <c r="D17" i="6"/>
  <c r="D29" i="6"/>
  <c r="D10" i="6" l="1"/>
  <c r="D11" i="6"/>
  <c r="D12" i="6"/>
  <c r="D13" i="6" s="1"/>
  <c r="D26" i="6"/>
  <c r="E23" i="6" l="1"/>
  <c r="E24" i="6"/>
  <c r="E18" i="6"/>
  <c r="E17" i="6"/>
  <c r="E16" i="6"/>
  <c r="E20" i="6" l="1"/>
  <c r="E19" i="6"/>
  <c r="E30" i="6" l="1"/>
  <c r="E31" i="6" s="1"/>
  <c r="E25" i="6"/>
  <c r="E26" i="6" l="1"/>
  <c r="E29" i="6" l="1"/>
  <c r="E12" i="6" l="1"/>
  <c r="E13" i="6" s="1"/>
  <c r="E11" i="6"/>
  <c r="E10" i="6"/>
  <c r="E8" i="6" l="1"/>
  <c r="E21" i="6"/>
  <c r="E15" i="6"/>
  <c r="E7" i="6"/>
</calcChain>
</file>

<file path=xl/sharedStrings.xml><?xml version="1.0" encoding="utf-8"?>
<sst xmlns="http://schemas.openxmlformats.org/spreadsheetml/2006/main" count="556" uniqueCount="433">
  <si>
    <t>Ingatlankezelés - Házfelügyelői szolg.</t>
  </si>
  <si>
    <t>Értékbecslés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</si>
  <si>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</si>
  <si>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</si>
  <si>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</si>
  <si>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</si>
  <si>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</si>
  <si>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</si>
  <si>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</si>
  <si>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</si>
  <si>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</si>
  <si>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7. Tárgyi eszközök értékhelyesbítése</t>
  </si>
  <si>
    <t>1. Tartós részesedés kapcsolt vállalkozásban</t>
  </si>
  <si>
    <t>2. Tartósan adott kölcsön kapcsolt vállalkozásban</t>
  </si>
  <si>
    <t>1. Anyagok</t>
  </si>
  <si>
    <t>2. Befejezetlen termelés és félkész termékek</t>
  </si>
  <si>
    <t>4. Késztermékek</t>
  </si>
  <si>
    <t>5. Áruk</t>
  </si>
  <si>
    <t>6. Készletekre adott előlegek</t>
  </si>
  <si>
    <t>2. Követelések kapcsolt vállalkozással szemben</t>
  </si>
  <si>
    <t>1. Részesedés kapcsolt vállalkozásban</t>
  </si>
  <si>
    <t>2. Egyéb részesedés</t>
  </si>
  <si>
    <t>3. Saját részvények, saját üzletrészek</t>
  </si>
  <si>
    <t>4. Forgatási célú hitelviszonyt megtestesítő értékpapírok</t>
  </si>
  <si>
    <t>1. Pénztár, csekkek</t>
  </si>
  <si>
    <t>2. Bankbetétek</t>
  </si>
  <si>
    <t>1. Bevételek aktív időbeli elhatárolása</t>
  </si>
  <si>
    <t>2. Költségek, ráfordítások aktív időbeli elhatárolása</t>
  </si>
  <si>
    <t>1. Céltartalék a várható kötelezettségekre</t>
  </si>
  <si>
    <t>2. Céltartalék a jövőbeni költségekre</t>
  </si>
  <si>
    <t>3. Egyéb céltartalék</t>
  </si>
  <si>
    <t>1. Hosszú lejáratra kapott kölcsönök</t>
  </si>
  <si>
    <t>2. Átváltoztatható kötvények</t>
  </si>
  <si>
    <t>3. Tartozások kötvénykibocsátásból</t>
  </si>
  <si>
    <t>1. Rövid lejáratú kölcsönök</t>
  </si>
  <si>
    <t>2. Rövid lejáratú hitelek</t>
  </si>
  <si>
    <t>Sorsz.</t>
  </si>
  <si>
    <t>Megnevezés</t>
  </si>
  <si>
    <t>Dinamikus összehasonlítás</t>
  </si>
  <si>
    <t>Saját tőke növekedés  %</t>
  </si>
  <si>
    <t>Jegyzett tőke növekedés  %</t>
  </si>
  <si>
    <t>Árbevétel növekedés  %</t>
  </si>
  <si>
    <t>Vagyoni helyzet mutatói</t>
  </si>
  <si>
    <t>Pénzügyi helyzet mutatói</t>
  </si>
  <si>
    <t>Jövedelmezőségi mutatók</t>
  </si>
  <si>
    <t>Adózás előtti eredm./Árbevétel  % (46/31)</t>
  </si>
  <si>
    <t>Hatékonyság, forgási sebesség</t>
  </si>
  <si>
    <t>Cégértékelés</t>
  </si>
  <si>
    <t>Diszkontláb</t>
  </si>
  <si>
    <t>elszámolásához</t>
  </si>
  <si>
    <t>Forrás:</t>
  </si>
  <si>
    <t>Nyitó egyenleg:</t>
  </si>
  <si>
    <t xml:space="preserve"> - lakóházjavítási alap maradvány</t>
  </si>
  <si>
    <t xml:space="preserve"> - hátralék (1)</t>
  </si>
  <si>
    <t>Bevételek:</t>
  </si>
  <si>
    <t>Bérleti díj előírás</t>
  </si>
  <si>
    <t xml:space="preserve"> -     lakás</t>
  </si>
  <si>
    <t xml:space="preserve">             takarítás+ÁFA</t>
  </si>
  <si>
    <t xml:space="preserve"> - nem lakás</t>
  </si>
  <si>
    <t xml:space="preserve">             bérleti díj + ÁFA</t>
  </si>
  <si>
    <t xml:space="preserve">             vízdíj + ÁFA</t>
  </si>
  <si>
    <t xml:space="preserve">             egyéb (gáz,áram)</t>
  </si>
  <si>
    <t xml:space="preserve"> -    egyéb bevétel</t>
  </si>
  <si>
    <t>Hátralék állományváltozás (2)(csökk. +)(növ. -)</t>
  </si>
  <si>
    <t>Behajthatatlan bérleti díj</t>
  </si>
  <si>
    <t>Forrás összesen: (3)</t>
  </si>
  <si>
    <t>Felhasználás:</t>
  </si>
  <si>
    <t>Pénzeszköz átadás</t>
  </si>
  <si>
    <t>Beutalás ÁFA fizetéshez</t>
  </si>
  <si>
    <t>Felhasználás összesen: (4)</t>
  </si>
  <si>
    <t>Pénzmaradvány (5) = (3-4)</t>
  </si>
  <si>
    <t>Hátralék (6)</t>
  </si>
  <si>
    <t>Záró egyenleg (7) = (5+6)</t>
  </si>
  <si>
    <t>5. számú melléklet</t>
  </si>
  <si>
    <t>Saját ingatlan bérbeadás - 
lakás</t>
  </si>
  <si>
    <t>Közvetített szolgáltatások</t>
  </si>
  <si>
    <t>Sor-
szám</t>
  </si>
  <si>
    <t>Menny.</t>
  </si>
  <si>
    <t>Tófürdő</t>
  </si>
  <si>
    <t>Központ</t>
  </si>
  <si>
    <t xml:space="preserve"> - lakbér beszámítás</t>
  </si>
  <si>
    <t>SZOVA Zrt.</t>
  </si>
  <si>
    <t>Kimutatás az önkormányzati ingatlanok bevételeinek és kiadásainak</t>
  </si>
  <si>
    <t>Kamatbevétel - kötvény</t>
  </si>
  <si>
    <t>Kamatköltség - kötvény</t>
  </si>
  <si>
    <t>Kötvény kamateredmény</t>
  </si>
  <si>
    <t>Realizált árfolyamveszteség - kötvény</t>
  </si>
  <si>
    <t>Kötvény árfolyamkülönbözet</t>
  </si>
  <si>
    <t>Kamatbevétel - egyéb</t>
  </si>
  <si>
    <t>Realizált árfolyamnyereség egyéb</t>
  </si>
  <si>
    <t>Nem realizált árfolyamnyereség egyéb</t>
  </si>
  <si>
    <t>Egyéb pénzügyi tételek eredménye</t>
  </si>
  <si>
    <t>Pénzügyi eredmény összesen</t>
  </si>
  <si>
    <t>6. számú melléklet</t>
  </si>
  <si>
    <t>ezer Ft</t>
  </si>
  <si>
    <t>Nem realizált árfolyamnyereség kötvény év végi átértékelés</t>
  </si>
  <si>
    <t>Pénzügyi bevételek összesen</t>
  </si>
  <si>
    <t>Pénzügyi ráfordítások összesen</t>
  </si>
  <si>
    <t>Nem realizált árfolyamveszteség visszavezetése kötvénytörlesztés</t>
  </si>
  <si>
    <t>Kötvény pénzügyi eredmény összesen</t>
  </si>
  <si>
    <t>EBBŐL:</t>
  </si>
  <si>
    <t>Részleg/
Osztály</t>
  </si>
  <si>
    <t>bérleti díj</t>
  </si>
  <si>
    <t xml:space="preserve">             vízdíj</t>
  </si>
  <si>
    <t xml:space="preserve">             szemétszállítási díj</t>
  </si>
  <si>
    <t xml:space="preserve">             egyéb (fűtés, áram)</t>
  </si>
  <si>
    <t xml:space="preserve"> - ebből panelprogram, OKÖ program</t>
  </si>
  <si>
    <t>7. számú melléklet</t>
  </si>
  <si>
    <t>adatok ezer forintban</t>
  </si>
  <si>
    <t>Gépek, berendezések, járművek</t>
  </si>
  <si>
    <t>Építési csoport</t>
  </si>
  <si>
    <t>Egyéb eszközök</t>
  </si>
  <si>
    <t>Kalandváros</t>
  </si>
  <si>
    <t>Kisértékű eszközök beszerzése</t>
  </si>
  <si>
    <t>Informatikai beruházások</t>
  </si>
  <si>
    <t>Tény-Terv eltérés 
(ezer Ft)</t>
  </si>
  <si>
    <t>(ezer Ft)</t>
  </si>
  <si>
    <t>Társasház üzemeltetés</t>
  </si>
  <si>
    <t>Önkormányzati ingatlan üzemeltetés</t>
  </si>
  <si>
    <t>Társasház karbantartás</t>
  </si>
  <si>
    <t>Tervteljesítés
%</t>
  </si>
  <si>
    <t>Közterületek takarítása</t>
  </si>
  <si>
    <t>Egyéb IK tevékenység</t>
  </si>
  <si>
    <t>Passzív létesítmény üzemeltetés - Aréna Savaria</t>
  </si>
  <si>
    <t>Aktív létesítmények - Tófürdő</t>
  </si>
  <si>
    <t>Aktív létesítmények - Kalandváros</t>
  </si>
  <si>
    <t>Aktív létesítmények - Műjégpálya</t>
  </si>
  <si>
    <t>Aktív létesítmények - Szánkópálya</t>
  </si>
  <si>
    <t>Egyéb tevékenységek</t>
  </si>
  <si>
    <t>Passzív létesítmény üzemeltetés - Okmányiroda</t>
  </si>
  <si>
    <t>Passzív létesítmény üzemeltetés Győrffy, Wesselényi</t>
  </si>
  <si>
    <t>Passzív létesítmény üzemeltetés - Jászai út</t>
  </si>
  <si>
    <t>Kőszegi utca 23. ingatlanfejlesztés 
NAV elhelyezése projekt</t>
  </si>
  <si>
    <t>Köztisztaság</t>
  </si>
  <si>
    <t>Gépcsoport</t>
  </si>
  <si>
    <t>Parkolás</t>
  </si>
  <si>
    <t>2 db</t>
  </si>
  <si>
    <t>- Bevételekből Szt. László kir.u.6.</t>
  </si>
  <si>
    <t>Önkormányzati forráskiegészítés</t>
  </si>
  <si>
    <t>Kezelési díj</t>
  </si>
  <si>
    <t>- ebből nem teljesített</t>
  </si>
  <si>
    <t>Önkormányzati ingatlan karbantartás</t>
  </si>
  <si>
    <t>Társasház felújítási alapképzés</t>
  </si>
  <si>
    <t>Ingatlan felújítás és/vagy lakásvásárlás</t>
  </si>
  <si>
    <t>Vízdíj</t>
  </si>
  <si>
    <t>Szemétszállítási díj</t>
  </si>
  <si>
    <t>-  Felhasználásból Szt. László kir.u.6.</t>
  </si>
  <si>
    <t>2016. december 31.</t>
  </si>
  <si>
    <t>2016.
 tény</t>
  </si>
  <si>
    <t>2016. 
terv</t>
  </si>
  <si>
    <t>2016. 
éves terv</t>
  </si>
  <si>
    <t>2016. 
tény</t>
  </si>
  <si>
    <t>Épületek, építmények</t>
  </si>
  <si>
    <t>Csurgalékvíz tároló medence ki és befolyásának záhatóvá tétele</t>
  </si>
  <si>
    <t>Hulladéklerakó telep</t>
  </si>
  <si>
    <t>Sorompó csere</t>
  </si>
  <si>
    <t>Welther Károly u. 4.</t>
  </si>
  <si>
    <t>Pénztár épület kialakítása</t>
  </si>
  <si>
    <t>Gépházpadló összefolyó kiépítése</t>
  </si>
  <si>
    <t>Szünetmentes helyiség klímaberendezései</t>
  </si>
  <si>
    <t xml:space="preserve">Aréna Savaria </t>
  </si>
  <si>
    <t>Szünetmentes tápegység akkumulátorainak cseréje</t>
  </si>
  <si>
    <t>64 db</t>
  </si>
  <si>
    <t>Vízlágyító cseréje</t>
  </si>
  <si>
    <t>Drótkötélpálya  fa gerenda cseréje+ trambulin vásárlás</t>
  </si>
  <si>
    <t>Kamera rendszer kiépítése</t>
  </si>
  <si>
    <t>Csúszdák indítófényjelzés kiépítése</t>
  </si>
  <si>
    <t>Tűzjelző berendezés szerverszoba</t>
  </si>
  <si>
    <t>13a</t>
  </si>
  <si>
    <t>Használt hulladékgyűjtő jármű beszerzése</t>
  </si>
  <si>
    <t>13b</t>
  </si>
  <si>
    <t>Egyéb eszközbeszerzések</t>
  </si>
  <si>
    <t>Dupla kabinos Multicar tehergk.</t>
  </si>
  <si>
    <t>2015-ről áthúzódó</t>
  </si>
  <si>
    <t>Teleszkópgémes rakodó használt, TÁVHŐ</t>
  </si>
  <si>
    <t>20 tonnás krokodil emelő</t>
  </si>
  <si>
    <t>TMK műhely</t>
  </si>
  <si>
    <t>CO2 védőgázas hegesztő berendezés</t>
  </si>
  <si>
    <t>Járművek,felépítmények felújítása 1.</t>
  </si>
  <si>
    <t>Járművek,felépítmények felújítása GLE-158</t>
  </si>
  <si>
    <t>Járművek,felépítmények felújítása 3.</t>
  </si>
  <si>
    <t>Aszfalt újrahasznosító berendezés</t>
  </si>
  <si>
    <t>Bontókalapács</t>
  </si>
  <si>
    <t>SH86-D Szívó,fújó,szecskázó</t>
  </si>
  <si>
    <t>Kézi vízösszetétel analizáló berendezés</t>
  </si>
  <si>
    <t>Elektromos és kéziszerszámok</t>
  </si>
  <si>
    <t>BG 131 léghevítő</t>
  </si>
  <si>
    <t>Jászai M.u.</t>
  </si>
  <si>
    <t>Parkolójegy-kiadó automata</t>
  </si>
  <si>
    <t>3 db</t>
  </si>
  <si>
    <t>Személygépkocsi beszerzés</t>
  </si>
  <si>
    <t>Okostelefon pótdíjazáshoz</t>
  </si>
  <si>
    <t xml:space="preserve">Fényképezőgép </t>
  </si>
  <si>
    <t>Társasházkezelési osztály</t>
  </si>
  <si>
    <t>Öltöző szekrény</t>
  </si>
  <si>
    <t>10 db</t>
  </si>
  <si>
    <t>Útelzáró tábla egység</t>
  </si>
  <si>
    <t>Hulladékgyűjtő edények beszerzése</t>
  </si>
  <si>
    <t>Hulladék-
gazdálkodás</t>
  </si>
  <si>
    <t>Berendezési tárgyak, felszerelések cseréje</t>
  </si>
  <si>
    <t>Fonyodi üdülő</t>
  </si>
  <si>
    <t>Érmés értékmegőrző szekrények beszerzése</t>
  </si>
  <si>
    <t>Fizetőparkolási rendszer bővítéshez szükséges tervek, tanulmányok</t>
  </si>
  <si>
    <t>Veszélyes hulladék nyomtatványkitöltő program</t>
  </si>
  <si>
    <t>SZOVA.HU honlap fejlesztés</t>
  </si>
  <si>
    <t>Unit4 bérprogram</t>
  </si>
  <si>
    <t>Hálózati Főkiszolgáló csere</t>
  </si>
  <si>
    <t>Komplex szerver csere</t>
  </si>
  <si>
    <t>Hardver és szoftver beszerzések</t>
  </si>
  <si>
    <t>Folyamatos működéshez szükséges beruházások összesen</t>
  </si>
  <si>
    <t>Stratégiai ingatlanfejlesztések</t>
  </si>
  <si>
    <t>Sárdi ér telephely fejlesztés+közművesítés</t>
  </si>
  <si>
    <t>Tófürdő szállodaépítés</t>
  </si>
  <si>
    <t>Fedett jégcsarnok építés</t>
  </si>
  <si>
    <t>Szabadidőközpont lovas sportcentrum</t>
  </si>
  <si>
    <t>Lakásépítés Szőllősi sétány</t>
  </si>
  <si>
    <t>Lakásépítés Szabadidőközpont</t>
  </si>
  <si>
    <t>Egyéb projektfejlesztés</t>
  </si>
  <si>
    <t>Stratégiai ingatlanfejlesztések összesen</t>
  </si>
  <si>
    <t>Beruházások mindösszesen</t>
  </si>
  <si>
    <t>Csurgalékvíz medence lyukadásának kijavítása</t>
  </si>
  <si>
    <t>2016. 
terv 
(ezer Ft)</t>
  </si>
  <si>
    <t>2016. 
tény
(ezer Ft)</t>
  </si>
  <si>
    <t>Sorszám</t>
  </si>
  <si>
    <t>A tétel megnevezése</t>
  </si>
  <si>
    <t>a</t>
  </si>
  <si>
    <t>b</t>
  </si>
  <si>
    <t xml:space="preserve">   01. Belföldi értékesítés nettó árbevétele</t>
  </si>
  <si>
    <t xml:space="preserve">   02. Export értékesítés nettó árbevétele</t>
  </si>
  <si>
    <t>I.   ÉRTÉKESÍTÉS NETTÓ ÁRBEVÉTELE (01+02)</t>
  </si>
  <si>
    <t xml:space="preserve">   03. Saját termelésű készletek állományváltozása</t>
  </si>
  <si>
    <t xml:space="preserve">   04. Saját előállítású eszközök aktivált értéke</t>
  </si>
  <si>
    <t>II.  AKTIVÁLT SAJÁT TELJ.-EK ÉRTÉKE (3±4)</t>
  </si>
  <si>
    <t>III. EGYÉB BEVÉTELEK</t>
  </si>
  <si>
    <t xml:space="preserve">  Ebből: visszaírt értékvesztés</t>
  </si>
  <si>
    <t xml:space="preserve">   05. Anyagköltség</t>
  </si>
  <si>
    <t xml:space="preserve">   06. Igénybe vett szolgáltatások értéke</t>
  </si>
  <si>
    <t xml:space="preserve">   07. Egyéb szolgáltatások értéke</t>
  </si>
  <si>
    <t xml:space="preserve">   08. Eladott áruk beszerzési értéke</t>
  </si>
  <si>
    <t xml:space="preserve">   09. Eladott (közvetített) szolgáltatások értéke</t>
  </si>
  <si>
    <t>IV. ANYAGJELLEGŰ RÁFORDÍTÁSOK (05+06+07+08+09)</t>
  </si>
  <si>
    <t xml:space="preserve">   10. Bérköltség</t>
  </si>
  <si>
    <t xml:space="preserve">   11. Személyi jellegű egyéb kifizetések</t>
  </si>
  <si>
    <t xml:space="preserve">   12. Bérjárulékok</t>
  </si>
  <si>
    <t>V.  SZEMÉLYI JELLEGŰ RÁFORDÍTÁSOK (10+11+12)</t>
  </si>
  <si>
    <t>VI. ÉRTÉKCSÖKKENÉSI LEÍRÁS</t>
  </si>
  <si>
    <t>VII. EGYÉB RÁFORDÍTÁSOK</t>
  </si>
  <si>
    <t xml:space="preserve">  Ebből: értékvesztés</t>
  </si>
  <si>
    <t>A. ÜZEMI (üzleti)TEVÉKENYSÉG EREDMÉNYE(I±II+III-IV-V-VI-VII)</t>
  </si>
  <si>
    <t xml:space="preserve">   13. Kapott (járó) osztalék és részesedés</t>
  </si>
  <si>
    <t xml:space="preserve">  Ebből: kapcsolt vállalkozástól kapott</t>
  </si>
  <si>
    <t xml:space="preserve">   14. Részesedésekből származó bevételek, árfolyamnyereségek</t>
  </si>
  <si>
    <t xml:space="preserve">  Ebből: kapcsolt vállalkozástól kapott </t>
  </si>
  <si>
    <t xml:space="preserve">   15. Befektetett pénzügyi eszközökből (értékpapírokból, kölcsönökből származó bevételek, árfolyamnyereségek)</t>
  </si>
  <si>
    <t xml:space="preserve">  Ebből: kapcsolt vállalkozásoktól kapott</t>
  </si>
  <si>
    <t xml:space="preserve">   16. Egyéb kapott (járó) kamatok és kamatjellegű bevételek</t>
  </si>
  <si>
    <t xml:space="preserve">   17. Pénzügyi műveletek egyéb bevételei</t>
  </si>
  <si>
    <t xml:space="preserve">  Ebből: értékelési különbözet</t>
  </si>
  <si>
    <t>VIII. PÉNZÜGYI MŰVELETEK BEVÉTELEI (13+14+15+16+17)</t>
  </si>
  <si>
    <t xml:space="preserve">   18. Részesedésekből származó ráfordítások, árfolyamveszteségek</t>
  </si>
  <si>
    <t xml:space="preserve">  Ebből: kapcsolt vállalkozásnak adott</t>
  </si>
  <si>
    <t xml:space="preserve">   19. Befektetett pénzügyi eszközökből (érrtékpapírokból, kölcsönökből) származó ráfordítások</t>
  </si>
  <si>
    <t xml:space="preserve">   20. Fizetendő kamatok és kamatjellegű ráfordítások</t>
  </si>
  <si>
    <t xml:space="preserve">   21. Részesedések, értékpapírok, bankbetétek értékvesztése</t>
  </si>
  <si>
    <t xml:space="preserve">   22. Pénzügyi műveletek egyéb ráfordításai</t>
  </si>
  <si>
    <t>IX. PÉNZÜGYI MŰVELETEK RÁFORDÍTÁSAI (18+19±20+21+22)</t>
  </si>
  <si>
    <t>B. PÉNZÜGYI MŰVELETEK EREDMÉNYE (VIII.-IX.)</t>
  </si>
  <si>
    <t>C. ADÓZÁS ELŐTTI EREDMÉNY ( ±A±B)</t>
  </si>
  <si>
    <t>X. Adófizetési kötelezettség</t>
  </si>
  <si>
    <t>D. ADÓZOTT EREDMÉNY   (±C-X)</t>
  </si>
  <si>
    <t>Tervteljesítés</t>
  </si>
  <si>
    <t>2016. tény az éves terv  %-ában</t>
  </si>
  <si>
    <t>c</t>
  </si>
  <si>
    <t>d</t>
  </si>
  <si>
    <t>A. Befektetett eszközök (2.+10.+18. sor)</t>
  </si>
  <si>
    <t xml:space="preserve">  I. IMMATERIÁLIS JAVAK (3.-9. sorok)</t>
  </si>
  <si>
    <t>1. Alapítás-átszervezés aktívált értéke</t>
  </si>
  <si>
    <t>2. Kísérleti fejlesztés aktívált értéke</t>
  </si>
  <si>
    <t xml:space="preserve">  II. TÁRGYI ESZKÖZÖK (11.-17. sor)</t>
  </si>
  <si>
    <t>5.  Beruházások, felújítások</t>
  </si>
  <si>
    <t>6.  Beruházásokra adott előleg</t>
  </si>
  <si>
    <t xml:space="preserve">  III. BEFEKTETETT PÉNZÜGYI ESZKÖZÖK (19.-28. sor)</t>
  </si>
  <si>
    <t>3. Tartós jelentős tulajdoni részesedés</t>
  </si>
  <si>
    <t>5. Egyéb tartós részesedés</t>
  </si>
  <si>
    <t>6. Tartósan adott kölcsön egyéb részesedési visz. álló vállalkozásban</t>
  </si>
  <si>
    <t>7. Egyéb tartósan adott kölcsön</t>
  </si>
  <si>
    <t>8. Tartós hitelviszonyt megtestesítő értékpapír</t>
  </si>
  <si>
    <t>9.  Befektetett pénzügyi eszközök értékhelyesbítése</t>
  </si>
  <si>
    <t>10.Befektetett pénzügyi eszközök értékelési különbözete</t>
  </si>
  <si>
    <t>B. Forgóeszközök (30.+37.+46.+53. sor)</t>
  </si>
  <si>
    <t xml:space="preserve">  I. KÉSZLETEK (31.-36. sorok)</t>
  </si>
  <si>
    <t>3. Növedék-, hízó- és egyéb állatok</t>
  </si>
  <si>
    <t xml:space="preserve">  II. KÖVETELÉSEK (38.-45. sor)</t>
  </si>
  <si>
    <t>1. Követelések áruszállításból és szolgáltatásokból (vevők)</t>
  </si>
  <si>
    <t>3. Követelések jelentős tulajdoni részesedési visz.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</si>
  <si>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</si>
  <si>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</si>
  <si>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</si>
  <si>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</si>
  <si>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</si>
  <si>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 xml:space="preserve">  III. ÉRTÉKPAPÍROK (47.-52. sorok)</t>
  </si>
  <si>
    <t>2. Jelentős tulajdoni részesedéd</t>
  </si>
  <si>
    <t>5. Értékpapírok értékelési különbözete</t>
  </si>
  <si>
    <t xml:space="preserve">  IV. PÉNZESZKÖZÖK (54.-55. sor)</t>
  </si>
  <si>
    <t>C. Aktív időbeli elhatárolások (57.-59.sor)</t>
  </si>
  <si>
    <t xml:space="preserve">3. Halasztott ráfordítások </t>
  </si>
  <si>
    <t>ESZKÖZÖK (AKTÍVÁK) ÖSSZESEN (1.+30.+56. sor)</t>
  </si>
  <si>
    <t>D. Saját tőke (62.+64.+65.+66.+67.+68.+71. sor)</t>
  </si>
  <si>
    <t xml:space="preserve">  I. JEGYZETT TŐKE</t>
  </si>
  <si>
    <t xml:space="preserve">  I/a Ebből: visszavásárolt tulajdonosi részesedés névértéken</t>
  </si>
  <si>
    <t xml:space="preserve">  II. JEGYZETT, DE MÉG BE NEM FIZETETT TŐKE (-)</t>
  </si>
  <si>
    <t xml:space="preserve">  III. TŐKETARTALÉK</t>
  </si>
  <si>
    <t xml:space="preserve">  IV. EREDMÉNYTARTALÉK</t>
  </si>
  <si>
    <t xml:space="preserve">  V.  LEKÖTÖTT TARTALÉK</t>
  </si>
  <si>
    <t xml:space="preserve">  VI. ÉRTÉKELÉSI TARTALÉK</t>
  </si>
  <si>
    <t>1.  Értékhelyesbítés értékelési tartaléka</t>
  </si>
  <si>
    <t>2.  Valós értékelés értékelési tartaléka</t>
  </si>
  <si>
    <t xml:space="preserve">  VII. ADÓZOTT EREDMÉNY</t>
  </si>
  <si>
    <t>E. Céltartalékok (73.-75. sor)</t>
  </si>
  <si>
    <t>F. Kötelezettségek (77.+78.+92. sor)</t>
  </si>
  <si>
    <t xml:space="preserve"> I. HÁTRASOROLT KÖTELEZETTSÉGEK (78.+82.+92. sor)  </t>
  </si>
  <si>
    <t>1.  Hátrasorolt kötelettségekek kapcsolt vállalkozással szemben</t>
  </si>
  <si>
    <t>2.  Hátrasorolt kötelezettségek jelentős tulajdoni viszonyban. lévő váll. szemben</t>
  </si>
  <si>
    <t>3.  Hátrasorolt kötelezettségek egyéb részesedési viszonyban lévő váll. szemben</t>
  </si>
  <si>
    <t>4.  Hátrasorolt kötelezettségek egyéb gazdálkodóval szemben</t>
  </si>
  <si>
    <t xml:space="preserve">  II. HOSSZÚ LEJÁRATÚ KÖTELEZETTSÉGEK (83.-91. sor)</t>
  </si>
  <si>
    <t>4.  Beruházási és fejlesztési hitelek</t>
  </si>
  <si>
    <t>5.  Egyéb hosszú lejáratú hitelek</t>
  </si>
  <si>
    <t xml:space="preserve">6. Tartós kötelezettségek kapcsolt vállalkozással szemben </t>
  </si>
  <si>
    <t>7. Tartós kötelezettségek jelentős tulajdoni részesedési viszonyban lévő vállalkozásokkal szemben</t>
  </si>
  <si>
    <t>8. Tartós kötelezettségek egyéb részesedési visonyban lévő váll.-kal szemben</t>
  </si>
  <si>
    <t>9. Egyéb hosszú lejáratú kötelezettségek</t>
  </si>
  <si>
    <t xml:space="preserve"> III. RÖVID LEJÁRATÚ KÖTELEZETTSÉGEK (93.-104. sorok)</t>
  </si>
  <si>
    <t xml:space="preserve">     - Ebből: az átváltoztatható kötvények</t>
  </si>
  <si>
    <t>3.  Vevőtől kapott előlegek</t>
  </si>
  <si>
    <t>4.  Kötelezettségek áruszállításból és szolgáltatásból (szállítók)</t>
  </si>
  <si>
    <t>5.  Váltótartozások</t>
  </si>
  <si>
    <t>6.  Rövid lejáratú kötelettségek kapcsolt vállalkozással szemben</t>
  </si>
  <si>
    <t>7.  Rövid lejáratú kötelettségek jelentős tulajdoni viszonyban lévő vállalkozással szemben</t>
  </si>
  <si>
    <t>8.  Rövid lejáratú kötelettségek egyéb részesedési viszonyban lévő vállalkozással szemben</t>
  </si>
  <si>
    <t>9.  Egyéb rövid lejáratú kötelezettségek</t>
  </si>
  <si>
    <t>10. Kötelezettségek értékelési különbözete</t>
  </si>
  <si>
    <t>11. Származékos ügyletek negatív értékelési különbözete</t>
  </si>
  <si>
    <t>G. Passzív időbeli elhatárolások (106.-107. sor)</t>
  </si>
  <si>
    <t>1.  Bevételek passzív időbeli elhatárolása</t>
  </si>
  <si>
    <t>2.  Költségek, ráfordítások passzív időbeli elhatárolása</t>
  </si>
  <si>
    <t>3.  Halasztott bevételek</t>
  </si>
  <si>
    <t>FORRÁSOK (PASSZÍVÁK) ÖSSZESEN (61.+72.+76.+105. sor)</t>
  </si>
  <si>
    <t xml:space="preserve">   15. Befektetett pénzügyi eszközökből (értékpapírokbó, kölcsönökből származó bevételek, árfolyamnyereségek</t>
  </si>
  <si>
    <t>4. Tartósan adott kölcsön jelentős tulajdoni részesedési viszonyban álló vállalkozásban</t>
  </si>
  <si>
    <t>Hulladékgazdálkodás</t>
  </si>
  <si>
    <t>Ingatlankezelés - Társasházi ingatlanok</t>
  </si>
  <si>
    <t>Ingatlankezelés - Önkormányzati ingatlanok</t>
  </si>
  <si>
    <t>Fizető 
parkolás</t>
  </si>
  <si>
    <t>Passzív létesítmény üzemeltetés - IVS ingatlanok</t>
  </si>
  <si>
    <t>Útépítés</t>
  </si>
  <si>
    <t>Csónakázó tó szökőkút üzemeltetése</t>
  </si>
  <si>
    <t>Ipari szolgáltatások</t>
  </si>
  <si>
    <t>Vagyonhasznosítás</t>
  </si>
  <si>
    <t>Egyéb műszaki tevékenységek</t>
  </si>
  <si>
    <t>Projektek</t>
  </si>
  <si>
    <t>Kiegészítő információk:</t>
  </si>
  <si>
    <t>11747006-20211226 bankszámla egyenlege 2016.12.31</t>
  </si>
  <si>
    <t>SZOVA Zrt. Kezelési díj követelése 2016.12.31</t>
  </si>
  <si>
    <t>Főkönyv szerint Ök-val szembeni tartozás</t>
  </si>
  <si>
    <t>Főkönyv szerinti hátralék</t>
  </si>
  <si>
    <t>Kezelési díj követelés ÖK-val szemben</t>
  </si>
  <si>
    <t>Pénzmaradvány</t>
  </si>
  <si>
    <t>üzleti terv</t>
  </si>
  <si>
    <t>tény</t>
  </si>
  <si>
    <t>Eltérés</t>
  </si>
  <si>
    <t>Összesen</t>
  </si>
  <si>
    <t>Befektetett eszközök fedezete % (61/1)</t>
  </si>
  <si>
    <t>Idegen tőke aránya % (76/109)</t>
  </si>
  <si>
    <t>Likviditás   % (29/92)</t>
  </si>
  <si>
    <t>Gyorsráta % (29-30)/92</t>
  </si>
  <si>
    <t>Forgótőke  29-92   (ezer Ft)</t>
  </si>
  <si>
    <t xml:space="preserve">Forgótőke szint % (62/29)  </t>
  </si>
  <si>
    <t>Össztőke megtérülés % (47+38)/109</t>
  </si>
  <si>
    <t>Üzemi eredm./Árbevétel % (22/3)</t>
  </si>
  <si>
    <t>Üzemi eredm./(árb+egyéb b.) % 22/(3+7)</t>
  </si>
  <si>
    <t>Fizetett kamatok/üzemi eredmény % (38/22)</t>
  </si>
  <si>
    <t>Ad. er./(árb+egyéb+p-ü-i bev)% (47/3+7+39+33)</t>
  </si>
  <si>
    <t>Adózás előtti eredm./főösszeg  % (47/109)</t>
  </si>
  <si>
    <t>Anyaghányad  % (14/3)</t>
  </si>
  <si>
    <t>Bérhányad   % (18/3)</t>
  </si>
  <si>
    <t>Készletek forgási sebessége (3/30)</t>
  </si>
  <si>
    <t>Eszköz forg.sebessége (3/60)</t>
  </si>
  <si>
    <t>Nettó eszközérték  ezer Ft (60-76)</t>
  </si>
  <si>
    <t>Üzleti érték  MFt (49+19)/75</t>
  </si>
  <si>
    <t>Üzl. érték "árfolyama"  % (77/62)</t>
  </si>
  <si>
    <t>Hulladékgazdálkodási igazgatóság</t>
  </si>
  <si>
    <t>Városüzemeltetési igazgatóság</t>
  </si>
  <si>
    <t>Műszaki 
igazgatóság</t>
  </si>
  <si>
    <t>Stratégiai 
igazgatóság</t>
  </si>
  <si>
    <t>EGYÉB</t>
  </si>
  <si>
    <t>FNOK</t>
  </si>
  <si>
    <t>ÖSSZESÍTÉS SZERVEZETI EGYSÉGENKÉNT</t>
  </si>
  <si>
    <t>megnevezés</t>
  </si>
  <si>
    <t>Csónakázó tó szökőkút üzemelteté</t>
  </si>
  <si>
    <t>Vagyon-
hasznosítás</t>
  </si>
  <si>
    <t>FEL NEM OSZTOTT KÖLTSÉGEK</t>
  </si>
  <si>
    <t>SZOVA Zrt. Összesen</t>
  </si>
  <si>
    <t>Hulladék-
gazdálkodási Igazgatóság</t>
  </si>
  <si>
    <t>Város-
üzemeltetési Igazgatóság</t>
  </si>
  <si>
    <t>Műszaki Igazgatóság</t>
  </si>
  <si>
    <t>Értékesítés árbevétele</t>
  </si>
  <si>
    <t>Egyéb bevételek</t>
  </si>
  <si>
    <t>Értékesítés árbevétele és egyéb bevételek össz.</t>
  </si>
  <si>
    <t>Költségek</t>
  </si>
  <si>
    <t>Közvetlen anyagköltség</t>
  </si>
  <si>
    <t>ELÁBÉ</t>
  </si>
  <si>
    <t>Közvetlen bérköltség</t>
  </si>
  <si>
    <t>Közvetlen bérek járuléka</t>
  </si>
  <si>
    <t>Értékcsökkenés</t>
  </si>
  <si>
    <t>Üzemeltetési és fenntartási költségek</t>
  </si>
  <si>
    <t>Egyéb közvetlen költség</t>
  </si>
  <si>
    <t>Üzemi általános költség</t>
  </si>
  <si>
    <t>Szűkített önköltség</t>
  </si>
  <si>
    <t>Ágazati eredmény</t>
  </si>
  <si>
    <t>Egyéb közvetett költségek - Egység</t>
  </si>
  <si>
    <t>Egyéb közvetett költségek - Zrt.</t>
  </si>
  <si>
    <t>Egyéb ráfordítások</t>
  </si>
  <si>
    <t>Üzemi tevékenység eredménye</t>
  </si>
  <si>
    <t>Pénzügyi műveletek bevételei</t>
  </si>
  <si>
    <t>Pénzügyi műveletek ráfordításai</t>
  </si>
  <si>
    <t>Pénzügyi műveletek eredménye</t>
  </si>
  <si>
    <t>Adózás előtti eredmény</t>
  </si>
  <si>
    <t>Érték-
becslés</t>
  </si>
  <si>
    <t>Ipari
 szolgáltatások</t>
  </si>
  <si>
    <t>Stratégiai Igazgatóság</t>
  </si>
  <si>
    <t>Műszaki igazgatóság</t>
  </si>
  <si>
    <t>Realizált árfolyamveszteség egyéb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</si>
</sst>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%"/>
    <numFmt numFmtId="166" formatCode="0.0"/>
    <numFmt numFmtId="167" formatCode="00."/>
    <numFmt numFmtId="168" formatCode="0."/>
    <numFmt numFmtId="169" formatCode="##."/>
    <numFmt numFmtId="170" formatCode="0&quot;.&quot;"/>
    <numFmt numFmtId="171" formatCode="#,##0.000"/>
  </numFmts>
  <fonts count="37" x14ac:knownFonts="1"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i/>
      <sz val="12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2"/>
      <name val="Arial CE"/>
      <charset val="238"/>
    </font>
    <font>
      <sz val="12"/>
      <color theme="1"/>
      <name val="Arial CE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0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i/>
      <sz val="11"/>
      <name val="Arial CE"/>
      <charset val="238"/>
    </font>
    <font>
      <sz val="12"/>
      <name val="Arial CE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 Narrow"/>
      <family val="2"/>
      <charset val="238"/>
    </font>
    <font>
      <u/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44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1" fontId="5" fillId="0" borderId="2" xfId="2" applyNumberFormat="1" applyFont="1" applyBorder="1" applyAlignment="1">
      <alignment horizontal="center" vertical="top"/>
    </xf>
    <xf numFmtId="0" fontId="5" fillId="0" borderId="13" xfId="2" applyFont="1" applyFill="1" applyBorder="1" applyAlignment="1">
      <alignment horizontal="left" vertical="top" indent="2"/>
    </xf>
    <xf numFmtId="9" fontId="5" fillId="0" borderId="22" xfId="2" applyNumberFormat="1" applyFont="1" applyFill="1" applyBorder="1" applyAlignment="1">
      <alignment vertical="top"/>
    </xf>
    <xf numFmtId="1" fontId="5" fillId="0" borderId="1" xfId="2" applyNumberFormat="1" applyFont="1" applyBorder="1" applyAlignment="1">
      <alignment horizontal="center" vertical="top"/>
    </xf>
    <xf numFmtId="0" fontId="5" fillId="0" borderId="14" xfId="2" applyFont="1" applyFill="1" applyBorder="1" applyAlignment="1">
      <alignment horizontal="left" vertical="top" indent="2"/>
    </xf>
    <xf numFmtId="1" fontId="5" fillId="0" borderId="3" xfId="2" applyNumberFormat="1" applyFont="1" applyBorder="1" applyAlignment="1">
      <alignment horizontal="center" vertical="top"/>
    </xf>
    <xf numFmtId="0" fontId="5" fillId="0" borderId="15" xfId="2" applyFont="1" applyFill="1" applyBorder="1" applyAlignment="1">
      <alignment horizontal="left" vertical="top" indent="2"/>
    </xf>
    <xf numFmtId="9" fontId="5" fillId="0" borderId="23" xfId="2" applyNumberFormat="1" applyFont="1" applyFill="1" applyBorder="1" applyAlignment="1">
      <alignment vertical="top"/>
    </xf>
    <xf numFmtId="9" fontId="5" fillId="0" borderId="25" xfId="2" applyNumberFormat="1" applyFont="1" applyFill="1" applyBorder="1" applyAlignment="1">
      <alignment vertical="top"/>
    </xf>
    <xf numFmtId="3" fontId="5" fillId="0" borderId="25" xfId="2" applyNumberFormat="1" applyFont="1" applyFill="1" applyBorder="1" applyAlignment="1">
      <alignment vertical="top"/>
    </xf>
    <xf numFmtId="0" fontId="5" fillId="0" borderId="14" xfId="2" applyFont="1" applyFill="1" applyBorder="1" applyAlignment="1">
      <alignment horizontal="left" vertical="top" wrapText="1" indent="2"/>
    </xf>
    <xf numFmtId="165" fontId="5" fillId="0" borderId="13" xfId="2" applyNumberFormat="1" applyFont="1" applyFill="1" applyBorder="1" applyAlignment="1">
      <alignment horizontal="left" vertical="top" indent="2"/>
    </xf>
    <xf numFmtId="165" fontId="5" fillId="0" borderId="14" xfId="2" applyNumberFormat="1" applyFont="1" applyFill="1" applyBorder="1" applyAlignment="1">
      <alignment horizontal="left" vertical="top" indent="2"/>
    </xf>
    <xf numFmtId="166" fontId="5" fillId="0" borderId="15" xfId="2" applyNumberFormat="1" applyFont="1" applyFill="1" applyBorder="1" applyAlignment="1">
      <alignment horizontal="left" vertical="top" indent="2"/>
    </xf>
    <xf numFmtId="164" fontId="5" fillId="0" borderId="23" xfId="2" applyNumberFormat="1" applyFont="1" applyFill="1" applyBorder="1" applyAlignment="1">
      <alignment vertical="top"/>
    </xf>
    <xf numFmtId="10" fontId="5" fillId="0" borderId="13" xfId="2" applyNumberFormat="1" applyFont="1" applyFill="1" applyBorder="1" applyAlignment="1">
      <alignment horizontal="left" vertical="top" indent="2"/>
    </xf>
    <xf numFmtId="10" fontId="5" fillId="0" borderId="14" xfId="2" applyNumberFormat="1" applyFont="1" applyFill="1" applyBorder="1" applyAlignment="1">
      <alignment horizontal="left" vertical="top" indent="2"/>
    </xf>
    <xf numFmtId="1" fontId="5" fillId="0" borderId="8" xfId="2" applyNumberFormat="1" applyFont="1" applyBorder="1" applyAlignment="1">
      <alignment horizontal="center" vertical="top"/>
    </xf>
    <xf numFmtId="0" fontId="5" fillId="0" borderId="26" xfId="2" applyFont="1" applyFill="1" applyBorder="1" applyAlignment="1">
      <alignment horizontal="left" vertical="top" indent="2"/>
    </xf>
    <xf numFmtId="9" fontId="5" fillId="0" borderId="27" xfId="2" applyNumberFormat="1" applyFont="1" applyFill="1" applyBorder="1" applyAlignment="1">
      <alignment vertical="top"/>
    </xf>
    <xf numFmtId="1" fontId="5" fillId="2" borderId="9" xfId="2" applyNumberFormat="1" applyFont="1" applyFill="1" applyBorder="1" applyAlignment="1">
      <alignment horizontal="center" vertical="top" wrapText="1"/>
    </xf>
    <xf numFmtId="0" fontId="5" fillId="2" borderId="28" xfId="2" applyFont="1" applyFill="1" applyBorder="1" applyAlignment="1">
      <alignment horizontal="center" vertical="top" wrapText="1"/>
    </xf>
    <xf numFmtId="0" fontId="9" fillId="2" borderId="29" xfId="2" applyFont="1" applyFill="1" applyBorder="1" applyAlignment="1">
      <alignment horizontal="center" vertical="top" wrapText="1"/>
    </xf>
    <xf numFmtId="3" fontId="0" fillId="0" borderId="0" xfId="0" applyNumberFormat="1"/>
    <xf numFmtId="164" fontId="5" fillId="0" borderId="25" xfId="2" applyNumberFormat="1" applyFont="1" applyFill="1" applyBorder="1" applyAlignment="1">
      <alignment vertical="top"/>
    </xf>
    <xf numFmtId="0" fontId="4" fillId="0" borderId="0" xfId="0" applyFont="1"/>
    <xf numFmtId="3" fontId="4" fillId="0" borderId="0" xfId="0" applyNumberFormat="1" applyFont="1"/>
    <xf numFmtId="0" fontId="9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2" fontId="5" fillId="0" borderId="0" xfId="1" applyNumberFormat="1" applyFont="1"/>
    <xf numFmtId="0" fontId="6" fillId="0" borderId="0" xfId="0" applyFont="1" applyFill="1" applyBorder="1" applyAlignment="1">
      <alignment vertical="center" wrapText="1"/>
    </xf>
    <xf numFmtId="167" fontId="7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/>
    <xf numFmtId="0" fontId="0" fillId="0" borderId="62" xfId="0" applyBorder="1"/>
    <xf numFmtId="0" fontId="0" fillId="0" borderId="63" xfId="0" applyBorder="1"/>
    <xf numFmtId="0" fontId="12" fillId="0" borderId="31" xfId="0" applyFont="1" applyBorder="1"/>
    <xf numFmtId="0" fontId="0" fillId="0" borderId="62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0" borderId="0" xfId="0" applyAlignment="1">
      <alignment horizontal="right"/>
    </xf>
    <xf numFmtId="0" fontId="14" fillId="0" borderId="67" xfId="0" applyFont="1" applyBorder="1" applyAlignment="1">
      <alignment horizontal="left" indent="2"/>
    </xf>
    <xf numFmtId="0" fontId="14" fillId="0" borderId="18" xfId="0" applyFont="1" applyBorder="1" applyAlignment="1">
      <alignment horizontal="left" indent="4"/>
    </xf>
    <xf numFmtId="0" fontId="15" fillId="0" borderId="68" xfId="0" applyFont="1" applyBorder="1" applyAlignment="1">
      <alignment horizontal="left" indent="2"/>
    </xf>
    <xf numFmtId="0" fontId="15" fillId="0" borderId="31" xfId="0" applyFont="1" applyBorder="1" applyAlignment="1">
      <alignment horizontal="left" indent="2"/>
    </xf>
    <xf numFmtId="0" fontId="0" fillId="0" borderId="33" xfId="0" applyBorder="1" applyAlignment="1">
      <alignment horizontal="center"/>
    </xf>
    <xf numFmtId="3" fontId="0" fillId="0" borderId="33" xfId="0" applyNumberFormat="1" applyFill="1" applyBorder="1"/>
    <xf numFmtId="3" fontId="0" fillId="0" borderId="6" xfId="0" applyNumberFormat="1" applyFill="1" applyBorder="1"/>
    <xf numFmtId="3" fontId="0" fillId="0" borderId="6" xfId="0" applyNumberFormat="1" applyBorder="1"/>
    <xf numFmtId="3" fontId="12" fillId="0" borderId="10" xfId="0" applyNumberFormat="1" applyFont="1" applyBorder="1"/>
    <xf numFmtId="3" fontId="12" fillId="0" borderId="10" xfId="0" applyNumberFormat="1" applyFont="1" applyFill="1" applyBorder="1"/>
    <xf numFmtId="0" fontId="14" fillId="0" borderId="35" xfId="0" applyFont="1" applyBorder="1"/>
    <xf numFmtId="3" fontId="14" fillId="0" borderId="6" xfId="0" applyNumberFormat="1" applyFont="1" applyBorder="1"/>
    <xf numFmtId="3" fontId="15" fillId="0" borderId="57" xfId="0" applyNumberFormat="1" applyFont="1" applyBorder="1"/>
    <xf numFmtId="3" fontId="15" fillId="0" borderId="10" xfId="0" applyNumberFormat="1" applyFont="1" applyBorder="1"/>
    <xf numFmtId="3" fontId="11" fillId="0" borderId="55" xfId="0" applyNumberFormat="1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7" fillId="0" borderId="44" xfId="1" applyFont="1" applyBorder="1" applyAlignment="1">
      <alignment vertical="center"/>
    </xf>
    <xf numFmtId="3" fontId="18" fillId="0" borderId="37" xfId="1" applyNumberFormat="1" applyFont="1" applyBorder="1"/>
    <xf numFmtId="3" fontId="18" fillId="0" borderId="38" xfId="1" applyNumberFormat="1" applyFont="1" applyBorder="1"/>
    <xf numFmtId="0" fontId="21" fillId="0" borderId="0" xfId="0" applyFont="1"/>
    <xf numFmtId="3" fontId="21" fillId="0" borderId="0" xfId="0" applyNumberFormat="1" applyFont="1"/>
    <xf numFmtId="0" fontId="11" fillId="0" borderId="56" xfId="0" applyFont="1" applyFill="1" applyBorder="1" applyAlignment="1">
      <alignment horizontal="center" vertical="center" wrapText="1"/>
    </xf>
    <xf numFmtId="0" fontId="5" fillId="4" borderId="19" xfId="2" applyFont="1" applyFill="1" applyBorder="1" applyAlignment="1">
      <alignment vertical="top"/>
    </xf>
    <xf numFmtId="1" fontId="9" fillId="4" borderId="20" xfId="2" applyNumberFormat="1" applyFont="1" applyFill="1" applyBorder="1" applyAlignment="1">
      <alignment horizontal="left" vertical="top"/>
    </xf>
    <xf numFmtId="0" fontId="9" fillId="4" borderId="21" xfId="2" applyFont="1" applyFill="1" applyBorder="1" applyAlignment="1">
      <alignment horizontal="centerContinuous" vertical="top"/>
    </xf>
    <xf numFmtId="0" fontId="5" fillId="4" borderId="5" xfId="2" applyFont="1" applyFill="1" applyBorder="1" applyAlignment="1">
      <alignment vertical="top"/>
    </xf>
    <xf numFmtId="1" fontId="9" fillId="4" borderId="11" xfId="2" applyNumberFormat="1" applyFont="1" applyFill="1" applyBorder="1" applyAlignment="1">
      <alignment horizontal="left" vertical="top"/>
    </xf>
    <xf numFmtId="9" fontId="9" fillId="4" borderId="24" xfId="2" applyNumberFormat="1" applyFont="1" applyFill="1" applyBorder="1" applyAlignment="1">
      <alignment horizontal="centerContinuous" vertical="top"/>
    </xf>
    <xf numFmtId="10" fontId="5" fillId="4" borderId="5" xfId="2" applyNumberFormat="1" applyFont="1" applyFill="1" applyBorder="1" applyAlignment="1">
      <alignment vertical="top"/>
    </xf>
    <xf numFmtId="0" fontId="22" fillId="0" borderId="66" xfId="0" applyFont="1" applyBorder="1" applyAlignment="1">
      <alignment horizontal="center"/>
    </xf>
    <xf numFmtId="0" fontId="9" fillId="0" borderId="0" xfId="1" applyFont="1" applyAlignment="1"/>
    <xf numFmtId="0" fontId="5" fillId="0" borderId="0" xfId="1" applyFont="1" applyAlignment="1"/>
    <xf numFmtId="3" fontId="11" fillId="0" borderId="0" xfId="0" applyNumberFormat="1" applyFont="1" applyAlignment="1">
      <alignment vertical="center"/>
    </xf>
    <xf numFmtId="169" fontId="13" fillId="3" borderId="9" xfId="0" applyNumberFormat="1" applyFont="1" applyFill="1" applyBorder="1" applyAlignment="1">
      <alignment horizontal="left" vertical="center"/>
    </xf>
    <xf numFmtId="168" fontId="13" fillId="3" borderId="30" xfId="0" applyNumberFormat="1" applyFont="1" applyFill="1" applyBorder="1" applyAlignment="1">
      <alignment horizontal="center" vertical="center"/>
    </xf>
    <xf numFmtId="168" fontId="13" fillId="3" borderId="49" xfId="0" applyNumberFormat="1" applyFont="1" applyFill="1" applyBorder="1" applyAlignment="1">
      <alignment horizontal="center" vertical="center"/>
    </xf>
    <xf numFmtId="3" fontId="16" fillId="3" borderId="10" xfId="0" applyNumberFormat="1" applyFont="1" applyFill="1" applyBorder="1" applyAlignment="1">
      <alignment vertical="center"/>
    </xf>
    <xf numFmtId="170" fontId="11" fillId="0" borderId="42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70" fontId="11" fillId="0" borderId="53" xfId="0" applyNumberFormat="1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3" fontId="11" fillId="0" borderId="55" xfId="0" applyNumberFormat="1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3" fontId="11" fillId="0" borderId="48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5" fillId="0" borderId="0" xfId="1" applyNumberFormat="1" applyFont="1" applyAlignment="1">
      <alignment horizontal="center"/>
    </xf>
    <xf numFmtId="3" fontId="18" fillId="0" borderId="44" xfId="1" applyNumberFormat="1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vertical="center" wrapText="1"/>
    </xf>
    <xf numFmtId="3" fontId="11" fillId="0" borderId="57" xfId="0" applyNumberFormat="1" applyFont="1" applyBorder="1" applyAlignment="1">
      <alignment vertical="center" wrapText="1"/>
    </xf>
    <xf numFmtId="3" fontId="11" fillId="0" borderId="6" xfId="0" applyNumberFormat="1" applyFont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11" fillId="0" borderId="61" xfId="0" applyNumberFormat="1" applyFont="1" applyFill="1" applyBorder="1" applyAlignment="1">
      <alignment vertical="center" wrapText="1"/>
    </xf>
    <xf numFmtId="0" fontId="17" fillId="0" borderId="72" xfId="1" applyFont="1" applyBorder="1" applyAlignment="1">
      <alignment vertical="center"/>
    </xf>
    <xf numFmtId="0" fontId="17" fillId="0" borderId="70" xfId="1" applyFont="1" applyBorder="1" applyAlignment="1">
      <alignment vertical="center"/>
    </xf>
    <xf numFmtId="0" fontId="19" fillId="0" borderId="41" xfId="1" applyFont="1" applyBorder="1" applyAlignment="1">
      <alignment vertical="center"/>
    </xf>
    <xf numFmtId="0" fontId="20" fillId="0" borderId="72" xfId="1" applyFont="1" applyBorder="1" applyAlignment="1">
      <alignment vertical="center"/>
    </xf>
    <xf numFmtId="0" fontId="17" fillId="0" borderId="72" xfId="1" applyFont="1" applyBorder="1" applyAlignment="1">
      <alignment horizontal="left" vertical="center"/>
    </xf>
    <xf numFmtId="49" fontId="23" fillId="3" borderId="38" xfId="1" applyNumberFormat="1" applyFont="1" applyFill="1" applyBorder="1" applyAlignment="1">
      <alignment horizontal="left" vertical="center"/>
    </xf>
    <xf numFmtId="0" fontId="20" fillId="0" borderId="38" xfId="1" applyFont="1" applyBorder="1" applyAlignment="1">
      <alignment vertical="center"/>
    </xf>
    <xf numFmtId="0" fontId="19" fillId="0" borderId="40" xfId="1" applyFont="1" applyBorder="1" applyAlignment="1">
      <alignment vertical="center"/>
    </xf>
    <xf numFmtId="0" fontId="17" fillId="0" borderId="38" xfId="1" applyFont="1" applyBorder="1" applyAlignment="1">
      <alignment vertical="center"/>
    </xf>
    <xf numFmtId="0" fontId="19" fillId="0" borderId="73" xfId="1" applyFont="1" applyBorder="1" applyAlignment="1">
      <alignment vertical="center"/>
    </xf>
    <xf numFmtId="0" fontId="24" fillId="0" borderId="64" xfId="1" applyFont="1" applyBorder="1" applyAlignment="1">
      <alignment vertical="center"/>
    </xf>
    <xf numFmtId="3" fontId="17" fillId="0" borderId="72" xfId="1" applyNumberFormat="1" applyFont="1" applyBorder="1" applyAlignment="1">
      <alignment vertical="center"/>
    </xf>
    <xf numFmtId="3" fontId="17" fillId="0" borderId="39" xfId="1" applyNumberFormat="1" applyFont="1" applyBorder="1" applyAlignment="1">
      <alignment vertical="center"/>
    </xf>
    <xf numFmtId="3" fontId="19" fillId="0" borderId="40" xfId="1" applyNumberFormat="1" applyFont="1" applyBorder="1" applyAlignment="1">
      <alignment vertical="center"/>
    </xf>
    <xf numFmtId="3" fontId="17" fillId="0" borderId="38" xfId="1" applyNumberFormat="1" applyFont="1" applyBorder="1" applyAlignment="1">
      <alignment vertical="center"/>
    </xf>
    <xf numFmtId="3" fontId="23" fillId="3" borderId="72" xfId="1" applyNumberFormat="1" applyFont="1" applyFill="1" applyBorder="1" applyAlignment="1">
      <alignment vertical="center"/>
    </xf>
    <xf numFmtId="3" fontId="20" fillId="0" borderId="39" xfId="1" applyNumberFormat="1" applyFont="1" applyBorder="1" applyAlignment="1">
      <alignment vertical="center"/>
    </xf>
    <xf numFmtId="3" fontId="19" fillId="0" borderId="41" xfId="1" applyNumberFormat="1" applyFont="1" applyBorder="1" applyAlignment="1">
      <alignment vertical="center"/>
    </xf>
    <xf numFmtId="3" fontId="23" fillId="3" borderId="38" xfId="1" applyNumberFormat="1" applyFont="1" applyFill="1" applyBorder="1" applyAlignment="1">
      <alignment vertical="center"/>
    </xf>
    <xf numFmtId="3" fontId="17" fillId="0" borderId="41" xfId="1" applyNumberFormat="1" applyFont="1" applyBorder="1" applyAlignment="1">
      <alignment vertical="center"/>
    </xf>
    <xf numFmtId="3" fontId="23" fillId="3" borderId="70" xfId="1" applyNumberFormat="1" applyFont="1" applyFill="1" applyBorder="1" applyAlignment="1">
      <alignment vertical="center"/>
    </xf>
    <xf numFmtId="3" fontId="19" fillId="0" borderId="38" xfId="1" applyNumberFormat="1" applyFont="1" applyBorder="1" applyAlignment="1">
      <alignment vertical="center"/>
    </xf>
    <xf numFmtId="3" fontId="24" fillId="0" borderId="64" xfId="1" applyNumberFormat="1" applyFont="1" applyBorder="1" applyAlignment="1">
      <alignment vertical="center"/>
    </xf>
    <xf numFmtId="3" fontId="17" fillId="0" borderId="44" xfId="1" applyNumberFormat="1" applyFont="1" applyBorder="1" applyAlignment="1">
      <alignment vertical="center"/>
    </xf>
    <xf numFmtId="10" fontId="5" fillId="0" borderId="0" xfId="1" applyNumberFormat="1" applyFont="1" applyAlignment="1">
      <alignment horizontal="right"/>
    </xf>
    <xf numFmtId="10" fontId="5" fillId="0" borderId="0" xfId="1" applyNumberFormat="1" applyFont="1"/>
    <xf numFmtId="10" fontId="5" fillId="0" borderId="0" xfId="1" applyNumberFormat="1" applyFont="1" applyAlignment="1">
      <alignment horizontal="center"/>
    </xf>
    <xf numFmtId="10" fontId="18" fillId="0" borderId="44" xfId="1" applyNumberFormat="1" applyFont="1" applyBorder="1" applyAlignment="1">
      <alignment horizontal="center" vertical="center" wrapText="1"/>
    </xf>
    <xf numFmtId="10" fontId="18" fillId="0" borderId="37" xfId="1" applyNumberFormat="1" applyFont="1" applyBorder="1"/>
    <xf numFmtId="10" fontId="18" fillId="0" borderId="38" xfId="1" applyNumberFormat="1" applyFont="1" applyBorder="1"/>
    <xf numFmtId="10" fontId="17" fillId="0" borderId="72" xfId="1" applyNumberFormat="1" applyFont="1" applyBorder="1" applyAlignment="1">
      <alignment vertical="center"/>
    </xf>
    <xf numFmtId="10" fontId="17" fillId="0" borderId="39" xfId="1" applyNumberFormat="1" applyFont="1" applyBorder="1" applyAlignment="1">
      <alignment vertical="center"/>
    </xf>
    <xf numFmtId="10" fontId="19" fillId="0" borderId="40" xfId="1" applyNumberFormat="1" applyFont="1" applyBorder="1" applyAlignment="1">
      <alignment vertical="center"/>
    </xf>
    <xf numFmtId="10" fontId="17" fillId="0" borderId="38" xfId="1" applyNumberFormat="1" applyFont="1" applyBorder="1" applyAlignment="1">
      <alignment vertical="center"/>
    </xf>
    <xf numFmtId="10" fontId="23" fillId="3" borderId="72" xfId="1" applyNumberFormat="1" applyFont="1" applyFill="1" applyBorder="1" applyAlignment="1">
      <alignment vertical="center"/>
    </xf>
    <xf numFmtId="10" fontId="20" fillId="0" borderId="39" xfId="1" applyNumberFormat="1" applyFont="1" applyBorder="1" applyAlignment="1">
      <alignment vertical="center"/>
    </xf>
    <xf numFmtId="10" fontId="19" fillId="0" borderId="41" xfId="1" applyNumberFormat="1" applyFont="1" applyBorder="1" applyAlignment="1">
      <alignment vertical="center"/>
    </xf>
    <xf numFmtId="10" fontId="23" fillId="3" borderId="38" xfId="1" applyNumberFormat="1" applyFont="1" applyFill="1" applyBorder="1" applyAlignment="1">
      <alignment vertical="center"/>
    </xf>
    <xf numFmtId="10" fontId="17" fillId="0" borderId="41" xfId="1" applyNumberFormat="1" applyFont="1" applyBorder="1" applyAlignment="1">
      <alignment vertical="center"/>
    </xf>
    <xf numFmtId="10" fontId="23" fillId="3" borderId="70" xfId="1" applyNumberFormat="1" applyFont="1" applyFill="1" applyBorder="1" applyAlignment="1">
      <alignment vertical="center"/>
    </xf>
    <xf numFmtId="10" fontId="19" fillId="0" borderId="38" xfId="1" applyNumberFormat="1" applyFont="1" applyBorder="1" applyAlignment="1">
      <alignment vertical="center"/>
    </xf>
    <xf numFmtId="10" fontId="24" fillId="0" borderId="64" xfId="1" applyNumberFormat="1" applyFont="1" applyBorder="1" applyAlignment="1">
      <alignment vertical="center"/>
    </xf>
    <xf numFmtId="10" fontId="17" fillId="0" borderId="44" xfId="1" applyNumberFormat="1" applyFont="1" applyBorder="1" applyAlignment="1">
      <alignment vertical="center"/>
    </xf>
    <xf numFmtId="10" fontId="0" fillId="0" borderId="0" xfId="3" applyNumberFormat="1" applyFont="1"/>
    <xf numFmtId="169" fontId="13" fillId="3" borderId="65" xfId="0" applyNumberFormat="1" applyFont="1" applyFill="1" applyBorder="1" applyAlignment="1">
      <alignment horizontal="left" vertical="center"/>
    </xf>
    <xf numFmtId="168" fontId="13" fillId="3" borderId="69" xfId="0" applyNumberFormat="1" applyFont="1" applyFill="1" applyBorder="1" applyAlignment="1">
      <alignment horizontal="center" vertical="center"/>
    </xf>
    <xf numFmtId="168" fontId="13" fillId="3" borderId="71" xfId="0" applyNumberFormat="1" applyFont="1" applyFill="1" applyBorder="1" applyAlignment="1">
      <alignment horizontal="center" vertical="center"/>
    </xf>
    <xf numFmtId="0" fontId="1" fillId="0" borderId="55" xfId="4" applyFont="1" applyBorder="1" applyAlignment="1">
      <alignment horizontal="center" vertical="center" wrapText="1"/>
    </xf>
    <xf numFmtId="0" fontId="1" fillId="0" borderId="12" xfId="4" applyFont="1" applyBorder="1" applyAlignment="1">
      <alignment horizontal="center" vertical="center" wrapText="1"/>
    </xf>
    <xf numFmtId="0" fontId="1" fillId="0" borderId="74" xfId="4" applyFont="1" applyBorder="1" applyAlignment="1">
      <alignment horizontal="center" vertical="center" wrapText="1"/>
    </xf>
    <xf numFmtId="49" fontId="1" fillId="0" borderId="55" xfId="4" applyNumberFormat="1" applyFont="1" applyFill="1" applyBorder="1" applyAlignment="1">
      <alignment horizontal="center" vertical="center" wrapText="1"/>
    </xf>
    <xf numFmtId="3" fontId="16" fillId="3" borderId="1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25" fillId="0" borderId="56" xfId="4" applyFont="1" applyBorder="1" applyAlignment="1">
      <alignment horizontal="center" vertical="center" wrapText="1"/>
    </xf>
    <xf numFmtId="0" fontId="25" fillId="0" borderId="74" xfId="4" applyFont="1" applyBorder="1" applyAlignment="1">
      <alignment horizontal="center" vertical="center" wrapText="1"/>
    </xf>
    <xf numFmtId="0" fontId="25" fillId="0" borderId="55" xfId="4" applyFont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7" fillId="0" borderId="32" xfId="0" applyFont="1" applyFill="1" applyBorder="1" applyAlignment="1" applyProtection="1">
      <alignment horizontal="centerContinuous" vertical="center" wrapText="1"/>
      <protection locked="0"/>
    </xf>
    <xf numFmtId="0" fontId="28" fillId="0" borderId="53" xfId="0" applyFont="1" applyFill="1" applyBorder="1" applyAlignment="1" applyProtection="1">
      <alignment horizontal="center"/>
      <protection locked="0"/>
    </xf>
    <xf numFmtId="0" fontId="27" fillId="0" borderId="53" xfId="0" applyFont="1" applyFill="1" applyBorder="1" applyAlignment="1" applyProtection="1">
      <alignment horizontal="center"/>
      <protection locked="0"/>
    </xf>
    <xf numFmtId="0" fontId="28" fillId="0" borderId="58" xfId="0" applyFont="1" applyFill="1" applyBorder="1" applyAlignment="1" applyProtection="1">
      <alignment horizontal="center"/>
      <protection locked="0"/>
    </xf>
    <xf numFmtId="0" fontId="28" fillId="5" borderId="5" xfId="0" applyFont="1" applyFill="1" applyBorder="1" applyAlignment="1" applyProtection="1">
      <alignment horizontal="centerContinuous" vertical="center" wrapText="1"/>
      <protection locked="0"/>
    </xf>
    <xf numFmtId="0" fontId="28" fillId="0" borderId="7" xfId="0" applyFont="1" applyFill="1" applyBorder="1" applyAlignment="1" applyProtection="1">
      <alignment horizontal="centerContinuous" vertical="center" wrapText="1"/>
      <protection locked="0"/>
    </xf>
    <xf numFmtId="0" fontId="28" fillId="0" borderId="53" xfId="0" applyFont="1" applyFill="1" applyBorder="1" applyAlignment="1" applyProtection="1">
      <alignment horizontal="center" vertical="center"/>
      <protection locked="0"/>
    </xf>
    <xf numFmtId="0" fontId="28" fillId="5" borderId="87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3" fontId="28" fillId="0" borderId="41" xfId="0" applyNumberFormat="1" applyFont="1" applyFill="1" applyBorder="1" applyAlignment="1" applyProtection="1">
      <alignment vertical="center"/>
      <protection locked="0"/>
    </xf>
    <xf numFmtId="9" fontId="28" fillId="0" borderId="41" xfId="3" applyFont="1" applyFill="1" applyBorder="1" applyAlignment="1" applyProtection="1">
      <alignment vertical="center"/>
      <protection locked="0"/>
    </xf>
    <xf numFmtId="3" fontId="27" fillId="0" borderId="72" xfId="0" applyNumberFormat="1" applyFont="1" applyFill="1" applyBorder="1" applyAlignment="1" applyProtection="1">
      <alignment vertical="center"/>
    </xf>
    <xf numFmtId="9" fontId="27" fillId="0" borderId="72" xfId="3" applyFont="1" applyFill="1" applyBorder="1" applyAlignment="1" applyProtection="1">
      <alignment vertical="center"/>
    </xf>
    <xf numFmtId="3" fontId="28" fillId="0" borderId="72" xfId="0" applyNumberFormat="1" applyFont="1" applyFill="1" applyBorder="1" applyAlignment="1" applyProtection="1">
      <alignment vertical="center"/>
      <protection locked="0"/>
    </xf>
    <xf numFmtId="9" fontId="28" fillId="0" borderId="72" xfId="3" applyFont="1" applyFill="1" applyBorder="1" applyAlignment="1" applyProtection="1">
      <alignment vertical="center"/>
      <protection locked="0"/>
    </xf>
    <xf numFmtId="3" fontId="27" fillId="0" borderId="72" xfId="0" applyNumberFormat="1" applyFont="1" applyFill="1" applyBorder="1" applyAlignment="1" applyProtection="1">
      <alignment vertical="center"/>
      <protection locked="0"/>
    </xf>
    <xf numFmtId="9" fontId="27" fillId="0" borderId="72" xfId="3" applyFont="1" applyFill="1" applyBorder="1" applyAlignment="1" applyProtection="1">
      <alignment vertical="center"/>
      <protection locked="0"/>
    </xf>
    <xf numFmtId="0" fontId="26" fillId="0" borderId="0" xfId="0" applyFont="1" applyFill="1"/>
    <xf numFmtId="3" fontId="28" fillId="0" borderId="91" xfId="0" applyNumberFormat="1" applyFont="1" applyFill="1" applyBorder="1" applyAlignment="1" applyProtection="1">
      <alignment vertical="center"/>
      <protection locked="0"/>
    </xf>
    <xf numFmtId="9" fontId="28" fillId="0" borderId="91" xfId="3" applyFont="1" applyFill="1" applyBorder="1" applyAlignment="1" applyProtection="1">
      <alignment vertical="center"/>
      <protection locked="0"/>
    </xf>
    <xf numFmtId="3" fontId="27" fillId="5" borderId="44" xfId="0" applyNumberFormat="1" applyFont="1" applyFill="1" applyBorder="1" applyAlignment="1" applyProtection="1">
      <alignment vertical="center"/>
    </xf>
    <xf numFmtId="9" fontId="27" fillId="5" borderId="44" xfId="3" applyFont="1" applyFill="1" applyBorder="1" applyAlignment="1" applyProtection="1">
      <alignment vertical="center"/>
    </xf>
    <xf numFmtId="3" fontId="28" fillId="0" borderId="73" xfId="0" applyNumberFormat="1" applyFont="1" applyFill="1" applyBorder="1" applyAlignment="1" applyProtection="1">
      <alignment vertical="center"/>
      <protection locked="0"/>
    </xf>
    <xf numFmtId="9" fontId="28" fillId="0" borderId="73" xfId="3" applyFont="1" applyFill="1" applyBorder="1" applyAlignment="1" applyProtection="1">
      <alignment vertical="center"/>
      <protection locked="0"/>
    </xf>
    <xf numFmtId="3" fontId="28" fillId="0" borderId="38" xfId="0" applyNumberFormat="1" applyFont="1" applyFill="1" applyBorder="1" applyAlignment="1" applyProtection="1">
      <alignment vertical="center"/>
      <protection locked="0"/>
    </xf>
    <xf numFmtId="9" fontId="28" fillId="0" borderId="38" xfId="3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/>
    <xf numFmtId="0" fontId="28" fillId="0" borderId="58" xfId="0" applyFont="1" applyFill="1" applyBorder="1" applyAlignment="1" applyProtection="1">
      <alignment horizontal="center" vertical="center"/>
      <protection locked="0"/>
    </xf>
    <xf numFmtId="3" fontId="27" fillId="0" borderId="91" xfId="0" applyNumberFormat="1" applyFont="1" applyFill="1" applyBorder="1" applyAlignment="1" applyProtection="1">
      <alignment vertical="center"/>
    </xf>
    <xf numFmtId="9" fontId="27" fillId="0" borderId="91" xfId="3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/>
      <protection locked="0"/>
    </xf>
    <xf numFmtId="3" fontId="27" fillId="0" borderId="41" xfId="0" applyNumberFormat="1" applyFont="1" applyFill="1" applyBorder="1" applyAlignment="1" applyProtection="1">
      <alignment vertical="center"/>
    </xf>
    <xf numFmtId="9" fontId="27" fillId="0" borderId="41" xfId="3" applyFont="1" applyFill="1" applyBorder="1" applyAlignment="1" applyProtection="1">
      <alignment vertical="center"/>
    </xf>
    <xf numFmtId="0" fontId="28" fillId="5" borderId="9" xfId="0" applyFont="1" applyFill="1" applyBorder="1" applyAlignment="1" applyProtection="1">
      <alignment horizontal="center" vertical="center"/>
      <protection locked="0"/>
    </xf>
    <xf numFmtId="3" fontId="27" fillId="5" borderId="64" xfId="0" applyNumberFormat="1" applyFont="1" applyFill="1" applyBorder="1" applyAlignment="1" applyProtection="1">
      <alignment vertical="center"/>
    </xf>
    <xf numFmtId="9" fontId="27" fillId="5" borderId="64" xfId="3" applyFont="1" applyFill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vertical="center"/>
    </xf>
    <xf numFmtId="3" fontId="29" fillId="0" borderId="40" xfId="0" applyNumberFormat="1" applyFont="1" applyFill="1" applyBorder="1" applyAlignment="1">
      <alignment horizontal="center" vertical="center" wrapText="1"/>
    </xf>
    <xf numFmtId="9" fontId="29" fillId="0" borderId="40" xfId="3" applyFont="1" applyFill="1" applyBorder="1" applyAlignment="1">
      <alignment horizontal="center" vertical="center" wrapText="1"/>
    </xf>
    <xf numFmtId="3" fontId="0" fillId="0" borderId="0" xfId="3" applyNumberFormat="1" applyFont="1"/>
    <xf numFmtId="0" fontId="28" fillId="0" borderId="2" xfId="0" applyFont="1" applyFill="1" applyBorder="1" applyAlignment="1" applyProtection="1">
      <alignment horizontal="centerContinuous" vertical="center" wrapText="1"/>
      <protection locked="0"/>
    </xf>
    <xf numFmtId="0" fontId="28" fillId="0" borderId="50" xfId="0" applyFont="1" applyFill="1" applyBorder="1" applyAlignment="1" applyProtection="1">
      <alignment horizontal="center" vertical="center"/>
      <protection locked="0"/>
    </xf>
    <xf numFmtId="3" fontId="29" fillId="0" borderId="93" xfId="0" applyNumberFormat="1" applyFont="1" applyFill="1" applyBorder="1" applyAlignment="1">
      <alignment horizontal="center" vertical="center"/>
    </xf>
    <xf numFmtId="9" fontId="30" fillId="0" borderId="93" xfId="3" applyFont="1" applyFill="1" applyBorder="1" applyAlignment="1">
      <alignment horizontal="center" vertical="center" wrapText="1"/>
    </xf>
    <xf numFmtId="0" fontId="27" fillId="6" borderId="76" xfId="4" applyFont="1" applyFill="1" applyBorder="1" applyAlignment="1" applyProtection="1">
      <alignment horizontal="centerContinuous" vertical="center" wrapText="1"/>
      <protection locked="0"/>
    </xf>
    <xf numFmtId="0" fontId="27" fillId="6" borderId="94" xfId="4" applyFont="1" applyFill="1" applyBorder="1" applyAlignment="1" applyProtection="1">
      <alignment horizontal="centerContinuous" vertical="center"/>
      <protection locked="0"/>
    </xf>
    <xf numFmtId="0" fontId="28" fillId="6" borderId="80" xfId="4" applyFont="1" applyFill="1" applyBorder="1" applyAlignment="1" applyProtection="1">
      <alignment horizontal="center"/>
      <protection locked="0"/>
    </xf>
    <xf numFmtId="0" fontId="28" fillId="6" borderId="15" xfId="4" applyFont="1" applyFill="1" applyBorder="1" applyAlignment="1" applyProtection="1">
      <alignment horizontal="center"/>
      <protection locked="0"/>
    </xf>
    <xf numFmtId="0" fontId="28" fillId="6" borderId="95" xfId="4" applyFont="1" applyFill="1" applyBorder="1" applyAlignment="1" applyProtection="1">
      <alignment horizontal="center" vertical="center"/>
      <protection locked="0"/>
    </xf>
    <xf numFmtId="3" fontId="31" fillId="7" borderId="11" xfId="4" applyNumberFormat="1" applyFont="1" applyFill="1" applyBorder="1" applyAlignment="1" applyProtection="1">
      <alignment vertical="center"/>
    </xf>
    <xf numFmtId="0" fontId="28" fillId="6" borderId="96" xfId="4" applyFont="1" applyFill="1" applyBorder="1" applyAlignment="1" applyProtection="1">
      <alignment horizontal="center" vertical="center"/>
      <protection locked="0"/>
    </xf>
    <xf numFmtId="3" fontId="28" fillId="7" borderId="13" xfId="4" applyNumberFormat="1" applyFont="1" applyFill="1" applyBorder="1" applyAlignment="1" applyProtection="1">
      <alignment vertical="center"/>
    </xf>
    <xf numFmtId="0" fontId="28" fillId="6" borderId="79" xfId="4" applyFont="1" applyFill="1" applyBorder="1" applyAlignment="1" applyProtection="1">
      <alignment horizontal="center" vertical="center"/>
      <protection locked="0"/>
    </xf>
    <xf numFmtId="3" fontId="28" fillId="9" borderId="14" xfId="4" applyNumberFormat="1" applyFont="1" applyFill="1" applyBorder="1" applyAlignment="1" applyProtection="1">
      <alignment vertical="center"/>
      <protection locked="0"/>
    </xf>
    <xf numFmtId="3" fontId="27" fillId="7" borderId="14" xfId="4" applyNumberFormat="1" applyFont="1" applyFill="1" applyBorder="1" applyAlignment="1" applyProtection="1">
      <alignment vertical="center"/>
    </xf>
    <xf numFmtId="3" fontId="28" fillId="9" borderId="15" xfId="4" applyNumberFormat="1" applyFont="1" applyFill="1" applyBorder="1" applyAlignment="1" applyProtection="1">
      <alignment vertical="center"/>
      <protection locked="0"/>
    </xf>
    <xf numFmtId="3" fontId="28" fillId="9" borderId="13" xfId="4" applyNumberFormat="1" applyFont="1" applyFill="1" applyBorder="1" applyAlignment="1" applyProtection="1">
      <alignment vertical="center"/>
      <protection locked="0"/>
    </xf>
    <xf numFmtId="0" fontId="28" fillId="6" borderId="97" xfId="4" applyFont="1" applyFill="1" applyBorder="1" applyAlignment="1" applyProtection="1">
      <alignment horizontal="center" vertical="center"/>
      <protection locked="0"/>
    </xf>
    <xf numFmtId="3" fontId="28" fillId="9" borderId="99" xfId="4" applyNumberFormat="1" applyFont="1" applyFill="1" applyBorder="1" applyAlignment="1" applyProtection="1">
      <alignment vertical="center"/>
      <protection locked="0"/>
    </xf>
    <xf numFmtId="0" fontId="28" fillId="6" borderId="82" xfId="4" applyFont="1" applyFill="1" applyBorder="1" applyAlignment="1" applyProtection="1">
      <alignment horizontal="center" vertical="center"/>
      <protection locked="0"/>
    </xf>
    <xf numFmtId="3" fontId="27" fillId="7" borderId="100" xfId="4" applyNumberFormat="1" applyFont="1" applyFill="1" applyBorder="1" applyAlignment="1" applyProtection="1">
      <alignment vertical="center"/>
      <protection locked="0"/>
    </xf>
    <xf numFmtId="3" fontId="27" fillId="7" borderId="101" xfId="4" applyNumberFormat="1" applyFont="1" applyFill="1" applyBorder="1" applyAlignment="1" applyProtection="1">
      <alignment vertical="center"/>
    </xf>
    <xf numFmtId="0" fontId="28" fillId="6" borderId="56" xfId="4" applyFont="1" applyFill="1" applyBorder="1" applyAlignment="1" applyProtection="1">
      <alignment vertical="center" wrapText="1"/>
      <protection locked="0"/>
    </xf>
    <xf numFmtId="0" fontId="28" fillId="6" borderId="80" xfId="4" applyFont="1" applyFill="1" applyBorder="1" applyAlignment="1" applyProtection="1">
      <alignment horizontal="center" vertical="center"/>
      <protection locked="0"/>
    </xf>
    <xf numFmtId="3" fontId="27" fillId="7" borderId="11" xfId="4" applyNumberFormat="1" applyFont="1" applyFill="1" applyBorder="1" applyAlignment="1" applyProtection="1">
      <alignment vertical="center"/>
    </xf>
    <xf numFmtId="3" fontId="27" fillId="7" borderId="100" xfId="4" applyNumberFormat="1" applyFont="1" applyFill="1" applyBorder="1" applyAlignment="1" applyProtection="1">
      <alignment vertical="center"/>
    </xf>
    <xf numFmtId="0" fontId="28" fillId="6" borderId="103" xfId="4" applyFont="1" applyFill="1" applyBorder="1" applyAlignment="1" applyProtection="1">
      <alignment horizontal="center" vertical="center"/>
      <protection locked="0"/>
    </xf>
    <xf numFmtId="0" fontId="28" fillId="8" borderId="79" xfId="4" applyFont="1" applyFill="1" applyBorder="1" applyAlignment="1" applyProtection="1">
      <alignment horizontal="center" vertical="center"/>
      <protection locked="0"/>
    </xf>
    <xf numFmtId="3" fontId="28" fillId="7" borderId="14" xfId="4" applyNumberFormat="1" applyFont="1" applyFill="1" applyBorder="1" applyAlignment="1" applyProtection="1">
      <alignment vertical="center"/>
      <protection locked="0"/>
    </xf>
    <xf numFmtId="3" fontId="27" fillId="7" borderId="13" xfId="4" applyNumberFormat="1" applyFont="1" applyFill="1" applyBorder="1" applyAlignment="1" applyProtection="1"/>
    <xf numFmtId="3" fontId="28" fillId="6" borderId="14" xfId="4" applyNumberFormat="1" applyFont="1" applyFill="1" applyBorder="1" applyAlignment="1" applyProtection="1">
      <alignment vertical="center"/>
      <protection locked="0"/>
    </xf>
    <xf numFmtId="0" fontId="28" fillId="6" borderId="90" xfId="4" applyFont="1" applyFill="1" applyBorder="1" applyAlignment="1" applyProtection="1">
      <alignment horizontal="center" vertical="center"/>
      <protection locked="0"/>
    </xf>
    <xf numFmtId="3" fontId="28" fillId="6" borderId="99" xfId="4" applyNumberFormat="1" applyFont="1" applyFill="1" applyBorder="1" applyAlignment="1" applyProtection="1">
      <alignment vertical="center"/>
      <protection locked="0"/>
    </xf>
    <xf numFmtId="0" fontId="28" fillId="6" borderId="97" xfId="4" applyFont="1" applyFill="1" applyBorder="1" applyAlignment="1" applyProtection="1">
      <alignment horizontal="center"/>
      <protection locked="0"/>
    </xf>
    <xf numFmtId="0" fontId="28" fillId="6" borderId="76" xfId="4" applyFont="1" applyFill="1" applyBorder="1" applyAlignment="1" applyProtection="1">
      <alignment horizontal="center" vertical="center"/>
      <protection locked="0"/>
    </xf>
    <xf numFmtId="3" fontId="27" fillId="7" borderId="94" xfId="4" applyNumberFormat="1" applyFont="1" applyFill="1" applyBorder="1" applyAlignment="1" applyProtection="1">
      <alignment vertical="center"/>
    </xf>
    <xf numFmtId="0" fontId="27" fillId="6" borderId="78" xfId="4" applyFont="1" applyFill="1" applyBorder="1" applyAlignment="1" applyProtection="1">
      <alignment horizontal="center" vertical="center"/>
      <protection locked="0"/>
    </xf>
    <xf numFmtId="0" fontId="28" fillId="6" borderId="81" xfId="4" applyFont="1" applyFill="1" applyBorder="1" applyAlignment="1" applyProtection="1">
      <alignment horizontal="center"/>
      <protection locked="0"/>
    </xf>
    <xf numFmtId="0" fontId="27" fillId="6" borderId="84" xfId="4" applyFont="1" applyFill="1" applyBorder="1" applyAlignment="1" applyProtection="1">
      <alignment vertical="center" wrapText="1"/>
      <protection locked="0"/>
    </xf>
    <xf numFmtId="0" fontId="27" fillId="6" borderId="74" xfId="4" applyFont="1" applyFill="1" applyBorder="1" applyAlignment="1" applyProtection="1">
      <alignment vertical="center" wrapText="1"/>
      <protection locked="0"/>
    </xf>
    <xf numFmtId="0" fontId="27" fillId="6" borderId="56" xfId="4" applyFont="1" applyFill="1" applyBorder="1" applyAlignment="1" applyProtection="1">
      <alignment vertical="center" wrapText="1"/>
      <protection locked="0"/>
    </xf>
    <xf numFmtId="0" fontId="28" fillId="6" borderId="98" xfId="4" applyFont="1" applyFill="1" applyBorder="1" applyAlignment="1" applyProtection="1">
      <alignment vertical="center" wrapText="1"/>
      <protection locked="0"/>
    </xf>
    <xf numFmtId="0" fontId="27" fillId="8" borderId="74" xfId="4" applyFont="1" applyFill="1" applyBorder="1" applyAlignment="1" applyProtection="1">
      <alignment vertical="center" wrapText="1"/>
      <protection locked="0"/>
    </xf>
    <xf numFmtId="0" fontId="27" fillId="8" borderId="56" xfId="4" applyFont="1" applyFill="1" applyBorder="1" applyAlignment="1" applyProtection="1">
      <alignment vertical="center" wrapText="1"/>
      <protection locked="0"/>
    </xf>
    <xf numFmtId="0" fontId="27" fillId="0" borderId="56" xfId="4" applyFont="1" applyFill="1" applyBorder="1" applyAlignment="1" applyProtection="1">
      <alignment vertical="center" wrapText="1"/>
      <protection locked="0"/>
    </xf>
    <xf numFmtId="0" fontId="28" fillId="6" borderId="81" xfId="4" applyFont="1" applyFill="1" applyBorder="1" applyAlignment="1" applyProtection="1">
      <alignment vertical="center" wrapText="1"/>
      <protection locked="0"/>
    </xf>
    <xf numFmtId="0" fontId="28" fillId="6" borderId="74" xfId="4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7" fillId="6" borderId="76" xfId="4" applyFont="1" applyFill="1" applyBorder="1" applyAlignment="1" applyProtection="1">
      <alignment horizontal="centerContinuous" vertical="center"/>
      <protection locked="0"/>
    </xf>
    <xf numFmtId="0" fontId="27" fillId="6" borderId="104" xfId="4" applyFont="1" applyFill="1" applyBorder="1" applyAlignment="1" applyProtection="1">
      <alignment horizontal="centerContinuous" vertical="center"/>
      <protection locked="0"/>
    </xf>
    <xf numFmtId="0" fontId="28" fillId="6" borderId="105" xfId="4" applyFont="1" applyFill="1" applyBorder="1" applyAlignment="1" applyProtection="1">
      <alignment horizontal="center"/>
      <protection locked="0"/>
    </xf>
    <xf numFmtId="3" fontId="27" fillId="7" borderId="44" xfId="4" applyNumberFormat="1" applyFont="1" applyFill="1" applyBorder="1" applyAlignment="1" applyProtection="1">
      <alignment vertical="center"/>
    </xf>
    <xf numFmtId="3" fontId="28" fillId="9" borderId="106" xfId="4" applyNumberFormat="1" applyFont="1" applyFill="1" applyBorder="1" applyAlignment="1" applyProtection="1">
      <alignment vertical="center"/>
      <protection locked="0"/>
    </xf>
    <xf numFmtId="3" fontId="28" fillId="9" borderId="107" xfId="4" applyNumberFormat="1" applyFont="1" applyFill="1" applyBorder="1" applyAlignment="1" applyProtection="1">
      <alignment vertical="center"/>
      <protection locked="0"/>
    </xf>
    <xf numFmtId="3" fontId="28" fillId="7" borderId="107" xfId="4" applyNumberFormat="1" applyFont="1" applyFill="1" applyBorder="1" applyAlignment="1" applyProtection="1">
      <alignment vertical="center"/>
      <protection locked="0"/>
    </xf>
    <xf numFmtId="3" fontId="28" fillId="9" borderId="108" xfId="4" applyNumberFormat="1" applyFont="1" applyFill="1" applyBorder="1" applyAlignment="1" applyProtection="1">
      <alignment vertical="center"/>
      <protection locked="0"/>
    </xf>
    <xf numFmtId="3" fontId="27" fillId="7" borderId="95" xfId="4" applyNumberFormat="1" applyFont="1" applyFill="1" applyBorder="1" applyAlignment="1" applyProtection="1">
      <alignment vertical="center"/>
    </xf>
    <xf numFmtId="3" fontId="27" fillId="7" borderId="106" xfId="4" applyNumberFormat="1" applyFont="1" applyFill="1" applyBorder="1" applyAlignment="1" applyProtection="1"/>
    <xf numFmtId="3" fontId="28" fillId="6" borderId="107" xfId="4" applyNumberFormat="1" applyFont="1" applyFill="1" applyBorder="1" applyAlignment="1" applyProtection="1">
      <alignment vertical="center"/>
      <protection locked="0"/>
    </xf>
    <xf numFmtId="3" fontId="28" fillId="6" borderId="109" xfId="4" applyNumberFormat="1" applyFont="1" applyFill="1" applyBorder="1" applyAlignment="1" applyProtection="1">
      <alignment vertical="center"/>
      <protection locked="0"/>
    </xf>
    <xf numFmtId="3" fontId="27" fillId="7" borderId="110" xfId="4" applyNumberFormat="1" applyFont="1" applyFill="1" applyBorder="1" applyAlignment="1" applyProtection="1">
      <alignment vertical="center"/>
    </xf>
    <xf numFmtId="3" fontId="27" fillId="7" borderId="107" xfId="4" applyNumberFormat="1" applyFont="1" applyFill="1" applyBorder="1" applyAlignment="1" applyProtection="1">
      <alignment vertical="center"/>
    </xf>
    <xf numFmtId="0" fontId="27" fillId="6" borderId="76" xfId="0" applyFont="1" applyFill="1" applyBorder="1" applyAlignment="1" applyProtection="1">
      <alignment horizontal="centerContinuous" vertical="center" wrapText="1"/>
      <protection locked="0"/>
    </xf>
    <xf numFmtId="0" fontId="28" fillId="6" borderId="97" xfId="0" applyFont="1" applyFill="1" applyBorder="1" applyAlignment="1" applyProtection="1">
      <alignment horizontal="center"/>
      <protection locked="0"/>
    </xf>
    <xf numFmtId="0" fontId="28" fillId="6" borderId="76" xfId="0" applyFont="1" applyFill="1" applyBorder="1" applyAlignment="1" applyProtection="1">
      <alignment horizontal="centerContinuous" vertical="center" wrapText="1"/>
      <protection locked="0"/>
    </xf>
    <xf numFmtId="3" fontId="28" fillId="9" borderId="94" xfId="0" applyNumberFormat="1" applyFont="1" applyFill="1" applyBorder="1" applyAlignment="1" applyProtection="1">
      <alignment vertical="center"/>
      <protection locked="0"/>
    </xf>
    <xf numFmtId="0" fontId="28" fillId="6" borderId="79" xfId="0" applyFont="1" applyFill="1" applyBorder="1" applyAlignment="1" applyProtection="1">
      <alignment horizontal="center"/>
      <protection locked="0"/>
    </xf>
    <xf numFmtId="3" fontId="28" fillId="9" borderId="13" xfId="0" applyNumberFormat="1" applyFont="1" applyFill="1" applyBorder="1" applyAlignment="1" applyProtection="1">
      <alignment vertical="center"/>
      <protection locked="0"/>
    </xf>
    <xf numFmtId="3" fontId="27" fillId="7" borderId="14" xfId="0" applyNumberFormat="1" applyFont="1" applyFill="1" applyBorder="1" applyAlignment="1" applyProtection="1">
      <alignment vertical="center"/>
    </xf>
    <xf numFmtId="3" fontId="28" fillId="9" borderId="14" xfId="0" applyNumberFormat="1" applyFont="1" applyFill="1" applyBorder="1" applyAlignment="1" applyProtection="1">
      <alignment vertical="center"/>
      <protection locked="0"/>
    </xf>
    <xf numFmtId="3" fontId="27" fillId="9" borderId="14" xfId="0" applyNumberFormat="1" applyFont="1" applyFill="1" applyBorder="1" applyAlignment="1" applyProtection="1">
      <alignment vertical="center"/>
      <protection locked="0"/>
    </xf>
    <xf numFmtId="0" fontId="28" fillId="6" borderId="97" xfId="0" applyFont="1" applyFill="1" applyBorder="1" applyAlignment="1" applyProtection="1">
      <alignment horizontal="centerContinuous" vertical="center" wrapText="1"/>
      <protection locked="0"/>
    </xf>
    <xf numFmtId="3" fontId="27" fillId="7" borderId="99" xfId="0" applyNumberFormat="1" applyFont="1" applyFill="1" applyBorder="1" applyAlignment="1" applyProtection="1">
      <alignment vertical="center"/>
    </xf>
    <xf numFmtId="0" fontId="28" fillId="6" borderId="75" xfId="0" applyFont="1" applyFill="1" applyBorder="1" applyAlignment="1" applyProtection="1">
      <alignment horizontal="centerContinuous" vertical="center" wrapText="1"/>
      <protection locked="0"/>
    </xf>
    <xf numFmtId="3" fontId="28" fillId="9" borderId="111" xfId="0" applyNumberFormat="1" applyFont="1" applyFill="1" applyBorder="1" applyAlignment="1" applyProtection="1">
      <alignment vertical="center"/>
      <protection locked="0"/>
    </xf>
    <xf numFmtId="3" fontId="28" fillId="9" borderId="102" xfId="0" applyNumberFormat="1" applyFont="1" applyFill="1" applyBorder="1" applyAlignment="1" applyProtection="1">
      <alignment vertical="center"/>
      <protection locked="0"/>
    </xf>
    <xf numFmtId="0" fontId="28" fillId="6" borderId="79" xfId="0" applyFont="1" applyFill="1" applyBorder="1" applyAlignment="1" applyProtection="1">
      <alignment horizontal="center" vertical="center"/>
      <protection locked="0"/>
    </xf>
    <xf numFmtId="0" fontId="27" fillId="6" borderId="78" xfId="0" applyFont="1" applyFill="1" applyBorder="1" applyAlignment="1" applyProtection="1">
      <alignment horizontal="center" vertical="center"/>
      <protection locked="0"/>
    </xf>
    <xf numFmtId="0" fontId="28" fillId="6" borderId="98" xfId="0" applyFont="1" applyFill="1" applyBorder="1" applyAlignment="1" applyProtection="1">
      <alignment horizontal="center"/>
      <protection locked="0"/>
    </xf>
    <xf numFmtId="3" fontId="31" fillId="7" borderId="82" xfId="4" applyNumberFormat="1" applyFont="1" applyFill="1" applyBorder="1" applyAlignment="1" applyProtection="1">
      <alignment vertical="center"/>
    </xf>
    <xf numFmtId="3" fontId="28" fillId="7" borderId="96" xfId="4" applyNumberFormat="1" applyFont="1" applyFill="1" applyBorder="1" applyAlignment="1" applyProtection="1">
      <alignment vertical="center"/>
    </xf>
    <xf numFmtId="3" fontId="28" fillId="9" borderId="79" xfId="4" applyNumberFormat="1" applyFont="1" applyFill="1" applyBorder="1" applyAlignment="1" applyProtection="1">
      <alignment vertical="center"/>
      <protection locked="0"/>
    </xf>
    <xf numFmtId="3" fontId="28" fillId="9" borderId="80" xfId="4" applyNumberFormat="1" applyFont="1" applyFill="1" applyBorder="1" applyAlignment="1" applyProtection="1">
      <alignment vertical="center"/>
      <protection locked="0"/>
    </xf>
    <xf numFmtId="3" fontId="28" fillId="9" borderId="79" xfId="4" applyNumberFormat="1" applyFont="1" applyFill="1" applyBorder="1" applyProtection="1">
      <protection locked="0"/>
    </xf>
    <xf numFmtId="3" fontId="28" fillId="9" borderId="14" xfId="4" applyNumberFormat="1" applyFont="1" applyFill="1" applyBorder="1" applyProtection="1">
      <protection locked="0"/>
    </xf>
    <xf numFmtId="3" fontId="28" fillId="9" borderId="96" xfId="4" applyNumberFormat="1" applyFont="1" applyFill="1" applyBorder="1" applyAlignment="1" applyProtection="1">
      <alignment vertical="center"/>
      <protection locked="0"/>
    </xf>
    <xf numFmtId="3" fontId="27" fillId="7" borderId="79" xfId="0" applyNumberFormat="1" applyFont="1" applyFill="1" applyBorder="1" applyAlignment="1" applyProtection="1">
      <alignment vertical="center"/>
    </xf>
    <xf numFmtId="3" fontId="27" fillId="7" borderId="79" xfId="4" applyNumberFormat="1" applyFont="1" applyFill="1" applyBorder="1" applyAlignment="1" applyProtection="1">
      <alignment vertical="center"/>
    </xf>
    <xf numFmtId="3" fontId="28" fillId="9" borderId="109" xfId="4" applyNumberFormat="1" applyFont="1" applyFill="1" applyBorder="1" applyAlignment="1" applyProtection="1">
      <alignment vertical="center"/>
      <protection locked="0"/>
    </xf>
    <xf numFmtId="3" fontId="27" fillId="7" borderId="82" xfId="4" applyNumberFormat="1" applyFont="1" applyFill="1" applyBorder="1" applyAlignment="1" applyProtection="1">
      <alignment vertical="center"/>
      <protection locked="0"/>
    </xf>
    <xf numFmtId="3" fontId="27" fillId="7" borderId="96" xfId="4" applyNumberFormat="1" applyFont="1" applyFill="1" applyBorder="1" applyAlignment="1" applyProtection="1">
      <alignment vertical="center"/>
    </xf>
    <xf numFmtId="3" fontId="28" fillId="9" borderId="101" xfId="4" applyNumberFormat="1" applyFont="1" applyFill="1" applyBorder="1" applyAlignment="1" applyProtection="1">
      <alignment vertical="center"/>
      <protection locked="0"/>
    </xf>
    <xf numFmtId="3" fontId="28" fillId="9" borderId="103" xfId="4" applyNumberFormat="1" applyFont="1" applyFill="1" applyBorder="1" applyAlignment="1" applyProtection="1">
      <alignment vertical="center"/>
      <protection locked="0"/>
    </xf>
    <xf numFmtId="3" fontId="28" fillId="9" borderId="112" xfId="4" applyNumberFormat="1" applyFont="1" applyFill="1" applyBorder="1" applyAlignment="1" applyProtection="1">
      <alignment vertical="center"/>
      <protection locked="0"/>
    </xf>
    <xf numFmtId="3" fontId="27" fillId="7" borderId="82" xfId="4" applyNumberFormat="1" applyFont="1" applyFill="1" applyBorder="1" applyAlignment="1" applyProtection="1">
      <alignment vertical="center"/>
    </xf>
    <xf numFmtId="0" fontId="28" fillId="6" borderId="78" xfId="0" applyFont="1" applyFill="1" applyBorder="1" applyAlignment="1" applyProtection="1">
      <alignment vertical="center" wrapText="1"/>
      <protection locked="0"/>
    </xf>
    <xf numFmtId="0" fontId="28" fillId="6" borderId="56" xfId="0" applyFont="1" applyFill="1" applyBorder="1" applyAlignment="1" applyProtection="1">
      <alignment vertical="center" wrapText="1"/>
      <protection locked="0"/>
    </xf>
    <xf numFmtId="0" fontId="27" fillId="6" borderId="56" xfId="0" applyFont="1" applyFill="1" applyBorder="1" applyAlignment="1" applyProtection="1">
      <alignment vertical="center" wrapText="1"/>
      <protection locked="0"/>
    </xf>
    <xf numFmtId="0" fontId="27" fillId="6" borderId="98" xfId="0" applyFont="1" applyFill="1" applyBorder="1" applyAlignment="1" applyProtection="1">
      <alignment vertical="center" wrapText="1"/>
      <protection locked="0"/>
    </xf>
    <xf numFmtId="0" fontId="27" fillId="6" borderId="78" xfId="4" applyFont="1" applyFill="1" applyBorder="1" applyAlignment="1" applyProtection="1">
      <alignment vertical="center" wrapText="1"/>
      <protection locked="0"/>
    </xf>
    <xf numFmtId="0" fontId="27" fillId="6" borderId="92" xfId="4" applyFont="1" applyFill="1" applyBorder="1" applyAlignment="1" applyProtection="1">
      <alignment vertical="center" wrapText="1"/>
      <protection locked="0"/>
    </xf>
    <xf numFmtId="3" fontId="28" fillId="9" borderId="76" xfId="0" applyNumberFormat="1" applyFont="1" applyFill="1" applyBorder="1" applyAlignment="1" applyProtection="1">
      <alignment vertical="center"/>
      <protection locked="0"/>
    </xf>
    <xf numFmtId="3" fontId="28" fillId="9" borderId="96" xfId="0" applyNumberFormat="1" applyFont="1" applyFill="1" applyBorder="1" applyAlignment="1" applyProtection="1">
      <alignment vertical="center"/>
      <protection locked="0"/>
    </xf>
    <xf numFmtId="3" fontId="28" fillId="9" borderId="79" xfId="0" applyNumberFormat="1" applyFont="1" applyFill="1" applyBorder="1" applyAlignment="1" applyProtection="1">
      <alignment vertical="center"/>
      <protection locked="0"/>
    </xf>
    <xf numFmtId="3" fontId="27" fillId="9" borderId="79" xfId="0" applyNumberFormat="1" applyFont="1" applyFill="1" applyBorder="1" applyAlignment="1" applyProtection="1">
      <alignment vertical="center"/>
      <protection locked="0"/>
    </xf>
    <xf numFmtId="3" fontId="27" fillId="7" borderId="97" xfId="0" applyNumberFormat="1" applyFont="1" applyFill="1" applyBorder="1" applyAlignment="1" applyProtection="1">
      <alignment vertical="center"/>
    </xf>
    <xf numFmtId="3" fontId="28" fillId="9" borderId="75" xfId="0" applyNumberFormat="1" applyFont="1" applyFill="1" applyBorder="1" applyAlignment="1" applyProtection="1">
      <alignment vertical="center"/>
      <protection locked="0"/>
    </xf>
    <xf numFmtId="3" fontId="28" fillId="9" borderId="103" xfId="0" applyNumberFormat="1" applyFont="1" applyFill="1" applyBorder="1" applyAlignment="1" applyProtection="1">
      <alignment vertical="center"/>
      <protection locked="0"/>
    </xf>
    <xf numFmtId="0" fontId="5" fillId="0" borderId="0" xfId="1" applyFont="1" applyAlignment="1">
      <alignment horizontal="center"/>
    </xf>
    <xf numFmtId="0" fontId="32" fillId="0" borderId="0" xfId="1" applyFont="1"/>
    <xf numFmtId="0" fontId="0" fillId="0" borderId="0" xfId="0" applyAlignment="1">
      <alignment vertical="center"/>
    </xf>
    <xf numFmtId="0" fontId="8" fillId="0" borderId="0" xfId="1" applyFont="1"/>
    <xf numFmtId="3" fontId="33" fillId="0" borderId="0" xfId="0" applyNumberFormat="1" applyFont="1" applyAlignment="1">
      <alignment vertical="center"/>
    </xf>
    <xf numFmtId="0" fontId="8" fillId="0" borderId="0" xfId="1"/>
    <xf numFmtId="0" fontId="33" fillId="0" borderId="0" xfId="0" applyFont="1" applyAlignment="1">
      <alignment vertical="center"/>
    </xf>
    <xf numFmtId="0" fontId="8" fillId="0" borderId="113" xfId="1" applyBorder="1"/>
    <xf numFmtId="3" fontId="33" fillId="0" borderId="113" xfId="0" applyNumberFormat="1" applyFont="1" applyBorder="1" applyAlignment="1">
      <alignment vertical="center"/>
    </xf>
    <xf numFmtId="0" fontId="0" fillId="0" borderId="47" xfId="0" applyBorder="1" applyAlignment="1">
      <alignment horizontal="center"/>
    </xf>
    <xf numFmtId="0" fontId="0" fillId="0" borderId="114" xfId="0" applyBorder="1"/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center"/>
    </xf>
    <xf numFmtId="3" fontId="0" fillId="0" borderId="115" xfId="0" applyNumberFormat="1" applyBorder="1"/>
    <xf numFmtId="3" fontId="34" fillId="0" borderId="16" xfId="0" applyNumberFormat="1" applyFont="1" applyBorder="1"/>
    <xf numFmtId="3" fontId="0" fillId="0" borderId="0" xfId="0" applyNumberFormat="1" applyFill="1" applyBorder="1"/>
    <xf numFmtId="0" fontId="36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3" fontId="36" fillId="10" borderId="9" xfId="0" applyNumberFormat="1" applyFont="1" applyFill="1" applyBorder="1" applyAlignment="1">
      <alignment horizontal="center" vertical="center" wrapText="1"/>
    </xf>
    <xf numFmtId="3" fontId="36" fillId="10" borderId="16" xfId="0" applyNumberFormat="1" applyFont="1" applyFill="1" applyBorder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10" fillId="10" borderId="42" xfId="0" applyNumberFormat="1" applyFont="1" applyFill="1" applyBorder="1" applyAlignment="1">
      <alignment horizontal="center" vertical="center"/>
    </xf>
    <xf numFmtId="3" fontId="10" fillId="10" borderId="43" xfId="0" applyNumberFormat="1" applyFont="1" applyFill="1" applyBorder="1" applyAlignment="1">
      <alignment horizontal="left" vertical="center" indent="2"/>
    </xf>
    <xf numFmtId="3" fontId="10" fillId="0" borderId="42" xfId="0" applyNumberFormat="1" applyFont="1" applyFill="1" applyBorder="1" applyAlignment="1">
      <alignment vertical="center"/>
    </xf>
    <xf numFmtId="3" fontId="10" fillId="0" borderId="35" xfId="0" applyNumberFormat="1" applyFont="1" applyFill="1" applyBorder="1" applyAlignment="1">
      <alignment vertical="center"/>
    </xf>
    <xf numFmtId="3" fontId="10" fillId="10" borderId="50" xfId="0" applyNumberFormat="1" applyFont="1" applyFill="1" applyBorder="1" applyAlignment="1">
      <alignment horizontal="center" vertical="center"/>
    </xf>
    <xf numFmtId="3" fontId="10" fillId="10" borderId="51" xfId="0" applyNumberFormat="1" applyFont="1" applyFill="1" applyBorder="1" applyAlignment="1">
      <alignment horizontal="left" vertical="center" indent="2"/>
    </xf>
    <xf numFmtId="3" fontId="10" fillId="0" borderId="50" xfId="0" applyNumberFormat="1" applyFont="1" applyFill="1" applyBorder="1" applyAlignment="1">
      <alignment vertical="center"/>
    </xf>
    <xf numFmtId="3" fontId="10" fillId="0" borderId="117" xfId="0" applyNumberFormat="1" applyFont="1" applyFill="1" applyBorder="1" applyAlignment="1">
      <alignment vertical="center"/>
    </xf>
    <xf numFmtId="3" fontId="36" fillId="10" borderId="9" xfId="0" applyNumberFormat="1" applyFont="1" applyFill="1" applyBorder="1" applyAlignment="1">
      <alignment horizontal="center" vertical="center"/>
    </xf>
    <xf numFmtId="3" fontId="36" fillId="10" borderId="16" xfId="0" applyNumberFormat="1" applyFont="1" applyFill="1" applyBorder="1" applyAlignment="1">
      <alignment vertical="center"/>
    </xf>
    <xf numFmtId="3" fontId="36" fillId="0" borderId="9" xfId="0" applyNumberFormat="1" applyFont="1" applyFill="1" applyBorder="1" applyAlignment="1">
      <alignment vertical="center"/>
    </xf>
    <xf numFmtId="3" fontId="36" fillId="0" borderId="10" xfId="0" applyNumberFormat="1" applyFont="1" applyFill="1" applyBorder="1" applyAlignment="1">
      <alignment vertical="center"/>
    </xf>
    <xf numFmtId="3" fontId="10" fillId="10" borderId="2" xfId="0" applyNumberFormat="1" applyFont="1" applyFill="1" applyBorder="1" applyAlignment="1">
      <alignment horizontal="center" vertical="center"/>
    </xf>
    <xf numFmtId="3" fontId="10" fillId="10" borderId="4" xfId="0" applyNumberFormat="1" applyFont="1" applyFill="1" applyBorder="1" applyAlignment="1">
      <alignment horizontal="left" vertical="center"/>
    </xf>
    <xf numFmtId="3" fontId="10" fillId="0" borderId="2" xfId="0" applyNumberFormat="1" applyFont="1" applyFill="1" applyBorder="1" applyAlignment="1">
      <alignment vertical="center"/>
    </xf>
    <xf numFmtId="3" fontId="10" fillId="0" borderId="118" xfId="0" applyNumberFormat="1" applyFont="1" applyFill="1" applyBorder="1" applyAlignment="1">
      <alignment vertical="center"/>
    </xf>
    <xf numFmtId="3" fontId="10" fillId="10" borderId="53" xfId="0" applyNumberFormat="1" applyFont="1" applyFill="1" applyBorder="1" applyAlignment="1">
      <alignment horizontal="center" vertical="center"/>
    </xf>
    <xf numFmtId="3" fontId="10" fillId="10" borderId="54" xfId="0" applyNumberFormat="1" applyFont="1" applyFill="1" applyBorder="1" applyAlignment="1">
      <alignment horizontal="left" vertical="center" indent="2"/>
    </xf>
    <xf numFmtId="3" fontId="10" fillId="0" borderId="53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10" borderId="58" xfId="0" applyNumberFormat="1" applyFont="1" applyFill="1" applyBorder="1" applyAlignment="1">
      <alignment horizontal="center" vertical="center"/>
    </xf>
    <xf numFmtId="3" fontId="10" fillId="10" borderId="59" xfId="0" applyNumberFormat="1" applyFont="1" applyFill="1" applyBorder="1" applyAlignment="1">
      <alignment horizontal="left" vertical="center" indent="2"/>
    </xf>
    <xf numFmtId="3" fontId="36" fillId="10" borderId="119" xfId="0" applyNumberFormat="1" applyFont="1" applyFill="1" applyBorder="1" applyAlignment="1">
      <alignment horizontal="center" vertical="center"/>
    </xf>
    <xf numFmtId="3" fontId="36" fillId="10" borderId="120" xfId="0" applyNumberFormat="1" applyFont="1" applyFill="1" applyBorder="1" applyAlignment="1">
      <alignment vertical="center"/>
    </xf>
    <xf numFmtId="3" fontId="36" fillId="0" borderId="119" xfId="0" applyNumberFormat="1" applyFont="1" applyFill="1" applyBorder="1" applyAlignment="1">
      <alignment vertical="center"/>
    </xf>
    <xf numFmtId="3" fontId="36" fillId="0" borderId="121" xfId="0" applyNumberFormat="1" applyFont="1" applyFill="1" applyBorder="1" applyAlignment="1">
      <alignment vertical="center"/>
    </xf>
    <xf numFmtId="3" fontId="36" fillId="10" borderId="122" xfId="0" applyNumberFormat="1" applyFont="1" applyFill="1" applyBorder="1" applyAlignment="1">
      <alignment horizontal="center" vertical="center"/>
    </xf>
    <xf numFmtId="3" fontId="36" fillId="10" borderId="123" xfId="0" applyNumberFormat="1" applyFont="1" applyFill="1" applyBorder="1" applyAlignment="1">
      <alignment vertical="center"/>
    </xf>
    <xf numFmtId="3" fontId="36" fillId="0" borderId="122" xfId="0" applyNumberFormat="1" applyFont="1" applyFill="1" applyBorder="1" applyAlignment="1">
      <alignment vertical="center"/>
    </xf>
    <xf numFmtId="3" fontId="36" fillId="0" borderId="124" xfId="0" applyNumberFormat="1" applyFont="1" applyFill="1" applyBorder="1" applyAlignment="1">
      <alignment vertical="center"/>
    </xf>
    <xf numFmtId="3" fontId="10" fillId="10" borderId="54" xfId="0" applyNumberFormat="1" applyFont="1" applyFill="1" applyBorder="1" applyAlignment="1">
      <alignment horizontal="left" vertical="center"/>
    </xf>
    <xf numFmtId="3" fontId="10" fillId="10" borderId="59" xfId="0" applyNumberFormat="1" applyFont="1" applyFill="1" applyBorder="1" applyAlignment="1">
      <alignment horizontal="lef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61" xfId="0" applyNumberFormat="1" applyFont="1" applyFill="1" applyBorder="1" applyAlignment="1">
      <alignment vertical="center"/>
    </xf>
    <xf numFmtId="3" fontId="36" fillId="10" borderId="50" xfId="0" applyNumberFormat="1" applyFont="1" applyFill="1" applyBorder="1" applyAlignment="1">
      <alignment horizontal="center" vertical="center"/>
    </xf>
    <xf numFmtId="3" fontId="36" fillId="10" borderId="51" xfId="0" applyNumberFormat="1" applyFont="1" applyFill="1" applyBorder="1" applyAlignment="1">
      <alignment vertical="center"/>
    </xf>
    <xf numFmtId="3" fontId="10" fillId="0" borderId="65" xfId="0" applyNumberFormat="1" applyFont="1" applyFill="1" applyBorder="1" applyAlignment="1">
      <alignment vertical="center"/>
    </xf>
    <xf numFmtId="3" fontId="10" fillId="0" borderId="66" xfId="0" applyNumberFormat="1" applyFont="1" applyFill="1" applyBorder="1" applyAlignment="1">
      <alignment vertical="center"/>
    </xf>
    <xf numFmtId="171" fontId="10" fillId="0" borderId="0" xfId="0" applyNumberFormat="1" applyFont="1"/>
    <xf numFmtId="0" fontId="35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34" fillId="0" borderId="0" xfId="0" applyFont="1" applyBorder="1"/>
    <xf numFmtId="0" fontId="0" fillId="0" borderId="32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65" xfId="0" applyBorder="1" applyAlignment="1">
      <alignment horizontal="center"/>
    </xf>
    <xf numFmtId="3" fontId="0" fillId="0" borderId="114" xfId="0" applyNumberFormat="1" applyBorder="1"/>
    <xf numFmtId="3" fontId="34" fillId="0" borderId="9" xfId="0" applyNumberFormat="1" applyFont="1" applyBorder="1"/>
    <xf numFmtId="0" fontId="0" fillId="0" borderId="33" xfId="0" applyBorder="1"/>
    <xf numFmtId="0" fontId="0" fillId="0" borderId="6" xfId="0" applyBorder="1"/>
    <xf numFmtId="0" fontId="0" fillId="0" borderId="66" xfId="0" applyBorder="1"/>
    <xf numFmtId="0" fontId="0" fillId="0" borderId="6" xfId="0" applyBorder="1" applyAlignment="1">
      <alignment wrapText="1"/>
    </xf>
    <xf numFmtId="0" fontId="34" fillId="0" borderId="10" xfId="0" applyFont="1" applyBorder="1"/>
    <xf numFmtId="0" fontId="0" fillId="0" borderId="6" xfId="0" applyBorder="1" applyAlignment="1">
      <alignment horizontal="center"/>
    </xf>
    <xf numFmtId="0" fontId="0" fillId="0" borderId="66" xfId="0" applyBorder="1" applyAlignment="1">
      <alignment horizontal="center"/>
    </xf>
    <xf numFmtId="3" fontId="34" fillId="0" borderId="10" xfId="0" applyNumberFormat="1" applyFont="1" applyBorder="1"/>
    <xf numFmtId="3" fontId="11" fillId="0" borderId="57" xfId="4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0" borderId="55" xfId="0" applyFont="1" applyFill="1" applyBorder="1" applyAlignment="1" applyProtection="1">
      <alignment horizontal="left" vertical="center" wrapText="1" indent="1"/>
      <protection locked="0"/>
    </xf>
    <xf numFmtId="0" fontId="28" fillId="0" borderId="54" xfId="0" applyFont="1" applyFill="1" applyBorder="1" applyAlignment="1" applyProtection="1">
      <alignment horizontal="left" vertical="center" wrapText="1" inden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27" fillId="0" borderId="54" xfId="0" applyFont="1" applyFill="1" applyBorder="1" applyAlignment="1" applyProtection="1">
      <alignment vertical="center" wrapText="1"/>
      <protection locked="0"/>
    </xf>
    <xf numFmtId="0" fontId="28" fillId="0" borderId="55" xfId="0" applyFont="1" applyFill="1" applyBorder="1" applyAlignment="1" applyProtection="1">
      <alignment horizontal="left" vertical="center" wrapText="1" indent="2"/>
      <protection locked="0"/>
    </xf>
    <xf numFmtId="0" fontId="28" fillId="0" borderId="54" xfId="0" applyFont="1" applyFill="1" applyBorder="1" applyAlignment="1" applyProtection="1">
      <alignment horizontal="left" vertical="center" wrapText="1" indent="2"/>
      <protection locked="0"/>
    </xf>
    <xf numFmtId="0" fontId="27" fillId="0" borderId="45" xfId="0" applyFont="1" applyFill="1" applyBorder="1" applyAlignment="1" applyProtection="1">
      <alignment horizontal="center" vertical="center"/>
      <protection locked="0"/>
    </xf>
    <xf numFmtId="0" fontId="27" fillId="0" borderId="47" xfId="0" applyFont="1" applyFill="1" applyBorder="1" applyAlignment="1" applyProtection="1">
      <alignment horizontal="center" vertical="center"/>
      <protection locked="0"/>
    </xf>
    <xf numFmtId="0" fontId="28" fillId="0" borderId="52" xfId="0" applyFont="1" applyFill="1" applyBorder="1" applyAlignment="1" applyProtection="1">
      <alignment horizontal="center" vertical="center"/>
      <protection locked="0"/>
    </xf>
    <xf numFmtId="0" fontId="28" fillId="0" borderId="51" xfId="0" applyFont="1" applyFill="1" applyBorder="1" applyAlignment="1" applyProtection="1">
      <alignment horizontal="center" vertical="center"/>
      <protection locked="0"/>
    </xf>
    <xf numFmtId="0" fontId="28" fillId="0" borderId="12" xfId="0" applyFont="1" applyFill="1" applyBorder="1" applyAlignment="1" applyProtection="1">
      <alignment horizontal="left" vertical="center" wrapText="1" indent="1"/>
      <protection locked="0"/>
    </xf>
    <xf numFmtId="0" fontId="28" fillId="0" borderId="4" xfId="0" applyFont="1" applyFill="1" applyBorder="1" applyAlignment="1" applyProtection="1">
      <alignment horizontal="left" vertical="center" wrapText="1" indent="1"/>
      <protection locked="0"/>
    </xf>
    <xf numFmtId="0" fontId="28" fillId="0" borderId="60" xfId="0" applyFont="1" applyFill="1" applyBorder="1" applyAlignment="1" applyProtection="1">
      <alignment horizontal="left" vertical="center" wrapText="1" indent="2"/>
      <protection locked="0"/>
    </xf>
    <xf numFmtId="0" fontId="28" fillId="0" borderId="59" xfId="0" applyFont="1" applyFill="1" applyBorder="1" applyAlignment="1" applyProtection="1">
      <alignment horizontal="left" vertical="center" wrapText="1" indent="2"/>
      <protection locked="0"/>
    </xf>
    <xf numFmtId="0" fontId="27" fillId="5" borderId="83" xfId="0" applyFont="1" applyFill="1" applyBorder="1" applyAlignment="1" applyProtection="1">
      <alignment vertical="center" wrapText="1"/>
      <protection locked="0"/>
    </xf>
    <xf numFmtId="0" fontId="27" fillId="5" borderId="86" xfId="0" applyFont="1" applyFill="1" applyBorder="1" applyAlignment="1" applyProtection="1">
      <alignment vertical="center" wrapText="1"/>
      <protection locked="0"/>
    </xf>
    <xf numFmtId="0" fontId="28" fillId="0" borderId="77" xfId="0" applyFont="1" applyFill="1" applyBorder="1" applyAlignment="1" applyProtection="1">
      <alignment horizontal="left" vertical="center" wrapText="1" indent="1"/>
      <protection locked="0"/>
    </xf>
    <xf numFmtId="0" fontId="28" fillId="0" borderId="85" xfId="0" applyFont="1" applyFill="1" applyBorder="1" applyAlignment="1" applyProtection="1">
      <alignment horizontal="left" vertical="center" wrapText="1" indent="1"/>
      <protection locked="0"/>
    </xf>
    <xf numFmtId="0" fontId="28" fillId="0" borderId="55" xfId="0" applyFont="1" applyFill="1" applyBorder="1" applyAlignment="1" applyProtection="1">
      <alignment horizontal="left" vertical="center" wrapText="1" indent="3"/>
      <protection locked="0"/>
    </xf>
    <xf numFmtId="0" fontId="28" fillId="0" borderId="54" xfId="0" applyFont="1" applyFill="1" applyBorder="1" applyAlignment="1" applyProtection="1">
      <alignment horizontal="left" vertical="center" wrapText="1" indent="3"/>
      <protection locked="0"/>
    </xf>
    <xf numFmtId="0" fontId="28" fillId="0" borderId="55" xfId="0" applyFont="1" applyFill="1" applyBorder="1" applyAlignment="1" applyProtection="1">
      <alignment vertical="center" wrapText="1"/>
      <protection locked="0"/>
    </xf>
    <xf numFmtId="0" fontId="28" fillId="0" borderId="54" xfId="0" applyFont="1" applyFill="1" applyBorder="1" applyAlignment="1" applyProtection="1">
      <alignment vertical="center" wrapText="1"/>
      <protection locked="0"/>
    </xf>
    <xf numFmtId="0" fontId="27" fillId="5" borderId="30" xfId="0" applyFont="1" applyFill="1" applyBorder="1" applyAlignment="1" applyProtection="1">
      <alignment vertical="center" wrapText="1"/>
      <protection locked="0"/>
    </xf>
    <xf numFmtId="0" fontId="27" fillId="5" borderId="16" xfId="0" applyFont="1" applyFill="1" applyBorder="1" applyAlignment="1" applyProtection="1">
      <alignment vertical="center" wrapText="1"/>
      <protection locked="0"/>
    </xf>
    <xf numFmtId="0" fontId="27" fillId="0" borderId="12" xfId="0" applyFont="1" applyFill="1" applyBorder="1" applyAlignment="1" applyProtection="1">
      <alignment vertical="center" wrapText="1"/>
      <protection locked="0"/>
    </xf>
    <xf numFmtId="0" fontId="27" fillId="0" borderId="4" xfId="0" applyFont="1" applyFill="1" applyBorder="1" applyAlignment="1" applyProtection="1">
      <alignment vertical="center" wrapText="1"/>
      <protection locked="0"/>
    </xf>
    <xf numFmtId="0" fontId="28" fillId="0" borderId="60" xfId="0" applyFont="1" applyFill="1" applyBorder="1" applyAlignment="1" applyProtection="1">
      <alignment vertical="center" wrapText="1"/>
      <protection locked="0"/>
    </xf>
    <xf numFmtId="0" fontId="28" fillId="0" borderId="59" xfId="0" applyFont="1" applyFill="1" applyBorder="1" applyAlignment="1" applyProtection="1">
      <alignment vertical="center" wrapText="1"/>
      <protection locked="0"/>
    </xf>
    <xf numFmtId="0" fontId="27" fillId="5" borderId="88" xfId="0" applyFont="1" applyFill="1" applyBorder="1" applyAlignment="1" applyProtection="1">
      <alignment vertical="center" wrapText="1"/>
      <protection locked="0"/>
    </xf>
    <xf numFmtId="0" fontId="27" fillId="5" borderId="89" xfId="0" applyFont="1" applyFill="1" applyBorder="1" applyAlignment="1" applyProtection="1">
      <alignment vertical="center" wrapText="1"/>
      <protection locked="0"/>
    </xf>
    <xf numFmtId="0" fontId="27" fillId="0" borderId="60" xfId="0" applyFont="1" applyFill="1" applyBorder="1" applyAlignment="1" applyProtection="1">
      <alignment vertical="center" wrapText="1"/>
      <protection locked="0"/>
    </xf>
    <xf numFmtId="0" fontId="27" fillId="0" borderId="59" xfId="0" applyFont="1" applyFill="1" applyBorder="1" applyAlignment="1" applyProtection="1">
      <alignment vertical="center" wrapText="1"/>
      <protection locked="0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169" fontId="13" fillId="3" borderId="31" xfId="0" applyNumberFormat="1" applyFont="1" applyFill="1" applyBorder="1" applyAlignment="1">
      <alignment horizontal="left" vertical="center" wrapText="1"/>
    </xf>
    <xf numFmtId="169" fontId="13" fillId="3" borderId="34" xfId="0" applyNumberFormat="1" applyFont="1" applyFill="1" applyBorder="1" applyAlignment="1">
      <alignment horizontal="left" vertical="center" wrapText="1"/>
    </xf>
    <xf numFmtId="169" fontId="13" fillId="3" borderId="17" xfId="0" applyNumberFormat="1" applyFont="1" applyFill="1" applyBorder="1" applyAlignment="1">
      <alignment horizontal="left" vertical="center" wrapText="1"/>
    </xf>
    <xf numFmtId="3" fontId="11" fillId="3" borderId="33" xfId="0" applyNumberFormat="1" applyFont="1" applyFill="1" applyBorder="1" applyAlignment="1">
      <alignment horizontal="center" vertical="center" wrapText="1"/>
    </xf>
    <xf numFmtId="3" fontId="11" fillId="3" borderId="66" xfId="0" applyNumberFormat="1" applyFont="1" applyFill="1" applyBorder="1" applyAlignment="1">
      <alignment horizontal="center" vertical="center" wrapText="1"/>
    </xf>
    <xf numFmtId="169" fontId="11" fillId="3" borderId="32" xfId="0" applyNumberFormat="1" applyFont="1" applyFill="1" applyBorder="1" applyAlignment="1">
      <alignment horizontal="center" vertical="center" wrapText="1"/>
    </xf>
    <xf numFmtId="169" fontId="11" fillId="3" borderId="65" xfId="0" applyNumberFormat="1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 wrapText="1"/>
    </xf>
  </cellXfs>
  <cellStyles count="5">
    <cellStyle name="Normál" xfId="0" builtinId="0"/>
    <cellStyle name="Normál 2" xfId="4"/>
    <cellStyle name="Normál_Mérleg 2006." xfId="1"/>
    <cellStyle name="Normál_SZOVA_ÜT_Adatok_2007.II.félév" xfId="2"/>
    <cellStyle name="Százalék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tabSelected="1" view="pageBreakPreview" zoomScale="80" zoomScaleNormal="80" zoomScaleSheetLayoutView="80" workbookViewId="0">
      <pane xSplit="3" ySplit="1" topLeftCell="AI2" activePane="bottomRight" state="frozen"/>
      <selection pane="topRight" activeCell="D1" sqref="D1"/>
      <selection pane="bottomLeft" activeCell="A4" sqref="A4"/>
      <selection pane="bottomRight" activeCell="AG5" sqref="AG5"/>
    </sheetView>
  </sheetViews>
  <sheetFormatPr defaultRowHeight="14.25" x14ac:dyDescent="0.2"/>
  <cols>
    <col min="1" max="1" width="8.88671875" style="39"/>
    <col min="2" max="2" width="42.5546875" style="39" customWidth="1"/>
    <col min="3" max="3" width="1.77734375" style="39" customWidth="1"/>
    <col min="4" max="4" width="12.6640625" style="39" customWidth="1"/>
    <col min="5" max="5" width="12" style="39" customWidth="1"/>
    <col min="6" max="6" width="1.6640625" style="39" customWidth="1"/>
    <col min="7" max="9" width="16.33203125" style="39" customWidth="1"/>
    <col min="10" max="12" width="12.44140625" style="39" customWidth="1"/>
    <col min="13" max="13" width="11.33203125" style="39" customWidth="1"/>
    <col min="14" max="14" width="1.5546875" style="39" customWidth="1"/>
    <col min="15" max="20" width="13.44140625" style="39" customWidth="1"/>
    <col min="21" max="21" width="9.21875" style="39" customWidth="1"/>
    <col min="22" max="26" width="16.21875" style="39" customWidth="1"/>
    <col min="27" max="27" width="14.77734375" style="39" customWidth="1"/>
    <col min="28" max="28" width="13" style="39" customWidth="1"/>
    <col min="29" max="29" width="14.44140625" style="39" customWidth="1"/>
    <col min="30" max="30" width="1.77734375" style="39" customWidth="1"/>
    <col min="31" max="31" width="13.77734375" style="39" customWidth="1"/>
    <col min="32" max="32" width="1.77734375" style="39" customWidth="1"/>
    <col min="33" max="33" width="13.77734375" style="39" customWidth="1"/>
    <col min="34" max="34" width="1.5546875" style="39" customWidth="1"/>
    <col min="35" max="35" width="13.77734375" style="39" customWidth="1"/>
    <col min="36" max="36" width="1.77734375" style="39" customWidth="1"/>
    <col min="37" max="37" width="10.88671875" style="39" customWidth="1"/>
    <col min="38" max="38" width="1.6640625" style="39" customWidth="1"/>
    <col min="39" max="44" width="13.6640625" style="39" customWidth="1"/>
    <col min="45" max="45" width="2.109375" style="39" customWidth="1"/>
    <col min="46" max="46" width="11.6640625" style="39" customWidth="1"/>
    <col min="47" max="47" width="8.88671875" style="39"/>
    <col min="48" max="48" width="9.109375" style="39" customWidth="1"/>
    <col min="49" max="49" width="11.21875" style="39" customWidth="1"/>
    <col min="50" max="16384" width="8.88671875" style="39"/>
  </cols>
  <sheetData>
    <row r="1" spans="1:46" ht="46.5" customHeight="1" thickTop="1" thickBot="1" x14ac:dyDescent="0.25">
      <c r="D1" s="399" t="s">
        <v>391</v>
      </c>
      <c r="E1" s="400"/>
      <c r="F1" s="334"/>
      <c r="G1" s="399" t="s">
        <v>392</v>
      </c>
      <c r="H1" s="401"/>
      <c r="I1" s="401"/>
      <c r="J1" s="401"/>
      <c r="K1" s="401"/>
      <c r="L1" s="401"/>
      <c r="M1" s="400"/>
      <c r="N1" s="334"/>
      <c r="O1" s="399" t="s">
        <v>393</v>
      </c>
      <c r="P1" s="401"/>
      <c r="Q1" s="401"/>
      <c r="R1" s="401"/>
      <c r="S1" s="401"/>
      <c r="T1" s="401"/>
      <c r="U1" s="401"/>
      <c r="V1" s="401" t="s">
        <v>431</v>
      </c>
      <c r="W1" s="401"/>
      <c r="X1" s="401"/>
      <c r="Y1" s="401"/>
      <c r="Z1" s="401"/>
      <c r="AA1" s="401"/>
      <c r="AB1" s="401"/>
      <c r="AC1" s="400"/>
      <c r="AD1" s="334"/>
      <c r="AE1" s="335" t="s">
        <v>394</v>
      </c>
      <c r="AF1" s="334"/>
      <c r="AG1" s="335" t="s">
        <v>395</v>
      </c>
      <c r="AH1" s="334"/>
      <c r="AI1" s="335" t="s">
        <v>396</v>
      </c>
      <c r="AJ1" s="334"/>
      <c r="AK1" s="380">
        <v>2016</v>
      </c>
      <c r="AL1" s="334"/>
      <c r="AM1" s="399" t="s">
        <v>397</v>
      </c>
      <c r="AN1" s="401"/>
      <c r="AO1" s="401"/>
      <c r="AP1" s="401"/>
      <c r="AQ1" s="401"/>
      <c r="AR1" s="400"/>
      <c r="AS1" s="334"/>
      <c r="AT1" s="380">
        <v>2016</v>
      </c>
    </row>
    <row r="2" spans="1:46" s="338" customFormat="1" ht="76.5" thickTop="1" thickBot="1" x14ac:dyDescent="0.25">
      <c r="A2" s="336" t="s">
        <v>76</v>
      </c>
      <c r="B2" s="337" t="s">
        <v>398</v>
      </c>
      <c r="D2" s="335" t="s">
        <v>198</v>
      </c>
      <c r="E2" s="335" t="s">
        <v>121</v>
      </c>
      <c r="F2" s="339"/>
      <c r="G2" s="335" t="s">
        <v>352</v>
      </c>
      <c r="H2" s="335" t="s">
        <v>351</v>
      </c>
      <c r="I2" s="335" t="s">
        <v>0</v>
      </c>
      <c r="J2" s="335" t="s">
        <v>74</v>
      </c>
      <c r="K2" s="335" t="s">
        <v>122</v>
      </c>
      <c r="L2" s="335" t="s">
        <v>75</v>
      </c>
      <c r="M2" s="335" t="s">
        <v>353</v>
      </c>
      <c r="N2" s="339"/>
      <c r="O2" s="335" t="s">
        <v>129</v>
      </c>
      <c r="P2" s="335" t="s">
        <v>130</v>
      </c>
      <c r="Q2" s="335" t="s">
        <v>123</v>
      </c>
      <c r="R2" s="335" t="s">
        <v>131</v>
      </c>
      <c r="S2" s="335" t="s">
        <v>354</v>
      </c>
      <c r="T2" s="335" t="s">
        <v>428</v>
      </c>
      <c r="U2" s="335" t="s">
        <v>355</v>
      </c>
      <c r="V2" s="335" t="s">
        <v>124</v>
      </c>
      <c r="W2" s="335" t="s">
        <v>126</v>
      </c>
      <c r="X2" s="335" t="s">
        <v>125</v>
      </c>
      <c r="Y2" s="335" t="s">
        <v>127</v>
      </c>
      <c r="Z2" s="335" t="s">
        <v>399</v>
      </c>
      <c r="AA2" s="335" t="s">
        <v>429</v>
      </c>
      <c r="AB2" s="335" t="s">
        <v>400</v>
      </c>
      <c r="AC2" s="335" t="s">
        <v>359</v>
      </c>
      <c r="AD2" s="339"/>
      <c r="AE2" s="340" t="s">
        <v>360</v>
      </c>
      <c r="AF2" s="339"/>
      <c r="AG2" s="335" t="s">
        <v>128</v>
      </c>
      <c r="AH2" s="339"/>
      <c r="AI2" s="335" t="s">
        <v>401</v>
      </c>
      <c r="AJ2" s="339"/>
      <c r="AK2" s="335" t="s">
        <v>402</v>
      </c>
      <c r="AL2" s="339"/>
      <c r="AM2" s="335" t="s">
        <v>403</v>
      </c>
      <c r="AN2" s="335" t="s">
        <v>404</v>
      </c>
      <c r="AO2" s="335" t="s">
        <v>405</v>
      </c>
      <c r="AP2" s="335" t="s">
        <v>430</v>
      </c>
      <c r="AQ2" s="335" t="s">
        <v>128</v>
      </c>
      <c r="AR2" s="335" t="s">
        <v>396</v>
      </c>
      <c r="AS2" s="339"/>
      <c r="AT2" s="335" t="s">
        <v>402</v>
      </c>
    </row>
    <row r="3" spans="1:46" ht="16.5" thickTop="1" thickBot="1" x14ac:dyDescent="0.25">
      <c r="N3" s="334"/>
    </row>
    <row r="4" spans="1:46" ht="15.75" thickTop="1" x14ac:dyDescent="0.2">
      <c r="A4" s="341">
        <v>7</v>
      </c>
      <c r="B4" s="342" t="s">
        <v>406</v>
      </c>
      <c r="D4" s="343">
        <v>1054567.2579999999</v>
      </c>
      <c r="E4" s="344">
        <v>245248.46700000003</v>
      </c>
      <c r="G4" s="343">
        <v>188263.58199999999</v>
      </c>
      <c r="H4" s="343">
        <v>99542.99</v>
      </c>
      <c r="I4" s="343">
        <v>8132.5649999999996</v>
      </c>
      <c r="J4" s="343">
        <v>28311.328999999998</v>
      </c>
      <c r="K4" s="343">
        <v>1900.5119999999999</v>
      </c>
      <c r="L4" s="343">
        <v>963884.26599999995</v>
      </c>
      <c r="M4" s="344">
        <v>294958.28699999995</v>
      </c>
      <c r="N4" s="334"/>
      <c r="O4" s="343">
        <v>11972.388000000001</v>
      </c>
      <c r="P4" s="343">
        <v>939.89599999999996</v>
      </c>
      <c r="Q4" s="343">
        <v>10622.147999999999</v>
      </c>
      <c r="R4" s="343">
        <v>24013.304</v>
      </c>
      <c r="S4" s="343">
        <v>29232.694000000003</v>
      </c>
      <c r="T4" s="343">
        <v>2052.2440000000001</v>
      </c>
      <c r="U4" s="343">
        <v>149544.47464360099</v>
      </c>
      <c r="V4" s="343">
        <v>40658.156000000003</v>
      </c>
      <c r="W4" s="343">
        <v>28707.201000000001</v>
      </c>
      <c r="X4" s="343">
        <v>19050.862000000001</v>
      </c>
      <c r="Y4" s="343">
        <v>1100.4519999999998</v>
      </c>
      <c r="Z4" s="343">
        <v>329.98700000000002</v>
      </c>
      <c r="AA4" s="343">
        <v>10697.538399999999</v>
      </c>
      <c r="AB4" s="343">
        <v>903.45399999999995</v>
      </c>
      <c r="AC4" s="344">
        <v>5343.5419999999995</v>
      </c>
      <c r="AE4" s="344">
        <v>0.1750000000001819</v>
      </c>
      <c r="AG4" s="344">
        <f>11799.97-0.5</f>
        <v>11799.47</v>
      </c>
      <c r="AI4" s="344">
        <v>0</v>
      </c>
      <c r="AK4" s="344">
        <f>SUM(D4:AI4)</f>
        <v>3231777.2420436009</v>
      </c>
      <c r="AM4" s="343">
        <f>SUM(D4:E4)</f>
        <v>1299815.7249999999</v>
      </c>
      <c r="AN4" s="343">
        <f>SUM(G4:M4)</f>
        <v>1584993.531</v>
      </c>
      <c r="AO4" s="343">
        <f>SUM(O4:AC4)</f>
        <v>335168.3410436011</v>
      </c>
      <c r="AP4" s="343">
        <f>AE4</f>
        <v>0.1750000000001819</v>
      </c>
      <c r="AQ4" s="343">
        <f>AG4</f>
        <v>11799.47</v>
      </c>
      <c r="AR4" s="344">
        <f>AI4</f>
        <v>0</v>
      </c>
      <c r="AT4" s="344">
        <f>SUM(AM4:AR4)</f>
        <v>3231777.2420436013</v>
      </c>
    </row>
    <row r="5" spans="1:46" ht="15.75" thickBot="1" x14ac:dyDescent="0.25">
      <c r="A5" s="345"/>
      <c r="B5" s="346" t="s">
        <v>407</v>
      </c>
      <c r="D5" s="347">
        <v>85.924999999999997</v>
      </c>
      <c r="E5" s="348">
        <v>67.873000000000005</v>
      </c>
      <c r="G5" s="347">
        <v>0</v>
      </c>
      <c r="H5" s="347">
        <v>0</v>
      </c>
      <c r="I5" s="347">
        <v>0</v>
      </c>
      <c r="J5" s="347">
        <v>2598.7730000000001</v>
      </c>
      <c r="K5" s="347">
        <v>0.59099999999999997</v>
      </c>
      <c r="L5" s="347">
        <v>0</v>
      </c>
      <c r="M5" s="348">
        <v>17896.477999999999</v>
      </c>
      <c r="N5" s="334"/>
      <c r="O5" s="347">
        <v>358.745</v>
      </c>
      <c r="P5" s="347">
        <v>6.3769999999999998</v>
      </c>
      <c r="Q5" s="347">
        <v>12489.066000000001</v>
      </c>
      <c r="R5" s="347">
        <v>0</v>
      </c>
      <c r="S5" s="347">
        <v>3084.9580000000001</v>
      </c>
      <c r="T5" s="347">
        <v>0</v>
      </c>
      <c r="U5" s="347">
        <v>0</v>
      </c>
      <c r="V5" s="347">
        <v>19051.948</v>
      </c>
      <c r="W5" s="347">
        <v>0</v>
      </c>
      <c r="X5" s="347">
        <v>3426.337</v>
      </c>
      <c r="Y5" s="347">
        <v>0</v>
      </c>
      <c r="Z5" s="347">
        <v>0</v>
      </c>
      <c r="AA5" s="347">
        <v>516.18899999999996</v>
      </c>
      <c r="AB5" s="347">
        <v>0</v>
      </c>
      <c r="AC5" s="348">
        <v>1784.6690000000001</v>
      </c>
      <c r="AE5" s="348">
        <v>0</v>
      </c>
      <c r="AG5" s="348">
        <v>8717.0980000000018</v>
      </c>
      <c r="AI5" s="348">
        <v>0</v>
      </c>
      <c r="AK5" s="348">
        <f>SUM(D5:AI5)</f>
        <v>70085.027000000002</v>
      </c>
      <c r="AM5" s="347">
        <f>SUM(D5:E5)</f>
        <v>153.798</v>
      </c>
      <c r="AN5" s="347">
        <f>SUM(G5:M5)</f>
        <v>20495.842000000001</v>
      </c>
      <c r="AO5" s="347">
        <f>SUM(O5:AC5)</f>
        <v>40718.288999999997</v>
      </c>
      <c r="AP5" s="347">
        <f>AE5</f>
        <v>0</v>
      </c>
      <c r="AQ5" s="347">
        <f>AG5</f>
        <v>8717.0980000000018</v>
      </c>
      <c r="AR5" s="348">
        <f>AI5</f>
        <v>0</v>
      </c>
      <c r="AT5" s="348">
        <f>SUM(AM5:AR5)</f>
        <v>70085.027000000002</v>
      </c>
    </row>
    <row r="6" spans="1:46" ht="16.5" thickTop="1" thickBot="1" x14ac:dyDescent="0.25">
      <c r="A6" s="349"/>
      <c r="B6" s="350" t="s">
        <v>408</v>
      </c>
      <c r="D6" s="351">
        <f>SUM(D4:D5)</f>
        <v>1054653.183</v>
      </c>
      <c r="E6" s="352">
        <f>SUM(E4:E5)</f>
        <v>245316.34000000003</v>
      </c>
      <c r="G6" s="351">
        <f t="shared" ref="G6:M6" si="0">SUM(G4:G5)</f>
        <v>188263.58199999999</v>
      </c>
      <c r="H6" s="351">
        <f t="shared" si="0"/>
        <v>99542.99</v>
      </c>
      <c r="I6" s="351">
        <f t="shared" si="0"/>
        <v>8132.5649999999996</v>
      </c>
      <c r="J6" s="351">
        <f t="shared" si="0"/>
        <v>30910.101999999999</v>
      </c>
      <c r="K6" s="351">
        <f t="shared" si="0"/>
        <v>1901.1029999999998</v>
      </c>
      <c r="L6" s="351">
        <f t="shared" si="0"/>
        <v>963884.26599999995</v>
      </c>
      <c r="M6" s="352">
        <f t="shared" si="0"/>
        <v>312854.76499999996</v>
      </c>
      <c r="N6" s="334"/>
      <c r="O6" s="351">
        <f t="shared" ref="O6:AC6" si="1">SUM(O4:O5)</f>
        <v>12331.133000000002</v>
      </c>
      <c r="P6" s="351">
        <f t="shared" si="1"/>
        <v>946.27299999999991</v>
      </c>
      <c r="Q6" s="351">
        <f t="shared" si="1"/>
        <v>23111.214</v>
      </c>
      <c r="R6" s="351">
        <f t="shared" si="1"/>
        <v>24013.304</v>
      </c>
      <c r="S6" s="351">
        <f t="shared" si="1"/>
        <v>32317.652000000002</v>
      </c>
      <c r="T6" s="351">
        <f t="shared" si="1"/>
        <v>2052.2440000000001</v>
      </c>
      <c r="U6" s="351">
        <f t="shared" si="1"/>
        <v>149544.47464360099</v>
      </c>
      <c r="V6" s="351">
        <f t="shared" si="1"/>
        <v>59710.104000000007</v>
      </c>
      <c r="W6" s="351">
        <f t="shared" si="1"/>
        <v>28707.201000000001</v>
      </c>
      <c r="X6" s="351">
        <f t="shared" si="1"/>
        <v>22477.199000000001</v>
      </c>
      <c r="Y6" s="351">
        <f t="shared" si="1"/>
        <v>1100.4519999999998</v>
      </c>
      <c r="Z6" s="351">
        <f t="shared" si="1"/>
        <v>329.98700000000002</v>
      </c>
      <c r="AA6" s="351">
        <f t="shared" si="1"/>
        <v>11213.7274</v>
      </c>
      <c r="AB6" s="351">
        <f t="shared" si="1"/>
        <v>903.45399999999995</v>
      </c>
      <c r="AC6" s="352">
        <f t="shared" si="1"/>
        <v>7128.2109999999993</v>
      </c>
      <c r="AE6" s="352">
        <f>SUM(AE4:AE5)</f>
        <v>0.1750000000001819</v>
      </c>
      <c r="AG6" s="352">
        <f>SUM(AG4:AG5)</f>
        <v>20516.567999999999</v>
      </c>
      <c r="AI6" s="352">
        <f>SUM(AI4:AI5)</f>
        <v>0</v>
      </c>
      <c r="AK6" s="352">
        <f>SUM(AK4:AK5)</f>
        <v>3301862.2690436011</v>
      </c>
      <c r="AM6" s="351">
        <f>SUM(AM4:AM5)</f>
        <v>1299969.5229999998</v>
      </c>
      <c r="AN6" s="351">
        <f t="shared" ref="AN6:AT6" si="2">SUM(AN4:AN5)</f>
        <v>1605489.3729999999</v>
      </c>
      <c r="AO6" s="351">
        <f t="shared" si="2"/>
        <v>375886.63004360109</v>
      </c>
      <c r="AP6" s="351">
        <f t="shared" si="2"/>
        <v>0.1750000000001819</v>
      </c>
      <c r="AQ6" s="351">
        <f t="shared" si="2"/>
        <v>20516.567999999999</v>
      </c>
      <c r="AR6" s="352">
        <f t="shared" si="2"/>
        <v>0</v>
      </c>
      <c r="AT6" s="352">
        <f t="shared" si="2"/>
        <v>3301862.2690436011</v>
      </c>
    </row>
    <row r="7" spans="1:46" ht="15.75" thickTop="1" x14ac:dyDescent="0.2">
      <c r="A7" s="353">
        <v>8</v>
      </c>
      <c r="B7" s="354" t="s">
        <v>409</v>
      </c>
      <c r="D7" s="355">
        <v>0</v>
      </c>
      <c r="E7" s="356">
        <v>0</v>
      </c>
      <c r="G7" s="355"/>
      <c r="H7" s="355"/>
      <c r="I7" s="355"/>
      <c r="J7" s="355"/>
      <c r="K7" s="355"/>
      <c r="L7" s="355"/>
      <c r="M7" s="356"/>
      <c r="N7" s="33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6"/>
      <c r="AE7" s="356"/>
      <c r="AG7" s="356"/>
      <c r="AI7" s="356"/>
      <c r="AK7" s="356"/>
      <c r="AM7" s="355"/>
      <c r="AN7" s="355"/>
      <c r="AO7" s="355"/>
      <c r="AP7" s="355"/>
      <c r="AQ7" s="355"/>
      <c r="AR7" s="356"/>
      <c r="AT7" s="356"/>
    </row>
    <row r="8" spans="1:46" ht="15" x14ac:dyDescent="0.2">
      <c r="A8" s="357">
        <v>9</v>
      </c>
      <c r="B8" s="358" t="s">
        <v>410</v>
      </c>
      <c r="D8" s="359">
        <v>36981.507438781999</v>
      </c>
      <c r="E8" s="360">
        <v>17873.356590855004</v>
      </c>
      <c r="G8" s="359">
        <v>149.017974662</v>
      </c>
      <c r="H8" s="359">
        <v>0</v>
      </c>
      <c r="I8" s="359">
        <v>0</v>
      </c>
      <c r="J8" s="359">
        <v>910.935719479</v>
      </c>
      <c r="K8" s="359">
        <v>0</v>
      </c>
      <c r="L8" s="359">
        <v>9.971361427999998</v>
      </c>
      <c r="M8" s="360">
        <v>3447.1089999999999</v>
      </c>
      <c r="N8" s="334"/>
      <c r="O8" s="359">
        <v>0</v>
      </c>
      <c r="P8" s="359">
        <v>-55.072000000000003</v>
      </c>
      <c r="Q8" s="359">
        <v>0</v>
      </c>
      <c r="R8" s="359">
        <v>0</v>
      </c>
      <c r="S8" s="359">
        <v>877.12579299900005</v>
      </c>
      <c r="T8" s="359">
        <v>0</v>
      </c>
      <c r="U8" s="359">
        <v>24905.843616066999</v>
      </c>
      <c r="V8" s="359">
        <v>26427.996653777998</v>
      </c>
      <c r="W8" s="359">
        <v>10967.752756921998</v>
      </c>
      <c r="X8" s="359">
        <v>2002.1953098029999</v>
      </c>
      <c r="Y8" s="359">
        <v>322.96328356999999</v>
      </c>
      <c r="Z8" s="359">
        <v>45.618083663999997</v>
      </c>
      <c r="AA8" s="359">
        <v>2909.3843595239996</v>
      </c>
      <c r="AB8" s="359">
        <v>115.52316870500002</v>
      </c>
      <c r="AC8" s="360">
        <v>677.72199999999998</v>
      </c>
      <c r="AE8" s="360">
        <v>0</v>
      </c>
      <c r="AG8" s="360">
        <v>11.545261872999999</v>
      </c>
      <c r="AI8" s="360">
        <v>0</v>
      </c>
      <c r="AK8" s="360">
        <f t="shared" ref="AK8:AK16" si="3">SUM(D8:AI8)</f>
        <v>128580.496372111</v>
      </c>
      <c r="AM8" s="359">
        <f>SUM(D8:E8)</f>
        <v>54854.864029636999</v>
      </c>
      <c r="AN8" s="359">
        <f t="shared" ref="AN8:AN16" si="4">SUM(G8:M8)</f>
        <v>4517.034055569</v>
      </c>
      <c r="AO8" s="359">
        <f t="shared" ref="AO8:AO16" si="5">SUM(O8:AC8)</f>
        <v>69197.053025031986</v>
      </c>
      <c r="AP8" s="359">
        <f t="shared" ref="AP8:AP16" si="6">AE8</f>
        <v>0</v>
      </c>
      <c r="AQ8" s="359">
        <f t="shared" ref="AQ8:AQ16" si="7">AG8</f>
        <v>11.545261872999999</v>
      </c>
      <c r="AR8" s="360">
        <f t="shared" ref="AR8:AR16" si="8">AI8</f>
        <v>0</v>
      </c>
      <c r="AT8" s="360">
        <f t="shared" ref="AT8:AT16" si="9">SUM(AM8:AR8)</f>
        <v>128580.49637211098</v>
      </c>
    </row>
    <row r="9" spans="1:46" ht="15" x14ac:dyDescent="0.2">
      <c r="A9" s="357">
        <v>10</v>
      </c>
      <c r="B9" s="358" t="s">
        <v>411</v>
      </c>
      <c r="D9" s="359">
        <v>0</v>
      </c>
      <c r="E9" s="360">
        <v>0</v>
      </c>
      <c r="G9" s="359">
        <v>0</v>
      </c>
      <c r="H9" s="359">
        <v>0</v>
      </c>
      <c r="I9" s="359">
        <v>0</v>
      </c>
      <c r="J9" s="359">
        <v>0</v>
      </c>
      <c r="K9" s="359">
        <v>0</v>
      </c>
      <c r="L9" s="359">
        <v>0</v>
      </c>
      <c r="M9" s="360">
        <v>0</v>
      </c>
      <c r="N9" s="334"/>
      <c r="O9" s="359">
        <v>0</v>
      </c>
      <c r="P9" s="359">
        <v>0</v>
      </c>
      <c r="Q9" s="359">
        <v>0</v>
      </c>
      <c r="R9" s="359">
        <v>0</v>
      </c>
      <c r="S9" s="359">
        <v>0</v>
      </c>
      <c r="T9" s="359">
        <v>0</v>
      </c>
      <c r="U9" s="359">
        <v>0</v>
      </c>
      <c r="V9" s="359">
        <v>0</v>
      </c>
      <c r="W9" s="359">
        <v>0</v>
      </c>
      <c r="X9" s="359">
        <v>0</v>
      </c>
      <c r="Y9" s="359">
        <v>0</v>
      </c>
      <c r="Z9" s="359">
        <v>0</v>
      </c>
      <c r="AA9" s="359">
        <v>0</v>
      </c>
      <c r="AB9" s="359">
        <v>0</v>
      </c>
      <c r="AC9" s="360">
        <v>1365.7820541630001</v>
      </c>
      <c r="AE9" s="360">
        <v>0</v>
      </c>
      <c r="AG9" s="360">
        <v>0</v>
      </c>
      <c r="AI9" s="360">
        <v>0</v>
      </c>
      <c r="AK9" s="360">
        <f t="shared" si="3"/>
        <v>1365.7820541630001</v>
      </c>
      <c r="AM9" s="359">
        <f t="shared" ref="AM9:AM15" si="10">SUM(D9:E9)</f>
        <v>0</v>
      </c>
      <c r="AN9" s="359">
        <f t="shared" si="4"/>
        <v>0</v>
      </c>
      <c r="AO9" s="359">
        <f t="shared" si="5"/>
        <v>1365.7820541630001</v>
      </c>
      <c r="AP9" s="359">
        <f t="shared" si="6"/>
        <v>0</v>
      </c>
      <c r="AQ9" s="359">
        <f t="shared" si="7"/>
        <v>0</v>
      </c>
      <c r="AR9" s="360">
        <f t="shared" si="8"/>
        <v>0</v>
      </c>
      <c r="AT9" s="360">
        <f t="shared" si="9"/>
        <v>1365.7820541630001</v>
      </c>
    </row>
    <row r="10" spans="1:46" ht="15" x14ac:dyDescent="0.2">
      <c r="A10" s="357">
        <v>11</v>
      </c>
      <c r="B10" s="358" t="s">
        <v>75</v>
      </c>
      <c r="D10" s="359">
        <v>0</v>
      </c>
      <c r="E10" s="360">
        <v>0</v>
      </c>
      <c r="G10" s="359">
        <v>0</v>
      </c>
      <c r="H10" s="359">
        <v>0</v>
      </c>
      <c r="I10" s="359">
        <v>0</v>
      </c>
      <c r="J10" s="359">
        <v>7770.8580000000002</v>
      </c>
      <c r="K10" s="359">
        <v>0</v>
      </c>
      <c r="L10" s="359">
        <v>964259.76899999997</v>
      </c>
      <c r="M10" s="360">
        <v>0</v>
      </c>
      <c r="N10" s="334"/>
      <c r="O10" s="359">
        <v>0</v>
      </c>
      <c r="P10" s="359">
        <v>469.21899999999999</v>
      </c>
      <c r="Q10" s="359">
        <v>0</v>
      </c>
      <c r="R10" s="359">
        <v>0</v>
      </c>
      <c r="S10" s="359">
        <v>213.804</v>
      </c>
      <c r="T10" s="359">
        <v>0</v>
      </c>
      <c r="U10" s="359">
        <v>0</v>
      </c>
      <c r="V10" s="359">
        <v>0</v>
      </c>
      <c r="W10" s="359">
        <v>0</v>
      </c>
      <c r="X10" s="359">
        <v>0</v>
      </c>
      <c r="Y10" s="359">
        <v>0</v>
      </c>
      <c r="Z10" s="359">
        <v>0</v>
      </c>
      <c r="AA10" s="359">
        <v>0</v>
      </c>
      <c r="AB10" s="359">
        <v>0</v>
      </c>
      <c r="AC10" s="360">
        <v>307.06599999999997</v>
      </c>
      <c r="AE10" s="360">
        <v>0</v>
      </c>
      <c r="AG10" s="360">
        <v>7273.3819999999996</v>
      </c>
      <c r="AI10" s="360">
        <v>0</v>
      </c>
      <c r="AK10" s="360">
        <f t="shared" si="3"/>
        <v>980294.098</v>
      </c>
      <c r="AM10" s="359">
        <f t="shared" si="10"/>
        <v>0</v>
      </c>
      <c r="AN10" s="359">
        <f t="shared" si="4"/>
        <v>972030.62699999998</v>
      </c>
      <c r="AO10" s="359">
        <f t="shared" si="5"/>
        <v>990.08899999999994</v>
      </c>
      <c r="AP10" s="359">
        <f t="shared" si="6"/>
        <v>0</v>
      </c>
      <c r="AQ10" s="359">
        <f t="shared" si="7"/>
        <v>7273.3819999999996</v>
      </c>
      <c r="AR10" s="360">
        <f t="shared" si="8"/>
        <v>0</v>
      </c>
      <c r="AT10" s="360">
        <f t="shared" si="9"/>
        <v>980294.098</v>
      </c>
    </row>
    <row r="11" spans="1:46" ht="15" x14ac:dyDescent="0.2">
      <c r="A11" s="357">
        <v>12</v>
      </c>
      <c r="B11" s="358" t="s">
        <v>412</v>
      </c>
      <c r="D11" s="359">
        <v>58987.395000000004</v>
      </c>
      <c r="E11" s="360">
        <v>56761.261000000006</v>
      </c>
      <c r="G11" s="359">
        <v>11197.882</v>
      </c>
      <c r="H11" s="359">
        <v>0</v>
      </c>
      <c r="I11" s="359">
        <v>1920.13</v>
      </c>
      <c r="J11" s="359">
        <v>3902.0309999999999</v>
      </c>
      <c r="K11" s="359">
        <v>0</v>
      </c>
      <c r="L11" s="359">
        <v>29.404</v>
      </c>
      <c r="M11" s="360">
        <v>20089.998</v>
      </c>
      <c r="N11" s="334"/>
      <c r="O11" s="359">
        <v>0</v>
      </c>
      <c r="P11" s="359">
        <v>0</v>
      </c>
      <c r="Q11" s="359">
        <v>1088.75</v>
      </c>
      <c r="R11" s="359">
        <v>944.50400000000002</v>
      </c>
      <c r="S11" s="359">
        <v>0</v>
      </c>
      <c r="T11" s="359">
        <v>1151.865</v>
      </c>
      <c r="U11" s="359">
        <v>18029.736000000001</v>
      </c>
      <c r="V11" s="359">
        <v>11538.688</v>
      </c>
      <c r="W11" s="359">
        <v>8695.4660000000003</v>
      </c>
      <c r="X11" s="359">
        <v>6537.03</v>
      </c>
      <c r="Y11" s="359">
        <v>125.929</v>
      </c>
      <c r="Z11" s="359">
        <v>97.629000000000005</v>
      </c>
      <c r="AA11" s="359">
        <v>1806.1590000000001</v>
      </c>
      <c r="AB11" s="359">
        <v>23.152999999999999</v>
      </c>
      <c r="AC11" s="360">
        <v>692.28599999999994</v>
      </c>
      <c r="AE11" s="360">
        <v>0</v>
      </c>
      <c r="AG11" s="360">
        <v>558.54499999999996</v>
      </c>
      <c r="AI11" s="360">
        <v>0</v>
      </c>
      <c r="AK11" s="360">
        <f t="shared" si="3"/>
        <v>204177.84099999999</v>
      </c>
      <c r="AM11" s="359">
        <f t="shared" si="10"/>
        <v>115748.65600000002</v>
      </c>
      <c r="AN11" s="359">
        <f t="shared" si="4"/>
        <v>37139.444999999992</v>
      </c>
      <c r="AO11" s="359">
        <f t="shared" si="5"/>
        <v>50731.194999999992</v>
      </c>
      <c r="AP11" s="359">
        <f t="shared" si="6"/>
        <v>0</v>
      </c>
      <c r="AQ11" s="359">
        <f t="shared" si="7"/>
        <v>558.54499999999996</v>
      </c>
      <c r="AR11" s="360">
        <f t="shared" si="8"/>
        <v>0</v>
      </c>
      <c r="AT11" s="360">
        <f t="shared" si="9"/>
        <v>204177.84100000004</v>
      </c>
    </row>
    <row r="12" spans="1:46" ht="15" x14ac:dyDescent="0.2">
      <c r="A12" s="357">
        <v>13</v>
      </c>
      <c r="B12" s="358" t="s">
        <v>413</v>
      </c>
      <c r="D12" s="359">
        <v>11206.474</v>
      </c>
      <c r="E12" s="360">
        <v>12231.854000000005</v>
      </c>
      <c r="G12" s="359">
        <v>2750.413</v>
      </c>
      <c r="H12" s="359">
        <v>0</v>
      </c>
      <c r="I12" s="359">
        <v>349.55099999999999</v>
      </c>
      <c r="J12" s="359">
        <v>1110.2679999999998</v>
      </c>
      <c r="K12" s="359">
        <v>0</v>
      </c>
      <c r="L12" s="359">
        <v>7.0430000000000001</v>
      </c>
      <c r="M12" s="360">
        <v>3738.3119999999999</v>
      </c>
      <c r="N12" s="334"/>
      <c r="O12" s="359">
        <v>0</v>
      </c>
      <c r="P12" s="359">
        <v>0</v>
      </c>
      <c r="Q12" s="359">
        <v>293.96300000000002</v>
      </c>
      <c r="R12" s="359">
        <v>258.22300000000001</v>
      </c>
      <c r="S12" s="359">
        <v>0</v>
      </c>
      <c r="T12" s="359">
        <v>258.80399999999997</v>
      </c>
      <c r="U12" s="359">
        <v>4133.3039999999992</v>
      </c>
      <c r="V12" s="359">
        <v>2843.777</v>
      </c>
      <c r="W12" s="359">
        <v>2257.7750000000001</v>
      </c>
      <c r="X12" s="359">
        <v>1621.943</v>
      </c>
      <c r="Y12" s="359">
        <v>31.161000000000001</v>
      </c>
      <c r="Z12" s="359">
        <v>24.486000000000001</v>
      </c>
      <c r="AA12" s="359">
        <v>411.02499999999998</v>
      </c>
      <c r="AB12" s="359">
        <v>5.6349999999999998</v>
      </c>
      <c r="AC12" s="360">
        <v>177.33</v>
      </c>
      <c r="AE12" s="360">
        <v>0</v>
      </c>
      <c r="AG12" s="360">
        <v>108.935</v>
      </c>
      <c r="AI12" s="360">
        <v>0</v>
      </c>
      <c r="AK12" s="360">
        <f t="shared" si="3"/>
        <v>43820.276000000013</v>
      </c>
      <c r="AM12" s="359">
        <f t="shared" si="10"/>
        <v>23438.328000000005</v>
      </c>
      <c r="AN12" s="359">
        <f t="shared" si="4"/>
        <v>7955.5869999999995</v>
      </c>
      <c r="AO12" s="359">
        <f t="shared" si="5"/>
        <v>12317.425999999999</v>
      </c>
      <c r="AP12" s="359">
        <f t="shared" si="6"/>
        <v>0</v>
      </c>
      <c r="AQ12" s="359">
        <f t="shared" si="7"/>
        <v>108.935</v>
      </c>
      <c r="AR12" s="360">
        <f t="shared" si="8"/>
        <v>0</v>
      </c>
      <c r="AT12" s="360">
        <f t="shared" si="9"/>
        <v>43820.275999999998</v>
      </c>
    </row>
    <row r="13" spans="1:46" ht="15" x14ac:dyDescent="0.2">
      <c r="A13" s="357">
        <v>14</v>
      </c>
      <c r="B13" s="358" t="s">
        <v>414</v>
      </c>
      <c r="D13" s="359">
        <v>82742.406999999992</v>
      </c>
      <c r="E13" s="360">
        <v>5550.4310000000005</v>
      </c>
      <c r="G13" s="359">
        <v>3279.0129999999999</v>
      </c>
      <c r="H13" s="359">
        <v>0</v>
      </c>
      <c r="I13" s="359">
        <v>0</v>
      </c>
      <c r="J13" s="359">
        <v>3104.02</v>
      </c>
      <c r="K13" s="359">
        <v>0</v>
      </c>
      <c r="L13" s="359">
        <v>0</v>
      </c>
      <c r="M13" s="360">
        <v>12514.939999999999</v>
      </c>
      <c r="N13" s="334"/>
      <c r="O13" s="359">
        <v>2272.3389999999999</v>
      </c>
      <c r="P13" s="359">
        <v>339.52499999999998</v>
      </c>
      <c r="Q13" s="359">
        <v>36701.623</v>
      </c>
      <c r="R13" s="359">
        <v>4212.5550000000003</v>
      </c>
      <c r="S13" s="359">
        <v>13533.003999999999</v>
      </c>
      <c r="T13" s="359">
        <v>0</v>
      </c>
      <c r="U13" s="359">
        <v>2032.9159999999999</v>
      </c>
      <c r="V13" s="359">
        <v>40327.574999999997</v>
      </c>
      <c r="W13" s="359">
        <v>1535.152</v>
      </c>
      <c r="X13" s="359">
        <v>9038.277</v>
      </c>
      <c r="Y13" s="359">
        <v>239.209</v>
      </c>
      <c r="Z13" s="359">
        <v>346.536</v>
      </c>
      <c r="AA13" s="359">
        <v>0</v>
      </c>
      <c r="AB13" s="359">
        <v>703.57299999999987</v>
      </c>
      <c r="AC13" s="360">
        <v>401.185</v>
      </c>
      <c r="AE13" s="360">
        <v>0</v>
      </c>
      <c r="AG13" s="360">
        <v>0</v>
      </c>
      <c r="AI13" s="360">
        <v>0</v>
      </c>
      <c r="AK13" s="360">
        <f t="shared" si="3"/>
        <v>218874.27999999994</v>
      </c>
      <c r="AM13" s="359">
        <f t="shared" si="10"/>
        <v>88292.837999999989</v>
      </c>
      <c r="AN13" s="359">
        <f t="shared" si="4"/>
        <v>18897.972999999998</v>
      </c>
      <c r="AO13" s="359">
        <f t="shared" si="5"/>
        <v>111683.469</v>
      </c>
      <c r="AP13" s="359">
        <f t="shared" si="6"/>
        <v>0</v>
      </c>
      <c r="AQ13" s="359">
        <f t="shared" si="7"/>
        <v>0</v>
      </c>
      <c r="AR13" s="360">
        <f t="shared" si="8"/>
        <v>0</v>
      </c>
      <c r="AT13" s="360">
        <f t="shared" si="9"/>
        <v>218874.27999999997</v>
      </c>
    </row>
    <row r="14" spans="1:46" ht="15" x14ac:dyDescent="0.2">
      <c r="A14" s="357">
        <v>15</v>
      </c>
      <c r="B14" s="358" t="s">
        <v>415</v>
      </c>
      <c r="D14" s="359">
        <v>264581.473</v>
      </c>
      <c r="E14" s="360">
        <v>36090.001000000004</v>
      </c>
      <c r="G14" s="359">
        <v>17.22</v>
      </c>
      <c r="H14" s="359">
        <v>0</v>
      </c>
      <c r="I14" s="359">
        <v>0</v>
      </c>
      <c r="J14" s="359">
        <v>5962.6799999999994</v>
      </c>
      <c r="K14" s="359">
        <v>0</v>
      </c>
      <c r="L14" s="359">
        <v>41.561</v>
      </c>
      <c r="M14" s="360">
        <v>4235.4809999999998</v>
      </c>
      <c r="N14" s="334"/>
      <c r="O14" s="359">
        <v>0</v>
      </c>
      <c r="P14" s="359">
        <v>76.378</v>
      </c>
      <c r="Q14" s="359">
        <v>115.114</v>
      </c>
      <c r="R14" s="359">
        <v>91.4</v>
      </c>
      <c r="S14" s="359">
        <v>624.23099999999999</v>
      </c>
      <c r="T14" s="359">
        <v>0</v>
      </c>
      <c r="U14" s="359">
        <v>23545.853999999999</v>
      </c>
      <c r="V14" s="359">
        <v>17370.728999999999</v>
      </c>
      <c r="W14" s="359">
        <v>1327.4490000000001</v>
      </c>
      <c r="X14" s="359">
        <v>5877.7579999999998</v>
      </c>
      <c r="Y14" s="359">
        <v>39.015000000000001</v>
      </c>
      <c r="Z14" s="359">
        <v>9.3079999999999998</v>
      </c>
      <c r="AA14" s="359">
        <v>2964.6769999999997</v>
      </c>
      <c r="AB14" s="359">
        <v>2027.2619999999997</v>
      </c>
      <c r="AC14" s="360">
        <v>826.3119999999999</v>
      </c>
      <c r="AE14" s="360">
        <v>0</v>
      </c>
      <c r="AG14" s="360">
        <v>0</v>
      </c>
      <c r="AI14" s="360">
        <v>0</v>
      </c>
      <c r="AK14" s="360">
        <f t="shared" si="3"/>
        <v>365823.90300000005</v>
      </c>
      <c r="AM14" s="359">
        <f>SUM(D14:E14)</f>
        <v>300671.47399999999</v>
      </c>
      <c r="AN14" s="359">
        <f t="shared" si="4"/>
        <v>10256.941999999999</v>
      </c>
      <c r="AO14" s="359">
        <f t="shared" si="5"/>
        <v>54895.487000000001</v>
      </c>
      <c r="AP14" s="359">
        <f t="shared" si="6"/>
        <v>0</v>
      </c>
      <c r="AQ14" s="359">
        <f t="shared" si="7"/>
        <v>0</v>
      </c>
      <c r="AR14" s="360">
        <f t="shared" si="8"/>
        <v>0</v>
      </c>
      <c r="AT14" s="360">
        <f t="shared" si="9"/>
        <v>365823.90299999999</v>
      </c>
    </row>
    <row r="15" spans="1:46" ht="15" x14ac:dyDescent="0.2">
      <c r="A15" s="357">
        <v>16</v>
      </c>
      <c r="B15" s="358" t="s">
        <v>416</v>
      </c>
      <c r="D15" s="359">
        <v>36897.360000000001</v>
      </c>
      <c r="E15" s="360">
        <v>8151.2390000000005</v>
      </c>
      <c r="G15" s="359">
        <v>1138.4680000000001</v>
      </c>
      <c r="H15" s="359">
        <v>0</v>
      </c>
      <c r="I15" s="359">
        <v>402.822</v>
      </c>
      <c r="J15" s="359">
        <v>703.94999999999993</v>
      </c>
      <c r="K15" s="359">
        <v>0</v>
      </c>
      <c r="L15" s="359">
        <v>0</v>
      </c>
      <c r="M15" s="360">
        <v>28514.159</v>
      </c>
      <c r="N15" s="334"/>
      <c r="O15" s="359">
        <v>196.25899999999999</v>
      </c>
      <c r="P15" s="359">
        <v>446.97300000000001</v>
      </c>
      <c r="Q15" s="359">
        <v>1279.758</v>
      </c>
      <c r="R15" s="359">
        <v>0</v>
      </c>
      <c r="S15" s="359">
        <v>1706.5540000000001</v>
      </c>
      <c r="T15" s="359">
        <v>36.185000000000002</v>
      </c>
      <c r="U15" s="359">
        <v>11296.49</v>
      </c>
      <c r="V15" s="359">
        <v>7517.5339999999997</v>
      </c>
      <c r="W15" s="359">
        <v>1487.703</v>
      </c>
      <c r="X15" s="359">
        <v>2732.529</v>
      </c>
      <c r="Y15" s="359">
        <v>115.414</v>
      </c>
      <c r="Z15" s="359">
        <v>0</v>
      </c>
      <c r="AA15" s="359">
        <v>135.30000000000001</v>
      </c>
      <c r="AB15" s="359">
        <v>89.855000000000004</v>
      </c>
      <c r="AC15" s="360">
        <v>583.46799999999996</v>
      </c>
      <c r="AE15" s="360">
        <v>0</v>
      </c>
      <c r="AG15" s="360">
        <v>126.131</v>
      </c>
      <c r="AI15" s="360">
        <v>165</v>
      </c>
      <c r="AK15" s="360">
        <f t="shared" si="3"/>
        <v>103723.15099999998</v>
      </c>
      <c r="AM15" s="359">
        <f t="shared" si="10"/>
        <v>45048.599000000002</v>
      </c>
      <c r="AN15" s="359">
        <f t="shared" si="4"/>
        <v>30759.398999999998</v>
      </c>
      <c r="AO15" s="359">
        <f t="shared" si="5"/>
        <v>27624.021999999997</v>
      </c>
      <c r="AP15" s="359">
        <f t="shared" si="6"/>
        <v>0</v>
      </c>
      <c r="AQ15" s="359">
        <f t="shared" si="7"/>
        <v>126.131</v>
      </c>
      <c r="AR15" s="360">
        <f t="shared" si="8"/>
        <v>165</v>
      </c>
      <c r="AT15" s="360">
        <f t="shared" si="9"/>
        <v>103723.15099999998</v>
      </c>
    </row>
    <row r="16" spans="1:46" ht="15.75" thickBot="1" x14ac:dyDescent="0.25">
      <c r="A16" s="361">
        <v>17</v>
      </c>
      <c r="B16" s="362" t="s">
        <v>417</v>
      </c>
      <c r="D16" s="359">
        <v>89506.171999999991</v>
      </c>
      <c r="E16" s="360">
        <v>21517.591</v>
      </c>
      <c r="G16" s="359">
        <v>89597.773378587066</v>
      </c>
      <c r="H16" s="359">
        <v>65584.079059057723</v>
      </c>
      <c r="I16" s="359">
        <v>0</v>
      </c>
      <c r="J16" s="359">
        <v>3193.5451251386207</v>
      </c>
      <c r="K16" s="359">
        <v>0</v>
      </c>
      <c r="L16" s="359">
        <v>0</v>
      </c>
      <c r="M16" s="360">
        <v>50685.083965562422</v>
      </c>
      <c r="N16" s="334"/>
      <c r="O16" s="359">
        <v>2432.5878316655721</v>
      </c>
      <c r="P16" s="359">
        <v>192.25992842788168</v>
      </c>
      <c r="Q16" s="359">
        <v>224.15688355118311</v>
      </c>
      <c r="R16" s="359">
        <v>195.75670973618571</v>
      </c>
      <c r="S16" s="359">
        <v>5927.6042930331814</v>
      </c>
      <c r="T16" s="359">
        <v>237.15129154689652</v>
      </c>
      <c r="U16" s="359">
        <v>39311.785999999993</v>
      </c>
      <c r="V16" s="359">
        <v>19221.743368558673</v>
      </c>
      <c r="W16" s="359">
        <v>11878.252655148031</v>
      </c>
      <c r="X16" s="359">
        <v>4711.9140135996313</v>
      </c>
      <c r="Y16" s="359">
        <v>88.427999999999997</v>
      </c>
      <c r="Z16" s="359">
        <v>84.07</v>
      </c>
      <c r="AA16" s="359">
        <v>122.67</v>
      </c>
      <c r="AB16" s="359">
        <v>4.4075169657448017</v>
      </c>
      <c r="AC16" s="360">
        <v>136.12668810716201</v>
      </c>
      <c r="AE16" s="360">
        <v>17970.813999999998</v>
      </c>
      <c r="AG16" s="360">
        <v>0</v>
      </c>
      <c r="AI16" s="360">
        <v>0</v>
      </c>
      <c r="AK16" s="360">
        <f t="shared" si="3"/>
        <v>422823.97370868589</v>
      </c>
      <c r="AM16" s="359">
        <f>SUM(D16:E16)</f>
        <v>111023.76299999999</v>
      </c>
      <c r="AN16" s="359">
        <f t="shared" si="4"/>
        <v>209060.48152834584</v>
      </c>
      <c r="AO16" s="359">
        <f t="shared" si="5"/>
        <v>84768.915180340133</v>
      </c>
      <c r="AP16" s="359">
        <f t="shared" si="6"/>
        <v>17970.813999999998</v>
      </c>
      <c r="AQ16" s="359">
        <f t="shared" si="7"/>
        <v>0</v>
      </c>
      <c r="AR16" s="360">
        <f t="shared" si="8"/>
        <v>0</v>
      </c>
      <c r="AT16" s="360">
        <f t="shared" si="9"/>
        <v>422823.97370868595</v>
      </c>
    </row>
    <row r="17" spans="1:49" ht="16.5" thickTop="1" thickBot="1" x14ac:dyDescent="0.25">
      <c r="A17" s="363">
        <v>18</v>
      </c>
      <c r="B17" s="364" t="s">
        <v>418</v>
      </c>
      <c r="D17" s="365">
        <f>SUM(D7:D16)</f>
        <v>580902.78843878198</v>
      </c>
      <c r="E17" s="366">
        <f>SUM(E7:E16)</f>
        <v>158175.73359085503</v>
      </c>
      <c r="G17" s="365">
        <f t="shared" ref="G17:M17" si="11">SUM(G7:G16)</f>
        <v>108129.78735324906</v>
      </c>
      <c r="H17" s="365">
        <f t="shared" si="11"/>
        <v>65584.079059057723</v>
      </c>
      <c r="I17" s="365">
        <f t="shared" si="11"/>
        <v>2672.5030000000002</v>
      </c>
      <c r="J17" s="365">
        <f t="shared" si="11"/>
        <v>26658.287844617622</v>
      </c>
      <c r="K17" s="365">
        <f t="shared" si="11"/>
        <v>0</v>
      </c>
      <c r="L17" s="365">
        <f t="shared" si="11"/>
        <v>964347.74836142792</v>
      </c>
      <c r="M17" s="366">
        <f t="shared" si="11"/>
        <v>123225.08296556241</v>
      </c>
      <c r="N17" s="334"/>
      <c r="O17" s="365">
        <f t="shared" ref="O17:AC17" si="12">SUM(O7:O16)</f>
        <v>4901.1858316655726</v>
      </c>
      <c r="P17" s="365">
        <f t="shared" si="12"/>
        <v>1469.2829284278819</v>
      </c>
      <c r="Q17" s="365">
        <f t="shared" si="12"/>
        <v>39703.364883551192</v>
      </c>
      <c r="R17" s="365">
        <f t="shared" si="12"/>
        <v>5702.438709736185</v>
      </c>
      <c r="S17" s="365">
        <f t="shared" si="12"/>
        <v>22882.323086032182</v>
      </c>
      <c r="T17" s="365">
        <f t="shared" si="12"/>
        <v>1684.0052915468964</v>
      </c>
      <c r="U17" s="365">
        <f t="shared" si="12"/>
        <v>123255.92961606699</v>
      </c>
      <c r="V17" s="365">
        <f t="shared" si="12"/>
        <v>125248.04302233666</v>
      </c>
      <c r="W17" s="365">
        <f t="shared" si="12"/>
        <v>38149.550412070035</v>
      </c>
      <c r="X17" s="365">
        <f t="shared" si="12"/>
        <v>32521.646323402631</v>
      </c>
      <c r="Y17" s="365">
        <f t="shared" si="12"/>
        <v>962.11928356999999</v>
      </c>
      <c r="Z17" s="365">
        <f t="shared" si="12"/>
        <v>607.64708366399987</v>
      </c>
      <c r="AA17" s="365">
        <f t="shared" si="12"/>
        <v>8349.2153595239979</v>
      </c>
      <c r="AB17" s="365">
        <f t="shared" si="12"/>
        <v>2969.4086856707445</v>
      </c>
      <c r="AC17" s="366">
        <f t="shared" si="12"/>
        <v>5167.277742270162</v>
      </c>
      <c r="AE17" s="366">
        <f>SUM(AE7:AE16)</f>
        <v>17970.813999999998</v>
      </c>
      <c r="AG17" s="366">
        <f>SUM(AG7:AG16)</f>
        <v>8078.538261873</v>
      </c>
      <c r="AI17" s="366">
        <f>SUM(AI7:AI16)</f>
        <v>165</v>
      </c>
      <c r="AK17" s="366">
        <f>SUM(AK7:AK16)</f>
        <v>2469483.8011349603</v>
      </c>
      <c r="AM17" s="365">
        <f>SUM(AM7:AM16)</f>
        <v>739078.52202963701</v>
      </c>
      <c r="AN17" s="365">
        <f t="shared" ref="AN17:AT17" si="13">SUM(AN7:AN16)</f>
        <v>1290617.4885839149</v>
      </c>
      <c r="AO17" s="365">
        <f t="shared" si="13"/>
        <v>413573.43825953512</v>
      </c>
      <c r="AP17" s="365">
        <f t="shared" si="13"/>
        <v>17970.813999999998</v>
      </c>
      <c r="AQ17" s="365">
        <f t="shared" si="13"/>
        <v>8078.538261873</v>
      </c>
      <c r="AR17" s="366">
        <f t="shared" si="13"/>
        <v>165</v>
      </c>
      <c r="AT17" s="366">
        <f t="shared" si="13"/>
        <v>2469483.8011349598</v>
      </c>
    </row>
    <row r="18" spans="1:49" ht="16.5" thickTop="1" thickBot="1" x14ac:dyDescent="0.25">
      <c r="A18" s="367">
        <v>19</v>
      </c>
      <c r="B18" s="368" t="s">
        <v>419</v>
      </c>
      <c r="D18" s="369">
        <f>D6-D17</f>
        <v>473750.39456121798</v>
      </c>
      <c r="E18" s="370">
        <f>E6-E17</f>
        <v>87140.606409144995</v>
      </c>
      <c r="G18" s="369">
        <f t="shared" ref="G18:M18" si="14">G6-G17</f>
        <v>80133.794646750932</v>
      </c>
      <c r="H18" s="369">
        <f t="shared" si="14"/>
        <v>33958.910940942282</v>
      </c>
      <c r="I18" s="369">
        <f t="shared" si="14"/>
        <v>5460.0619999999999</v>
      </c>
      <c r="J18" s="369">
        <f t="shared" si="14"/>
        <v>4251.8141553823771</v>
      </c>
      <c r="K18" s="369">
        <f t="shared" si="14"/>
        <v>1901.1029999999998</v>
      </c>
      <c r="L18" s="369">
        <f t="shared" si="14"/>
        <v>-463.48236142797396</v>
      </c>
      <c r="M18" s="370">
        <f t="shared" si="14"/>
        <v>189629.68203443754</v>
      </c>
      <c r="N18" s="334"/>
      <c r="O18" s="369">
        <f t="shared" ref="O18:AC18" si="15">O6-O17</f>
        <v>7429.9471683344291</v>
      </c>
      <c r="P18" s="369">
        <f t="shared" si="15"/>
        <v>-523.00992842788196</v>
      </c>
      <c r="Q18" s="369">
        <f t="shared" si="15"/>
        <v>-16592.150883551192</v>
      </c>
      <c r="R18" s="369">
        <f t="shared" si="15"/>
        <v>18310.865290263813</v>
      </c>
      <c r="S18" s="369">
        <f t="shared" si="15"/>
        <v>9435.32891396782</v>
      </c>
      <c r="T18" s="369">
        <f t="shared" si="15"/>
        <v>368.23870845310375</v>
      </c>
      <c r="U18" s="369">
        <f t="shared" si="15"/>
        <v>26288.545027533997</v>
      </c>
      <c r="V18" s="369">
        <f t="shared" si="15"/>
        <v>-65537.93902233665</v>
      </c>
      <c r="W18" s="369">
        <f t="shared" si="15"/>
        <v>-9442.3494120700343</v>
      </c>
      <c r="X18" s="369">
        <f t="shared" si="15"/>
        <v>-10044.44732340263</v>
      </c>
      <c r="Y18" s="369">
        <f t="shared" si="15"/>
        <v>138.33271642999978</v>
      </c>
      <c r="Z18" s="369">
        <f t="shared" si="15"/>
        <v>-277.66008366399984</v>
      </c>
      <c r="AA18" s="369">
        <f t="shared" si="15"/>
        <v>2864.5120404760019</v>
      </c>
      <c r="AB18" s="369">
        <f t="shared" si="15"/>
        <v>-2065.9546856707448</v>
      </c>
      <c r="AC18" s="370">
        <f t="shared" si="15"/>
        <v>1960.9332577298374</v>
      </c>
      <c r="AE18" s="370">
        <f>AE6-AE17</f>
        <v>-17970.638999999999</v>
      </c>
      <c r="AG18" s="370">
        <f>AG6-AG17</f>
        <v>12438.029738126999</v>
      </c>
      <c r="AI18" s="370">
        <f>AI6-AI17</f>
        <v>-165</v>
      </c>
      <c r="AK18" s="370">
        <f>AK6-AK17</f>
        <v>832378.46790864086</v>
      </c>
      <c r="AM18" s="369">
        <f>AM6-AM17</f>
        <v>560891.0009703628</v>
      </c>
      <c r="AN18" s="369">
        <f t="shared" ref="AN18:AT18" si="16">AN6-AN17</f>
        <v>314871.88441608497</v>
      </c>
      <c r="AO18" s="369">
        <f t="shared" si="16"/>
        <v>-37686.808215934027</v>
      </c>
      <c r="AP18" s="369">
        <f t="shared" si="16"/>
        <v>-17970.638999999999</v>
      </c>
      <c r="AQ18" s="369">
        <f t="shared" si="16"/>
        <v>12438.029738126999</v>
      </c>
      <c r="AR18" s="370">
        <f t="shared" si="16"/>
        <v>-165</v>
      </c>
      <c r="AT18" s="370">
        <f t="shared" si="16"/>
        <v>832378.46790864132</v>
      </c>
    </row>
    <row r="19" spans="1:49" ht="15.75" thickTop="1" x14ac:dyDescent="0.2">
      <c r="A19" s="353">
        <v>20</v>
      </c>
      <c r="B19" s="354" t="s">
        <v>420</v>
      </c>
      <c r="D19" s="355">
        <v>39410.472041899186</v>
      </c>
      <c r="E19" s="356">
        <v>9282.6413429851382</v>
      </c>
      <c r="G19" s="355">
        <v>0</v>
      </c>
      <c r="H19" s="355">
        <v>0</v>
      </c>
      <c r="I19" s="355">
        <v>0</v>
      </c>
      <c r="J19" s="355">
        <v>0</v>
      </c>
      <c r="K19" s="355">
        <v>0</v>
      </c>
      <c r="L19" s="355">
        <v>0</v>
      </c>
      <c r="M19" s="356">
        <v>0</v>
      </c>
      <c r="N19" s="334"/>
      <c r="O19" s="355">
        <v>0</v>
      </c>
      <c r="P19" s="355">
        <v>0</v>
      </c>
      <c r="Q19" s="355">
        <v>0</v>
      </c>
      <c r="R19" s="355">
        <v>878.81121357247537</v>
      </c>
      <c r="S19" s="355">
        <v>0</v>
      </c>
      <c r="T19" s="355">
        <v>0</v>
      </c>
      <c r="U19" s="355">
        <v>5329.6936071511309</v>
      </c>
      <c r="V19" s="355">
        <v>0</v>
      </c>
      <c r="W19" s="355">
        <v>0</v>
      </c>
      <c r="X19" s="355">
        <v>0</v>
      </c>
      <c r="Y19" s="355">
        <v>0</v>
      </c>
      <c r="Z19" s="355">
        <v>0</v>
      </c>
      <c r="AA19" s="355">
        <v>423.95837007673407</v>
      </c>
      <c r="AB19" s="355">
        <v>0</v>
      </c>
      <c r="AC19" s="356">
        <v>83.664572713485114</v>
      </c>
      <c r="AE19" s="356">
        <v>0</v>
      </c>
      <c r="AG19" s="356">
        <v>0</v>
      </c>
      <c r="AI19" s="356">
        <v>0</v>
      </c>
      <c r="AK19" s="356">
        <f>SUM(D19:AI19)</f>
        <v>55409.241148398141</v>
      </c>
      <c r="AM19" s="355">
        <f t="shared" ref="AM19:AM24" si="17">SUM(D19:E19)</f>
        <v>48693.113384884324</v>
      </c>
      <c r="AN19" s="355">
        <f>SUM(G19:M19)</f>
        <v>0</v>
      </c>
      <c r="AO19" s="355">
        <f>SUM(O19:AC19)</f>
        <v>6716.1277635138258</v>
      </c>
      <c r="AP19" s="355">
        <f>AE19</f>
        <v>0</v>
      </c>
      <c r="AQ19" s="355">
        <f>AG19</f>
        <v>0</v>
      </c>
      <c r="AR19" s="356">
        <f>AI19</f>
        <v>0</v>
      </c>
      <c r="AT19" s="356">
        <f>SUM(AM19:AR19)</f>
        <v>55409.241148398149</v>
      </c>
    </row>
    <row r="20" spans="1:49" ht="15" x14ac:dyDescent="0.2">
      <c r="A20" s="357"/>
      <c r="B20" s="371" t="s">
        <v>421</v>
      </c>
      <c r="D20" s="359">
        <v>143756.90482611064</v>
      </c>
      <c r="E20" s="360">
        <v>33549.308285030485</v>
      </c>
      <c r="G20" s="359">
        <v>25625.405918541313</v>
      </c>
      <c r="H20" s="359">
        <v>13546.768958851915</v>
      </c>
      <c r="I20" s="359">
        <v>1041.1250231705521</v>
      </c>
      <c r="J20" s="359">
        <v>3862.4753345664421</v>
      </c>
      <c r="K20" s="359">
        <v>258.25513328178886</v>
      </c>
      <c r="L20" s="359">
        <v>0</v>
      </c>
      <c r="M20" s="360">
        <v>40165.934538756243</v>
      </c>
      <c r="N20" s="334"/>
      <c r="O20" s="359">
        <v>1630.5734900095863</v>
      </c>
      <c r="P20" s="359">
        <v>129.83913651014123</v>
      </c>
      <c r="Q20" s="359">
        <v>1446.6779466303922</v>
      </c>
      <c r="R20" s="359">
        <v>3176.3701222981249</v>
      </c>
      <c r="S20" s="359">
        <v>3971.3126445989428</v>
      </c>
      <c r="T20" s="359">
        <v>266.23863779987659</v>
      </c>
      <c r="U20" s="359">
        <v>19709.896511018116</v>
      </c>
      <c r="V20" s="359">
        <v>4880.3588480891049</v>
      </c>
      <c r="W20" s="359">
        <v>4337.8833388268704</v>
      </c>
      <c r="X20" s="359">
        <v>2456.1965860531946</v>
      </c>
      <c r="Y20" s="359">
        <v>164.26267842171396</v>
      </c>
      <c r="Z20" s="359">
        <v>44.780740174784945</v>
      </c>
      <c r="AA20" s="359">
        <v>1540.1988527095734</v>
      </c>
      <c r="AB20" s="359">
        <v>125.30211798367523</v>
      </c>
      <c r="AC20" s="360">
        <v>466.27633056648233</v>
      </c>
      <c r="AE20" s="360">
        <v>0</v>
      </c>
      <c r="AG20" s="360">
        <v>0</v>
      </c>
      <c r="AI20" s="360">
        <v>0</v>
      </c>
      <c r="AK20" s="360">
        <f>SUM(D20:AI20)</f>
        <v>306152.34599999996</v>
      </c>
      <c r="AM20" s="359">
        <f t="shared" si="17"/>
        <v>177306.21311114111</v>
      </c>
      <c r="AN20" s="359">
        <f>SUM(G20:M20)</f>
        <v>84499.964907168251</v>
      </c>
      <c r="AO20" s="359">
        <f>SUM(O20:AC20)</f>
        <v>44346.167981690582</v>
      </c>
      <c r="AP20" s="359">
        <f>AE20</f>
        <v>0</v>
      </c>
      <c r="AQ20" s="359">
        <f>AG20</f>
        <v>0</v>
      </c>
      <c r="AR20" s="360">
        <f>AI20</f>
        <v>0</v>
      </c>
      <c r="AT20" s="360">
        <f>SUM(AM20:AR20)</f>
        <v>306152.3459999999</v>
      </c>
    </row>
    <row r="21" spans="1:49" ht="15.75" thickBot="1" x14ac:dyDescent="0.25">
      <c r="A21" s="361">
        <v>21</v>
      </c>
      <c r="B21" s="372" t="s">
        <v>422</v>
      </c>
      <c r="D21" s="373">
        <v>281872.09635648777</v>
      </c>
      <c r="E21" s="374">
        <v>7647.2835866454388</v>
      </c>
      <c r="G21" s="373">
        <v>4380.9253741892207</v>
      </c>
      <c r="H21" s="373">
        <v>2591.7972340583865</v>
      </c>
      <c r="I21" s="373">
        <v>121.63361166806577</v>
      </c>
      <c r="J21" s="373">
        <v>1394.3230326417436</v>
      </c>
      <c r="K21" s="373">
        <v>8.4587105646792509</v>
      </c>
      <c r="L21" s="373">
        <v>0</v>
      </c>
      <c r="M21" s="374">
        <v>5354.8787267510315</v>
      </c>
      <c r="N21" s="334"/>
      <c r="O21" s="373">
        <v>1562.4367410750006</v>
      </c>
      <c r="P21" s="373">
        <v>52.376541496055495</v>
      </c>
      <c r="Q21" s="373">
        <v>14579.469129280937</v>
      </c>
      <c r="R21" s="373">
        <v>319.59435894674749</v>
      </c>
      <c r="S21" s="373">
        <v>5382.9504687318513</v>
      </c>
      <c r="T21" s="373">
        <v>173.37694493904721</v>
      </c>
      <c r="U21" s="373">
        <v>4857.1692013644815</v>
      </c>
      <c r="V21" s="373">
        <v>5132.869949356621</v>
      </c>
      <c r="W21" s="373">
        <v>2465.8491093467164</v>
      </c>
      <c r="X21" s="373">
        <v>1612.6401489029709</v>
      </c>
      <c r="Y21" s="373">
        <v>36.892738125625129</v>
      </c>
      <c r="Z21" s="373">
        <v>21.369171083132844</v>
      </c>
      <c r="AA21" s="373">
        <v>575.6588581417094</v>
      </c>
      <c r="AB21" s="373">
        <v>101.36202381284699</v>
      </c>
      <c r="AC21" s="374">
        <v>1469.9259537327471</v>
      </c>
      <c r="AE21" s="374">
        <v>0</v>
      </c>
      <c r="AG21" s="374">
        <v>1496.8433257000006</v>
      </c>
      <c r="AI21" s="374">
        <v>0</v>
      </c>
      <c r="AK21" s="374">
        <f>SUM(D21:AI21)</f>
        <v>343212.18129704287</v>
      </c>
      <c r="AM21" s="373">
        <f t="shared" si="17"/>
        <v>289519.37994313322</v>
      </c>
      <c r="AN21" s="373">
        <f>SUM(G21:M21)</f>
        <v>13852.016689873126</v>
      </c>
      <c r="AO21" s="373">
        <f>SUM(O21:AC21)</f>
        <v>38343.941338336488</v>
      </c>
      <c r="AP21" s="373">
        <f>AE21</f>
        <v>0</v>
      </c>
      <c r="AQ21" s="373">
        <f>AG21</f>
        <v>1496.8433257000006</v>
      </c>
      <c r="AR21" s="374">
        <f>AI21</f>
        <v>0</v>
      </c>
      <c r="AT21" s="374">
        <f>SUM(AM21:AR21)</f>
        <v>343212.18129704287</v>
      </c>
    </row>
    <row r="22" spans="1:49" ht="16.5" thickTop="1" thickBot="1" x14ac:dyDescent="0.25">
      <c r="A22" s="349">
        <v>22</v>
      </c>
      <c r="B22" s="350" t="s">
        <v>423</v>
      </c>
      <c r="D22" s="351">
        <f>D18-D19-D20-D21</f>
        <v>8710.9213367204065</v>
      </c>
      <c r="E22" s="352">
        <f>E18-E19-E20-E21</f>
        <v>36661.373194483931</v>
      </c>
      <c r="G22" s="351">
        <f t="shared" ref="G22:M22" si="18">G18-G19-G20-G21</f>
        <v>50127.463354020394</v>
      </c>
      <c r="H22" s="351">
        <f t="shared" si="18"/>
        <v>17820.344748031981</v>
      </c>
      <c r="I22" s="351">
        <f t="shared" si="18"/>
        <v>4297.3033651613814</v>
      </c>
      <c r="J22" s="351">
        <f t="shared" si="18"/>
        <v>-1004.9842118258086</v>
      </c>
      <c r="K22" s="351">
        <f t="shared" si="18"/>
        <v>1634.3891561535318</v>
      </c>
      <c r="L22" s="351">
        <f t="shared" si="18"/>
        <v>-463.48236142797396</v>
      </c>
      <c r="M22" s="352">
        <f t="shared" si="18"/>
        <v>144108.86876893029</v>
      </c>
      <c r="N22" s="334"/>
      <c r="O22" s="351">
        <f t="shared" ref="O22:AC22" si="19">O18-O19-O20-O21</f>
        <v>4236.9369372498422</v>
      </c>
      <c r="P22" s="351">
        <f t="shared" si="19"/>
        <v>-705.2256064340786</v>
      </c>
      <c r="Q22" s="351">
        <f t="shared" si="19"/>
        <v>-32618.297959462521</v>
      </c>
      <c r="R22" s="351">
        <f t="shared" si="19"/>
        <v>13936.089595446463</v>
      </c>
      <c r="S22" s="351">
        <f t="shared" si="19"/>
        <v>81.065800637025859</v>
      </c>
      <c r="T22" s="351">
        <f t="shared" si="19"/>
        <v>-71.376874285820037</v>
      </c>
      <c r="U22" s="351">
        <f t="shared" si="19"/>
        <v>-3608.2142919997304</v>
      </c>
      <c r="V22" s="351">
        <f t="shared" si="19"/>
        <v>-75551.167819782379</v>
      </c>
      <c r="W22" s="351">
        <f t="shared" si="19"/>
        <v>-16246.081860243621</v>
      </c>
      <c r="X22" s="351">
        <f t="shared" si="19"/>
        <v>-14113.284058358795</v>
      </c>
      <c r="Y22" s="351">
        <f t="shared" si="19"/>
        <v>-62.822700117339309</v>
      </c>
      <c r="Z22" s="351">
        <f t="shared" si="19"/>
        <v>-343.80999492191768</v>
      </c>
      <c r="AA22" s="351">
        <f t="shared" si="19"/>
        <v>324.69595954798513</v>
      </c>
      <c r="AB22" s="351">
        <f t="shared" si="19"/>
        <v>-2292.6188274672668</v>
      </c>
      <c r="AC22" s="352">
        <f t="shared" si="19"/>
        <v>-58.93359928287714</v>
      </c>
      <c r="AE22" s="352">
        <f>AE18-AE19-AE20-AE21</f>
        <v>-17970.638999999999</v>
      </c>
      <c r="AG22" s="352">
        <f>AG18-AG19-AG20-AG21</f>
        <v>10941.186412427</v>
      </c>
      <c r="AI22" s="352">
        <f>AI18-AI19-AI20-AI21</f>
        <v>-165</v>
      </c>
      <c r="AK22" s="352">
        <f>AK18-AK19-AK20-AK21</f>
        <v>127604.69946319988</v>
      </c>
      <c r="AM22" s="351">
        <f>AM18-AM19-AM20-AM21</f>
        <v>45372.294531204156</v>
      </c>
      <c r="AN22" s="351">
        <f t="shared" ref="AN22:AR22" si="20">AN18-AN19-AN20-AN21</f>
        <v>216519.90281904361</v>
      </c>
      <c r="AO22" s="351">
        <f t="shared" si="20"/>
        <v>-127093.04529947492</v>
      </c>
      <c r="AP22" s="351">
        <f t="shared" si="20"/>
        <v>-17970.638999999999</v>
      </c>
      <c r="AQ22" s="351">
        <f t="shared" si="20"/>
        <v>10941.186412427</v>
      </c>
      <c r="AR22" s="352">
        <f t="shared" si="20"/>
        <v>-165</v>
      </c>
      <c r="AT22" s="352">
        <f>AT18-AT19-AT20-AT21</f>
        <v>127604.69946320041</v>
      </c>
      <c r="AW22" s="379"/>
    </row>
    <row r="23" spans="1:49" ht="15.75" thickTop="1" x14ac:dyDescent="0.2">
      <c r="A23" s="353">
        <v>23</v>
      </c>
      <c r="B23" s="354" t="s">
        <v>424</v>
      </c>
      <c r="D23" s="355">
        <v>0</v>
      </c>
      <c r="E23" s="356">
        <v>0</v>
      </c>
      <c r="G23" s="355">
        <v>0</v>
      </c>
      <c r="H23" s="355">
        <v>0</v>
      </c>
      <c r="I23" s="355">
        <v>0</v>
      </c>
      <c r="J23" s="355">
        <v>0</v>
      </c>
      <c r="K23" s="355">
        <v>0</v>
      </c>
      <c r="L23" s="355">
        <v>0</v>
      </c>
      <c r="M23" s="356">
        <v>0</v>
      </c>
      <c r="N23" s="334"/>
      <c r="O23" s="355">
        <v>0</v>
      </c>
      <c r="P23" s="355">
        <v>0</v>
      </c>
      <c r="Q23" s="355">
        <v>0</v>
      </c>
      <c r="R23" s="355">
        <v>0</v>
      </c>
      <c r="S23" s="355">
        <v>0</v>
      </c>
      <c r="T23" s="355">
        <v>0</v>
      </c>
      <c r="U23" s="355">
        <v>0</v>
      </c>
      <c r="V23" s="355">
        <v>0</v>
      </c>
      <c r="W23" s="355">
        <v>0</v>
      </c>
      <c r="X23" s="355">
        <v>0</v>
      </c>
      <c r="Y23" s="355">
        <v>0</v>
      </c>
      <c r="Z23" s="355">
        <v>0</v>
      </c>
      <c r="AA23" s="355">
        <v>0</v>
      </c>
      <c r="AB23" s="355">
        <v>0</v>
      </c>
      <c r="AC23" s="356">
        <v>0</v>
      </c>
      <c r="AE23" s="356">
        <v>0</v>
      </c>
      <c r="AG23" s="356">
        <v>1812.462931</v>
      </c>
      <c r="AI23" s="356">
        <v>3186.5306799999998</v>
      </c>
      <c r="AK23" s="356">
        <f>SUM(D23:AI23)</f>
        <v>4998.9936109999999</v>
      </c>
      <c r="AM23" s="355">
        <f t="shared" si="17"/>
        <v>0</v>
      </c>
      <c r="AN23" s="355">
        <f>SUM(G23:M23)</f>
        <v>0</v>
      </c>
      <c r="AO23" s="355">
        <f>SUM(O23:AC23)</f>
        <v>0</v>
      </c>
      <c r="AP23" s="355">
        <f>AE23</f>
        <v>0</v>
      </c>
      <c r="AQ23" s="355">
        <f>AG23</f>
        <v>1812.462931</v>
      </c>
      <c r="AR23" s="356">
        <f>AI23</f>
        <v>3186.5306799999998</v>
      </c>
      <c r="AT23" s="356">
        <f>SUM(AM23:AR23)</f>
        <v>4998.9936109999999</v>
      </c>
    </row>
    <row r="24" spans="1:49" ht="15.75" thickBot="1" x14ac:dyDescent="0.25">
      <c r="A24" s="357">
        <v>24</v>
      </c>
      <c r="B24" s="371" t="s">
        <v>425</v>
      </c>
      <c r="D24" s="373">
        <v>362.54900000000004</v>
      </c>
      <c r="E24" s="374">
        <v>97.948000000000008</v>
      </c>
      <c r="G24" s="373">
        <v>0</v>
      </c>
      <c r="H24" s="373">
        <v>0</v>
      </c>
      <c r="I24" s="373">
        <v>0</v>
      </c>
      <c r="J24" s="373">
        <v>0</v>
      </c>
      <c r="K24" s="373">
        <v>0</v>
      </c>
      <c r="L24" s="373">
        <v>0</v>
      </c>
      <c r="M24" s="374">
        <v>0</v>
      </c>
      <c r="N24" s="334"/>
      <c r="O24" s="373">
        <v>0</v>
      </c>
      <c r="P24" s="373">
        <v>0</v>
      </c>
      <c r="Q24" s="373">
        <v>0</v>
      </c>
      <c r="R24" s="373">
        <v>0</v>
      </c>
      <c r="S24" s="373">
        <v>0</v>
      </c>
      <c r="T24" s="373">
        <v>0</v>
      </c>
      <c r="U24" s="373">
        <v>0</v>
      </c>
      <c r="V24" s="373">
        <v>0</v>
      </c>
      <c r="W24" s="373">
        <v>0</v>
      </c>
      <c r="X24" s="373">
        <v>0</v>
      </c>
      <c r="Y24" s="373">
        <v>0</v>
      </c>
      <c r="Z24" s="373">
        <v>0</v>
      </c>
      <c r="AA24" s="373">
        <v>0</v>
      </c>
      <c r="AB24" s="373">
        <v>0</v>
      </c>
      <c r="AC24" s="374">
        <v>0</v>
      </c>
      <c r="AE24" s="374">
        <v>0</v>
      </c>
      <c r="AG24" s="374">
        <v>1265.0223014999999</v>
      </c>
      <c r="AI24" s="374">
        <v>67222.179000000004</v>
      </c>
      <c r="AK24" s="374">
        <f>SUM(D24:AI24)</f>
        <v>68947.698301500001</v>
      </c>
      <c r="AM24" s="373">
        <f t="shared" si="17"/>
        <v>460.49700000000007</v>
      </c>
      <c r="AN24" s="373">
        <f>SUM(G24:M24)</f>
        <v>0</v>
      </c>
      <c r="AO24" s="373">
        <f>SUM(O24:AC24)</f>
        <v>0</v>
      </c>
      <c r="AP24" s="373">
        <f>AE24</f>
        <v>0</v>
      </c>
      <c r="AQ24" s="373">
        <f>AG24</f>
        <v>1265.0223014999999</v>
      </c>
      <c r="AR24" s="374">
        <f>AI24</f>
        <v>67222.179000000004</v>
      </c>
      <c r="AT24" s="374">
        <f>SUM(AM24:AR24)</f>
        <v>68947.698301500001</v>
      </c>
    </row>
    <row r="25" spans="1:49" ht="16.5" thickTop="1" thickBot="1" x14ac:dyDescent="0.25">
      <c r="A25" s="349">
        <v>25</v>
      </c>
      <c r="B25" s="350" t="s">
        <v>426</v>
      </c>
      <c r="D25" s="351">
        <f>D23-D24</f>
        <v>-362.54900000000004</v>
      </c>
      <c r="E25" s="352">
        <f>E23-E24</f>
        <v>-97.948000000000008</v>
      </c>
      <c r="G25" s="351">
        <f t="shared" ref="G25:M25" si="21">G23-G24</f>
        <v>0</v>
      </c>
      <c r="H25" s="351">
        <f t="shared" si="21"/>
        <v>0</v>
      </c>
      <c r="I25" s="351">
        <f t="shared" si="21"/>
        <v>0</v>
      </c>
      <c r="J25" s="351">
        <f t="shared" si="21"/>
        <v>0</v>
      </c>
      <c r="K25" s="351">
        <f t="shared" si="21"/>
        <v>0</v>
      </c>
      <c r="L25" s="351">
        <f t="shared" si="21"/>
        <v>0</v>
      </c>
      <c r="M25" s="352">
        <f t="shared" si="21"/>
        <v>0</v>
      </c>
      <c r="N25" s="334"/>
      <c r="O25" s="351">
        <f t="shared" ref="O25:AC25" si="22">O23-O24</f>
        <v>0</v>
      </c>
      <c r="P25" s="351">
        <f t="shared" si="22"/>
        <v>0</v>
      </c>
      <c r="Q25" s="351">
        <f t="shared" si="22"/>
        <v>0</v>
      </c>
      <c r="R25" s="351">
        <f t="shared" si="22"/>
        <v>0</v>
      </c>
      <c r="S25" s="351">
        <f t="shared" si="22"/>
        <v>0</v>
      </c>
      <c r="T25" s="351">
        <f t="shared" si="22"/>
        <v>0</v>
      </c>
      <c r="U25" s="351">
        <f t="shared" si="22"/>
        <v>0</v>
      </c>
      <c r="V25" s="351">
        <f t="shared" si="22"/>
        <v>0</v>
      </c>
      <c r="W25" s="351">
        <f t="shared" si="22"/>
        <v>0</v>
      </c>
      <c r="X25" s="351">
        <f t="shared" si="22"/>
        <v>0</v>
      </c>
      <c r="Y25" s="351">
        <f t="shared" si="22"/>
        <v>0</v>
      </c>
      <c r="Z25" s="351">
        <f t="shared" si="22"/>
        <v>0</v>
      </c>
      <c r="AA25" s="351">
        <f t="shared" si="22"/>
        <v>0</v>
      </c>
      <c r="AB25" s="351">
        <f t="shared" si="22"/>
        <v>0</v>
      </c>
      <c r="AC25" s="352">
        <f t="shared" si="22"/>
        <v>0</v>
      </c>
      <c r="AE25" s="352">
        <f>AE23-AE24</f>
        <v>0</v>
      </c>
      <c r="AG25" s="352">
        <f>AG23-AG24</f>
        <v>547.44062950000011</v>
      </c>
      <c r="AI25" s="352">
        <f>AI23-AI24</f>
        <v>-64035.648320000008</v>
      </c>
      <c r="AK25" s="352">
        <f>AK23-AK24</f>
        <v>-63948.704690500002</v>
      </c>
      <c r="AM25" s="351">
        <f>AM23-AM24</f>
        <v>-460.49700000000007</v>
      </c>
      <c r="AN25" s="351">
        <f t="shared" ref="AN25:AT25" si="23">AN23-AN24</f>
        <v>0</v>
      </c>
      <c r="AO25" s="351">
        <f t="shared" si="23"/>
        <v>0</v>
      </c>
      <c r="AP25" s="351">
        <f t="shared" si="23"/>
        <v>0</v>
      </c>
      <c r="AQ25" s="351">
        <f t="shared" si="23"/>
        <v>547.44062950000011</v>
      </c>
      <c r="AR25" s="352">
        <f t="shared" si="23"/>
        <v>-64035.648320000008</v>
      </c>
      <c r="AT25" s="352">
        <f t="shared" si="23"/>
        <v>-63948.704690500002</v>
      </c>
    </row>
    <row r="26" spans="1:49" ht="16.5" thickTop="1" thickBot="1" x14ac:dyDescent="0.25">
      <c r="A26" s="375">
        <v>29</v>
      </c>
      <c r="B26" s="376" t="s">
        <v>427</v>
      </c>
      <c r="D26" s="377">
        <f>D22+D25</f>
        <v>8348.3723367204057</v>
      </c>
      <c r="E26" s="378">
        <f>E22+E25</f>
        <v>36563.425194483934</v>
      </c>
      <c r="G26" s="377">
        <f t="shared" ref="G26:M26" si="24">G22+G25</f>
        <v>50127.463354020394</v>
      </c>
      <c r="H26" s="377">
        <f t="shared" si="24"/>
        <v>17820.344748031981</v>
      </c>
      <c r="I26" s="377">
        <f t="shared" si="24"/>
        <v>4297.3033651613814</v>
      </c>
      <c r="J26" s="377">
        <f t="shared" si="24"/>
        <v>-1004.9842118258086</v>
      </c>
      <c r="K26" s="377">
        <f t="shared" si="24"/>
        <v>1634.3891561535318</v>
      </c>
      <c r="L26" s="377">
        <f t="shared" si="24"/>
        <v>-463.48236142797396</v>
      </c>
      <c r="M26" s="378">
        <f t="shared" si="24"/>
        <v>144108.86876893029</v>
      </c>
      <c r="N26" s="334"/>
      <c r="O26" s="377">
        <f t="shared" ref="O26:AC26" si="25">O22+O25</f>
        <v>4236.9369372498422</v>
      </c>
      <c r="P26" s="377">
        <f t="shared" si="25"/>
        <v>-705.2256064340786</v>
      </c>
      <c r="Q26" s="377">
        <f t="shared" si="25"/>
        <v>-32618.297959462521</v>
      </c>
      <c r="R26" s="377">
        <f t="shared" si="25"/>
        <v>13936.089595446463</v>
      </c>
      <c r="S26" s="377">
        <f t="shared" si="25"/>
        <v>81.065800637025859</v>
      </c>
      <c r="T26" s="377">
        <f t="shared" si="25"/>
        <v>-71.376874285820037</v>
      </c>
      <c r="U26" s="377">
        <f t="shared" si="25"/>
        <v>-3608.2142919997304</v>
      </c>
      <c r="V26" s="377">
        <f t="shared" si="25"/>
        <v>-75551.167819782379</v>
      </c>
      <c r="W26" s="377">
        <f t="shared" si="25"/>
        <v>-16246.081860243621</v>
      </c>
      <c r="X26" s="377">
        <f t="shared" si="25"/>
        <v>-14113.284058358795</v>
      </c>
      <c r="Y26" s="377">
        <f t="shared" si="25"/>
        <v>-62.822700117339309</v>
      </c>
      <c r="Z26" s="377">
        <f t="shared" si="25"/>
        <v>-343.80999492191768</v>
      </c>
      <c r="AA26" s="377">
        <f t="shared" si="25"/>
        <v>324.69595954798513</v>
      </c>
      <c r="AB26" s="377">
        <f t="shared" si="25"/>
        <v>-2292.6188274672668</v>
      </c>
      <c r="AC26" s="378">
        <f t="shared" si="25"/>
        <v>-58.93359928287714</v>
      </c>
      <c r="AE26" s="378">
        <f>AE22+AE25</f>
        <v>-17970.638999999999</v>
      </c>
      <c r="AG26" s="378">
        <f>AG22+AG25</f>
        <v>11488.627041927</v>
      </c>
      <c r="AI26" s="378">
        <f>AI22+AI25</f>
        <v>-64200.648320000008</v>
      </c>
      <c r="AK26" s="378">
        <f>AK22+AK25</f>
        <v>63655.99477269988</v>
      </c>
      <c r="AM26" s="377">
        <f>AM22+AM25</f>
        <v>44911.797531204153</v>
      </c>
      <c r="AN26" s="377">
        <f t="shared" ref="AN26:AT26" si="26">AN22+AN25</f>
        <v>216519.90281904361</v>
      </c>
      <c r="AO26" s="377">
        <f t="shared" si="26"/>
        <v>-127093.04529947492</v>
      </c>
      <c r="AP26" s="377">
        <f t="shared" si="26"/>
        <v>-17970.638999999999</v>
      </c>
      <c r="AQ26" s="377">
        <f t="shared" si="26"/>
        <v>11488.627041927</v>
      </c>
      <c r="AR26" s="378">
        <f t="shared" si="26"/>
        <v>-64200.648320000008</v>
      </c>
      <c r="AT26" s="378">
        <f t="shared" si="26"/>
        <v>63655.994772700404</v>
      </c>
    </row>
    <row r="27" spans="1:49" ht="15.75" thickTop="1" x14ac:dyDescent="0.2">
      <c r="N27" s="334"/>
    </row>
    <row r="28" spans="1:49" ht="15" x14ac:dyDescent="0.2">
      <c r="N28" s="334"/>
    </row>
    <row r="29" spans="1:49" ht="15" x14ac:dyDescent="0.2">
      <c r="N29" s="334"/>
    </row>
  </sheetData>
  <mergeCells count="5">
    <mergeCell ref="D1:E1"/>
    <mergeCell ref="G1:M1"/>
    <mergeCell ref="AM1:AR1"/>
    <mergeCell ref="O1:U1"/>
    <mergeCell ref="V1:AC1"/>
  </mergeCells>
  <phoneticPr fontId="0" type="noConversion"/>
  <printOptions horizontalCentered="1"/>
  <pageMargins left="0.31496062992125984" right="0.27559055118110237" top="0.9055118110236221" bottom="0.51181102362204722" header="0.39370078740157483" footer="0.15748031496062992"/>
  <pageSetup paperSize="9" scale="61" fitToWidth="4" orientation="landscape" r:id="rId1"/>
  <headerFooter>
    <oddHeader xml:space="preserve">&amp;L&amp;"Arial,Félkövér"      
    SZOVA ZRt.&amp;C&amp;"Arial,Félkövér"&amp;14Ágazati eredmények alakulása
2016.&amp;R
1. számú melléklet
</oddHeader>
    <oddFooter>&amp;LSZOVA ZRt. Üzleti jelentés 2016.&amp;R1. sz. melléklet &amp;P</oddFooter>
  </headerFooter>
  <colBreaks count="4" manualBreakCount="4">
    <brk id="13" max="1048575" man="1"/>
    <brk id="21" max="1048575" man="1"/>
    <brk id="29" max="1048575" man="1"/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opLeftCell="A7" workbookViewId="0">
      <selection activeCell="F16" sqref="F16"/>
    </sheetView>
  </sheetViews>
  <sheetFormatPr defaultRowHeight="15" x14ac:dyDescent="0.2"/>
  <cols>
    <col min="2" max="2" width="48.77734375" bestFit="1" customWidth="1"/>
    <col min="3" max="3" width="12.33203125" customWidth="1"/>
    <col min="4" max="4" width="1.88671875" customWidth="1"/>
    <col min="5" max="5" width="1.88671875" style="190" customWidth="1"/>
    <col min="6" max="6" width="12.33203125" customWidth="1"/>
    <col min="7" max="7" width="1.88671875" customWidth="1"/>
    <col min="8" max="8" width="12.33203125" customWidth="1"/>
    <col min="9" max="9" width="2.21875" customWidth="1"/>
    <col min="10" max="10" width="12.33203125" customWidth="1"/>
    <col min="13" max="13" width="14.109375" bestFit="1" customWidth="1"/>
  </cols>
  <sheetData>
    <row r="1" spans="1:13" ht="40.5" customHeight="1" thickTop="1" x14ac:dyDescent="0.2">
      <c r="A1" s="162" t="s">
        <v>223</v>
      </c>
      <c r="B1" s="408" t="s">
        <v>224</v>
      </c>
      <c r="C1" s="408"/>
      <c r="D1" s="409"/>
      <c r="E1" s="160"/>
      <c r="F1" s="204" t="s">
        <v>151</v>
      </c>
      <c r="G1" s="200"/>
      <c r="H1" s="204" t="s">
        <v>150</v>
      </c>
      <c r="I1" s="201"/>
      <c r="J1" s="205" t="s">
        <v>270</v>
      </c>
    </row>
    <row r="2" spans="1:13" ht="26.25" thickBot="1" x14ac:dyDescent="0.25">
      <c r="A2" s="208" t="s">
        <v>225</v>
      </c>
      <c r="B2" s="410" t="s">
        <v>226</v>
      </c>
      <c r="C2" s="410"/>
      <c r="D2" s="411"/>
      <c r="E2" s="161"/>
      <c r="F2" s="209" t="s">
        <v>94</v>
      </c>
      <c r="G2" s="202"/>
      <c r="H2" s="209" t="s">
        <v>94</v>
      </c>
      <c r="I2" s="203"/>
      <c r="J2" s="210" t="s">
        <v>271</v>
      </c>
    </row>
    <row r="3" spans="1:13" ht="15.75" thickTop="1" x14ac:dyDescent="0.2">
      <c r="A3" s="207">
        <v>1</v>
      </c>
      <c r="B3" s="412" t="s">
        <v>227</v>
      </c>
      <c r="C3" s="412"/>
      <c r="D3" s="413"/>
      <c r="E3" s="189"/>
      <c r="F3" s="172">
        <v>3231777</v>
      </c>
      <c r="G3" s="65"/>
      <c r="H3" s="172">
        <v>3173329</v>
      </c>
      <c r="I3" s="171"/>
      <c r="J3" s="173">
        <f>F3/H3</f>
        <v>1.0184185125462881</v>
      </c>
      <c r="L3" s="26"/>
      <c r="M3" s="145"/>
    </row>
    <row r="4" spans="1:13" x14ac:dyDescent="0.2">
      <c r="A4" s="163">
        <v>2</v>
      </c>
      <c r="B4" s="402" t="s">
        <v>228</v>
      </c>
      <c r="C4" s="402"/>
      <c r="D4" s="403"/>
      <c r="E4" s="189"/>
      <c r="F4" s="172"/>
      <c r="G4" s="65"/>
      <c r="H4" s="172"/>
      <c r="I4" s="171"/>
      <c r="J4" s="173"/>
      <c r="L4" s="26"/>
      <c r="M4" s="145"/>
    </row>
    <row r="5" spans="1:13" x14ac:dyDescent="0.2">
      <c r="A5" s="163">
        <v>3</v>
      </c>
      <c r="B5" s="404" t="s">
        <v>229</v>
      </c>
      <c r="C5" s="404"/>
      <c r="D5" s="405"/>
      <c r="E5" s="170"/>
      <c r="F5" s="174">
        <f>SUM(F3:F4)</f>
        <v>3231777</v>
      </c>
      <c r="G5" s="65"/>
      <c r="H5" s="174">
        <f>SUM(H3:H4)</f>
        <v>3173329</v>
      </c>
      <c r="I5" s="171"/>
      <c r="J5" s="175">
        <f>F5/H5</f>
        <v>1.0184185125462881</v>
      </c>
      <c r="L5" s="26"/>
      <c r="M5" s="206"/>
    </row>
    <row r="6" spans="1:13" x14ac:dyDescent="0.2">
      <c r="A6" s="163">
        <v>4</v>
      </c>
      <c r="B6" s="402" t="s">
        <v>230</v>
      </c>
      <c r="C6" s="402"/>
      <c r="D6" s="403"/>
      <c r="E6" s="189"/>
      <c r="F6" s="176">
        <v>502</v>
      </c>
      <c r="G6" s="65"/>
      <c r="H6" s="176"/>
      <c r="I6" s="171"/>
      <c r="J6" s="177"/>
      <c r="L6" s="26"/>
      <c r="M6" s="206"/>
    </row>
    <row r="7" spans="1:13" x14ac:dyDescent="0.2">
      <c r="A7" s="163">
        <v>5</v>
      </c>
      <c r="B7" s="402" t="s">
        <v>231</v>
      </c>
      <c r="C7" s="402"/>
      <c r="D7" s="403"/>
      <c r="E7" s="189"/>
      <c r="F7" s="176">
        <v>6200</v>
      </c>
      <c r="G7" s="65"/>
      <c r="H7" s="176">
        <v>10000</v>
      </c>
      <c r="I7" s="171"/>
      <c r="J7" s="177">
        <f>F7/H7</f>
        <v>0.62</v>
      </c>
      <c r="L7" s="26"/>
      <c r="M7" s="206"/>
    </row>
    <row r="8" spans="1:13" x14ac:dyDescent="0.2">
      <c r="A8" s="163">
        <v>6</v>
      </c>
      <c r="B8" s="404" t="s">
        <v>232</v>
      </c>
      <c r="C8" s="404"/>
      <c r="D8" s="405"/>
      <c r="E8" s="170"/>
      <c r="F8" s="174">
        <f>SUM(F6:F7)</f>
        <v>6702</v>
      </c>
      <c r="G8" s="65"/>
      <c r="H8" s="174">
        <f>SUM(H6:H7)</f>
        <v>10000</v>
      </c>
      <c r="I8" s="171"/>
      <c r="J8" s="175">
        <f>F8/H8</f>
        <v>0.67020000000000002</v>
      </c>
      <c r="L8" s="26"/>
      <c r="M8" s="206"/>
    </row>
    <row r="9" spans="1:13" x14ac:dyDescent="0.2">
      <c r="A9" s="163">
        <v>7</v>
      </c>
      <c r="B9" s="404" t="s">
        <v>233</v>
      </c>
      <c r="C9" s="404"/>
      <c r="D9" s="405"/>
      <c r="E9" s="170"/>
      <c r="F9" s="178">
        <v>70086</v>
      </c>
      <c r="G9" s="65"/>
      <c r="H9" s="178">
        <v>67890</v>
      </c>
      <c r="I9" s="171"/>
      <c r="J9" s="179">
        <f>F9/H9</f>
        <v>1.0323464427750773</v>
      </c>
      <c r="L9" s="26"/>
      <c r="M9" s="206"/>
    </row>
    <row r="10" spans="1:13" x14ac:dyDescent="0.2">
      <c r="A10" s="163">
        <v>8</v>
      </c>
      <c r="B10" s="406" t="s">
        <v>234</v>
      </c>
      <c r="C10" s="406"/>
      <c r="D10" s="407"/>
      <c r="E10" s="189"/>
      <c r="F10" s="176"/>
      <c r="G10" s="65"/>
      <c r="H10" s="176"/>
      <c r="I10" s="171"/>
      <c r="J10" s="177"/>
      <c r="L10" s="26"/>
      <c r="M10" s="206"/>
    </row>
    <row r="11" spans="1:13" x14ac:dyDescent="0.2">
      <c r="A11" s="163">
        <v>9</v>
      </c>
      <c r="B11" s="402" t="s">
        <v>235</v>
      </c>
      <c r="C11" s="402"/>
      <c r="D11" s="403"/>
      <c r="E11" s="189"/>
      <c r="F11" s="176">
        <v>289346</v>
      </c>
      <c r="G11" s="65"/>
      <c r="H11" s="176">
        <v>325682</v>
      </c>
      <c r="I11" s="171"/>
      <c r="J11" s="177">
        <f t="shared" ref="J11:J22" si="0">F11/H11</f>
        <v>0.88843104623528468</v>
      </c>
      <c r="L11" s="26"/>
      <c r="M11" s="206"/>
    </row>
    <row r="12" spans="1:13" x14ac:dyDescent="0.2">
      <c r="A12" s="163">
        <v>10</v>
      </c>
      <c r="B12" s="402" t="s">
        <v>236</v>
      </c>
      <c r="C12" s="402"/>
      <c r="D12" s="403"/>
      <c r="E12" s="189"/>
      <c r="F12" s="176">
        <v>222484</v>
      </c>
      <c r="G12" s="65"/>
      <c r="H12" s="176">
        <v>207759</v>
      </c>
      <c r="I12" s="171"/>
      <c r="J12" s="177">
        <f t="shared" si="0"/>
        <v>1.0708753892731482</v>
      </c>
      <c r="L12" s="26"/>
      <c r="M12" s="206"/>
    </row>
    <row r="13" spans="1:13" x14ac:dyDescent="0.2">
      <c r="A13" s="163">
        <v>11</v>
      </c>
      <c r="B13" s="402" t="s">
        <v>237</v>
      </c>
      <c r="C13" s="402"/>
      <c r="D13" s="403"/>
      <c r="E13" s="189"/>
      <c r="F13" s="176">
        <v>37253</v>
      </c>
      <c r="G13" s="65"/>
      <c r="H13" s="176">
        <v>44200</v>
      </c>
      <c r="I13" s="171"/>
      <c r="J13" s="177">
        <f t="shared" si="0"/>
        <v>0.84282805429864249</v>
      </c>
      <c r="L13" s="26"/>
      <c r="M13" s="206"/>
    </row>
    <row r="14" spans="1:13" x14ac:dyDescent="0.2">
      <c r="A14" s="163">
        <v>12</v>
      </c>
      <c r="B14" s="402" t="s">
        <v>238</v>
      </c>
      <c r="C14" s="402"/>
      <c r="D14" s="403"/>
      <c r="E14" s="189"/>
      <c r="F14" s="176">
        <v>1366</v>
      </c>
      <c r="G14" s="65"/>
      <c r="H14" s="176">
        <v>1300</v>
      </c>
      <c r="I14" s="171"/>
      <c r="J14" s="177">
        <f t="shared" si="0"/>
        <v>1.0507692307692307</v>
      </c>
      <c r="L14" s="26"/>
      <c r="M14" s="206"/>
    </row>
    <row r="15" spans="1:13" x14ac:dyDescent="0.2">
      <c r="A15" s="163">
        <v>13</v>
      </c>
      <c r="B15" s="402" t="s">
        <v>239</v>
      </c>
      <c r="C15" s="402"/>
      <c r="D15" s="403"/>
      <c r="E15" s="189"/>
      <c r="F15" s="176">
        <v>980294</v>
      </c>
      <c r="G15" s="65"/>
      <c r="H15" s="176">
        <v>957847</v>
      </c>
      <c r="I15" s="171"/>
      <c r="J15" s="177">
        <f t="shared" si="0"/>
        <v>1.0234348491982539</v>
      </c>
      <c r="L15" s="26"/>
      <c r="M15" s="206"/>
    </row>
    <row r="16" spans="1:13" x14ac:dyDescent="0.2">
      <c r="A16" s="163">
        <v>14</v>
      </c>
      <c r="B16" s="404" t="s">
        <v>240</v>
      </c>
      <c r="C16" s="404"/>
      <c r="D16" s="405"/>
      <c r="E16" s="170"/>
      <c r="F16" s="174">
        <f>SUM(F11:F15)</f>
        <v>1530743</v>
      </c>
      <c r="G16" s="65"/>
      <c r="H16" s="174">
        <f>SUM(H11:H15)</f>
        <v>1536788</v>
      </c>
      <c r="I16" s="171"/>
      <c r="J16" s="175">
        <f t="shared" si="0"/>
        <v>0.99606647110727053</v>
      </c>
      <c r="L16" s="26"/>
      <c r="M16" s="206"/>
    </row>
    <row r="17" spans="1:13" x14ac:dyDescent="0.2">
      <c r="A17" s="163">
        <v>15</v>
      </c>
      <c r="B17" s="402" t="s">
        <v>241</v>
      </c>
      <c r="C17" s="402"/>
      <c r="D17" s="403"/>
      <c r="E17" s="189"/>
      <c r="F17" s="176">
        <v>756891</v>
      </c>
      <c r="G17" s="65"/>
      <c r="H17" s="176">
        <v>754862</v>
      </c>
      <c r="I17" s="171"/>
      <c r="J17" s="177">
        <f t="shared" si="0"/>
        <v>1.0026879085183782</v>
      </c>
      <c r="L17" s="26"/>
      <c r="M17" s="206"/>
    </row>
    <row r="18" spans="1:13" x14ac:dyDescent="0.2">
      <c r="A18" s="163">
        <v>16</v>
      </c>
      <c r="B18" s="402" t="s">
        <v>242</v>
      </c>
      <c r="C18" s="402"/>
      <c r="D18" s="403"/>
      <c r="E18" s="189"/>
      <c r="F18" s="176">
        <v>89446</v>
      </c>
      <c r="G18" s="65"/>
      <c r="H18" s="176">
        <v>91733</v>
      </c>
      <c r="I18" s="171"/>
      <c r="J18" s="177">
        <f t="shared" si="0"/>
        <v>0.97506895010519656</v>
      </c>
      <c r="L18" s="26"/>
      <c r="M18" s="206"/>
    </row>
    <row r="19" spans="1:13" x14ac:dyDescent="0.2">
      <c r="A19" s="163">
        <v>17</v>
      </c>
      <c r="B19" s="402" t="s">
        <v>243</v>
      </c>
      <c r="C19" s="402"/>
      <c r="D19" s="403"/>
      <c r="E19" s="189"/>
      <c r="F19" s="176">
        <v>212918</v>
      </c>
      <c r="G19" s="65"/>
      <c r="H19" s="176">
        <v>214971</v>
      </c>
      <c r="I19" s="171"/>
      <c r="J19" s="177">
        <f t="shared" si="0"/>
        <v>0.99044987463425305</v>
      </c>
      <c r="L19" s="26"/>
      <c r="M19" s="206"/>
    </row>
    <row r="20" spans="1:13" ht="15.75" x14ac:dyDescent="0.25">
      <c r="A20" s="164">
        <v>18</v>
      </c>
      <c r="B20" s="404" t="s">
        <v>244</v>
      </c>
      <c r="C20" s="404"/>
      <c r="D20" s="405"/>
      <c r="E20" s="170"/>
      <c r="F20" s="174">
        <f>SUM(F17:F19)</f>
        <v>1059255</v>
      </c>
      <c r="G20" s="65"/>
      <c r="H20" s="174">
        <f>SUM(H17:H19)</f>
        <v>1061566</v>
      </c>
      <c r="I20" s="180"/>
      <c r="J20" s="175">
        <f t="shared" si="0"/>
        <v>0.99782302748957674</v>
      </c>
      <c r="L20" s="26"/>
      <c r="M20" s="206"/>
    </row>
    <row r="21" spans="1:13" x14ac:dyDescent="0.2">
      <c r="A21" s="164">
        <v>19</v>
      </c>
      <c r="B21" s="404" t="s">
        <v>245</v>
      </c>
      <c r="C21" s="404"/>
      <c r="D21" s="405"/>
      <c r="E21" s="170"/>
      <c r="F21" s="178">
        <v>247749</v>
      </c>
      <c r="G21" s="65"/>
      <c r="H21" s="178">
        <v>236572</v>
      </c>
      <c r="I21" s="171"/>
      <c r="J21" s="179">
        <f t="shared" si="0"/>
        <v>1.047245658826911</v>
      </c>
      <c r="L21" s="26"/>
      <c r="M21" s="206"/>
    </row>
    <row r="22" spans="1:13" x14ac:dyDescent="0.2">
      <c r="A22" s="164">
        <v>20</v>
      </c>
      <c r="B22" s="404" t="s">
        <v>246</v>
      </c>
      <c r="C22" s="404"/>
      <c r="D22" s="405"/>
      <c r="E22" s="170"/>
      <c r="F22" s="178">
        <v>343213</v>
      </c>
      <c r="G22" s="65"/>
      <c r="H22" s="178">
        <v>340105</v>
      </c>
      <c r="I22" s="171"/>
      <c r="J22" s="179">
        <f t="shared" si="0"/>
        <v>1.0091383543317505</v>
      </c>
      <c r="L22" s="26"/>
      <c r="M22" s="206"/>
    </row>
    <row r="23" spans="1:13" ht="15.75" thickBot="1" x14ac:dyDescent="0.25">
      <c r="A23" s="165">
        <v>21</v>
      </c>
      <c r="B23" s="414" t="s">
        <v>247</v>
      </c>
      <c r="C23" s="414"/>
      <c r="D23" s="415"/>
      <c r="E23" s="189"/>
      <c r="F23" s="181"/>
      <c r="G23" s="65"/>
      <c r="H23" s="181"/>
      <c r="I23" s="171"/>
      <c r="J23" s="182"/>
      <c r="L23" s="26"/>
      <c r="M23" s="206"/>
    </row>
    <row r="24" spans="1:13" ht="15.75" thickBot="1" x14ac:dyDescent="0.25">
      <c r="A24" s="166">
        <v>22</v>
      </c>
      <c r="B24" s="416" t="s">
        <v>248</v>
      </c>
      <c r="C24" s="416"/>
      <c r="D24" s="417"/>
      <c r="E24" s="170"/>
      <c r="F24" s="183">
        <f>F5+F8+F9-F16-F20-F21-F22</f>
        <v>127605</v>
      </c>
      <c r="G24" s="65"/>
      <c r="H24" s="183">
        <f>H5+H8+H9-H16-H20-H21-H22</f>
        <v>76188</v>
      </c>
      <c r="I24" s="171"/>
      <c r="J24" s="184">
        <f>F24/H24</f>
        <v>1.6748700582768941</v>
      </c>
      <c r="L24" s="26"/>
      <c r="M24" s="206"/>
    </row>
    <row r="25" spans="1:13" x14ac:dyDescent="0.2">
      <c r="A25" s="167">
        <v>23</v>
      </c>
      <c r="B25" s="418" t="s">
        <v>249</v>
      </c>
      <c r="C25" s="418"/>
      <c r="D25" s="419"/>
      <c r="E25" s="189"/>
      <c r="F25" s="185"/>
      <c r="G25" s="65"/>
      <c r="H25" s="185"/>
      <c r="I25" s="171"/>
      <c r="J25" s="186"/>
      <c r="L25" s="26"/>
      <c r="M25" s="26"/>
    </row>
    <row r="26" spans="1:13" x14ac:dyDescent="0.2">
      <c r="A26" s="163">
        <v>24</v>
      </c>
      <c r="B26" s="420" t="s">
        <v>250</v>
      </c>
      <c r="C26" s="420"/>
      <c r="D26" s="421"/>
      <c r="E26" s="189"/>
      <c r="F26" s="176"/>
      <c r="G26" s="66"/>
      <c r="H26" s="176"/>
      <c r="I26" s="171"/>
      <c r="J26" s="177"/>
      <c r="M26" s="26"/>
    </row>
    <row r="27" spans="1:13" x14ac:dyDescent="0.2">
      <c r="A27" s="163">
        <v>25</v>
      </c>
      <c r="B27" s="402" t="s">
        <v>251</v>
      </c>
      <c r="C27" s="402"/>
      <c r="D27" s="403"/>
      <c r="E27" s="189"/>
      <c r="F27" s="187"/>
      <c r="G27" s="65"/>
      <c r="H27" s="187"/>
      <c r="I27" s="171"/>
      <c r="J27" s="188"/>
    </row>
    <row r="28" spans="1:13" x14ac:dyDescent="0.2">
      <c r="A28" s="163">
        <v>26</v>
      </c>
      <c r="B28" s="420" t="s">
        <v>252</v>
      </c>
      <c r="C28" s="420"/>
      <c r="D28" s="421"/>
      <c r="E28" s="189"/>
      <c r="F28" s="176"/>
      <c r="G28" s="65"/>
      <c r="H28" s="176"/>
      <c r="I28" s="171"/>
      <c r="J28" s="177"/>
    </row>
    <row r="29" spans="1:13" x14ac:dyDescent="0.2">
      <c r="A29" s="168">
        <v>27</v>
      </c>
      <c r="B29" s="402" t="s">
        <v>253</v>
      </c>
      <c r="C29" s="402"/>
      <c r="D29" s="403"/>
      <c r="E29" s="189"/>
      <c r="F29" s="187"/>
      <c r="G29" s="65"/>
      <c r="H29" s="187"/>
      <c r="I29" s="171"/>
      <c r="J29" s="188"/>
    </row>
    <row r="30" spans="1:13" x14ac:dyDescent="0.2">
      <c r="A30" s="163">
        <v>28</v>
      </c>
      <c r="B30" s="420" t="s">
        <v>254</v>
      </c>
      <c r="C30" s="420"/>
      <c r="D30" s="421"/>
      <c r="E30" s="189"/>
      <c r="F30" s="176"/>
      <c r="G30" s="65"/>
      <c r="H30" s="176"/>
      <c r="I30" s="171"/>
      <c r="J30" s="177"/>
    </row>
    <row r="31" spans="1:13" x14ac:dyDescent="0.2">
      <c r="A31" s="163">
        <v>29</v>
      </c>
      <c r="B31" s="402" t="s">
        <v>255</v>
      </c>
      <c r="C31" s="402"/>
      <c r="D31" s="403"/>
      <c r="E31" s="189"/>
      <c r="F31" s="187">
        <v>4919</v>
      </c>
      <c r="G31" s="65"/>
      <c r="H31" s="187">
        <v>10000</v>
      </c>
      <c r="I31" s="171"/>
      <c r="J31" s="188">
        <f>F31/H31</f>
        <v>0.4919</v>
      </c>
    </row>
    <row r="32" spans="1:13" x14ac:dyDescent="0.2">
      <c r="A32" s="163">
        <v>30</v>
      </c>
      <c r="B32" s="420" t="s">
        <v>250</v>
      </c>
      <c r="C32" s="420"/>
      <c r="D32" s="421"/>
      <c r="E32" s="189"/>
      <c r="F32" s="176"/>
      <c r="G32" s="65"/>
      <c r="H32" s="176"/>
      <c r="I32" s="171"/>
      <c r="J32" s="177"/>
    </row>
    <row r="33" spans="1:10" x14ac:dyDescent="0.2">
      <c r="A33" s="163">
        <v>31</v>
      </c>
      <c r="B33" s="402" t="s">
        <v>256</v>
      </c>
      <c r="C33" s="402"/>
      <c r="D33" s="403"/>
      <c r="E33" s="189"/>
      <c r="F33" s="187">
        <v>80</v>
      </c>
      <c r="G33" s="65"/>
      <c r="H33" s="187">
        <v>0</v>
      </c>
      <c r="I33" s="171"/>
      <c r="J33" s="188"/>
    </row>
    <row r="34" spans="1:10" x14ac:dyDescent="0.2">
      <c r="A34" s="163">
        <v>32</v>
      </c>
      <c r="B34" s="402" t="s">
        <v>257</v>
      </c>
      <c r="C34" s="402"/>
      <c r="D34" s="403"/>
      <c r="E34" s="189"/>
      <c r="F34" s="176"/>
      <c r="G34" s="65"/>
      <c r="H34" s="176"/>
      <c r="I34" s="171"/>
      <c r="J34" s="177"/>
    </row>
    <row r="35" spans="1:10" x14ac:dyDescent="0.2">
      <c r="A35" s="163">
        <v>33</v>
      </c>
      <c r="B35" s="404" t="s">
        <v>258</v>
      </c>
      <c r="C35" s="404"/>
      <c r="D35" s="405"/>
      <c r="E35" s="170"/>
      <c r="F35" s="174">
        <f>F25+F27+F29+F31+F33</f>
        <v>4999</v>
      </c>
      <c r="G35" s="65"/>
      <c r="H35" s="174">
        <f>H25+H27+H29+H31+H33</f>
        <v>10000</v>
      </c>
      <c r="I35" s="171"/>
      <c r="J35" s="175">
        <f>F35/H35</f>
        <v>0.49990000000000001</v>
      </c>
    </row>
    <row r="36" spans="1:10" x14ac:dyDescent="0.2">
      <c r="A36" s="163">
        <v>34</v>
      </c>
      <c r="B36" s="422" t="s">
        <v>259</v>
      </c>
      <c r="C36" s="422"/>
      <c r="D36" s="423"/>
      <c r="E36" s="189"/>
      <c r="F36" s="176"/>
      <c r="G36" s="65"/>
      <c r="H36" s="176"/>
      <c r="I36" s="171"/>
      <c r="J36" s="177"/>
    </row>
    <row r="37" spans="1:10" x14ac:dyDescent="0.2">
      <c r="A37" s="163">
        <v>35</v>
      </c>
      <c r="B37" s="406" t="s">
        <v>260</v>
      </c>
      <c r="C37" s="406"/>
      <c r="D37" s="407"/>
      <c r="E37" s="189"/>
      <c r="F37" s="176"/>
      <c r="G37" s="65"/>
      <c r="H37" s="176"/>
      <c r="I37" s="171"/>
      <c r="J37" s="177"/>
    </row>
    <row r="38" spans="1:10" x14ac:dyDescent="0.2">
      <c r="A38" s="168">
        <v>36</v>
      </c>
      <c r="B38" s="422" t="s">
        <v>261</v>
      </c>
      <c r="C38" s="422"/>
      <c r="D38" s="423"/>
      <c r="E38" s="189"/>
      <c r="F38" s="176"/>
      <c r="G38" s="65"/>
      <c r="H38" s="176"/>
      <c r="I38" s="171"/>
      <c r="J38" s="177"/>
    </row>
    <row r="39" spans="1:10" x14ac:dyDescent="0.2">
      <c r="A39" s="168">
        <v>37</v>
      </c>
      <c r="B39" s="406" t="s">
        <v>260</v>
      </c>
      <c r="C39" s="406"/>
      <c r="D39" s="407"/>
      <c r="E39" s="189"/>
      <c r="F39" s="187"/>
      <c r="G39" s="65"/>
      <c r="H39" s="187"/>
      <c r="I39" s="171"/>
      <c r="J39" s="188"/>
    </row>
    <row r="40" spans="1:10" x14ac:dyDescent="0.2">
      <c r="A40" s="168">
        <v>38</v>
      </c>
      <c r="B40" s="422" t="s">
        <v>262</v>
      </c>
      <c r="C40" s="422"/>
      <c r="D40" s="423"/>
      <c r="E40" s="189"/>
      <c r="F40" s="176">
        <v>66655</v>
      </c>
      <c r="G40" s="65"/>
      <c r="H40" s="176">
        <v>65793</v>
      </c>
      <c r="I40" s="171"/>
      <c r="J40" s="177">
        <f>F40/H40</f>
        <v>1.0131016977490006</v>
      </c>
    </row>
    <row r="41" spans="1:10" x14ac:dyDescent="0.2">
      <c r="A41" s="168">
        <v>39</v>
      </c>
      <c r="B41" s="406" t="s">
        <v>260</v>
      </c>
      <c r="C41" s="406"/>
      <c r="D41" s="407"/>
      <c r="E41" s="189"/>
      <c r="F41" s="187"/>
      <c r="G41" s="65"/>
      <c r="H41" s="187"/>
      <c r="I41" s="171"/>
      <c r="J41" s="188"/>
    </row>
    <row r="42" spans="1:10" x14ac:dyDescent="0.2">
      <c r="A42" s="168">
        <v>40</v>
      </c>
      <c r="B42" s="422" t="s">
        <v>263</v>
      </c>
      <c r="C42" s="422"/>
      <c r="D42" s="423"/>
      <c r="E42" s="189"/>
      <c r="F42" s="176"/>
      <c r="G42" s="65"/>
      <c r="H42" s="176"/>
      <c r="I42" s="171"/>
      <c r="J42" s="177"/>
    </row>
    <row r="43" spans="1:10" x14ac:dyDescent="0.2">
      <c r="A43" s="168">
        <v>41</v>
      </c>
      <c r="B43" s="422" t="s">
        <v>264</v>
      </c>
      <c r="C43" s="422"/>
      <c r="D43" s="423"/>
      <c r="E43" s="189"/>
      <c r="F43" s="187">
        <v>2293</v>
      </c>
      <c r="G43" s="65"/>
      <c r="H43" s="187"/>
      <c r="I43" s="171"/>
      <c r="J43" s="188"/>
    </row>
    <row r="44" spans="1:10" x14ac:dyDescent="0.2">
      <c r="A44" s="168">
        <v>42</v>
      </c>
      <c r="B44" s="406" t="s">
        <v>257</v>
      </c>
      <c r="C44" s="406"/>
      <c r="D44" s="407"/>
      <c r="E44" s="189"/>
      <c r="F44" s="176"/>
      <c r="G44" s="65"/>
      <c r="H44" s="176"/>
      <c r="I44" s="171"/>
      <c r="J44" s="177"/>
    </row>
    <row r="45" spans="1:10" ht="15.75" thickBot="1" x14ac:dyDescent="0.25">
      <c r="A45" s="191">
        <v>43</v>
      </c>
      <c r="B45" s="432" t="s">
        <v>265</v>
      </c>
      <c r="C45" s="432"/>
      <c r="D45" s="433"/>
      <c r="E45" s="170"/>
      <c r="F45" s="192">
        <f>F36+F38+F40+F42+F43</f>
        <v>68948</v>
      </c>
      <c r="G45" s="65"/>
      <c r="H45" s="192">
        <f>H36+H38+H40+H42+H43</f>
        <v>65793</v>
      </c>
      <c r="I45" s="171"/>
      <c r="J45" s="193">
        <f>F45/H45</f>
        <v>1.0479534296961683</v>
      </c>
    </row>
    <row r="46" spans="1:10" ht="16.5" thickTop="1" thickBot="1" x14ac:dyDescent="0.25">
      <c r="A46" s="197">
        <v>44</v>
      </c>
      <c r="B46" s="424" t="s">
        <v>266</v>
      </c>
      <c r="C46" s="424"/>
      <c r="D46" s="425"/>
      <c r="E46" s="170"/>
      <c r="F46" s="198">
        <f>F35-F45</f>
        <v>-63949</v>
      </c>
      <c r="G46" s="65"/>
      <c r="H46" s="198">
        <f>H35-H45</f>
        <v>-55793</v>
      </c>
      <c r="I46" s="171"/>
      <c r="J46" s="199">
        <f>F46/H46</f>
        <v>1.1461832129478609</v>
      </c>
    </row>
    <row r="47" spans="1:10" ht="15.75" thickTop="1" x14ac:dyDescent="0.2">
      <c r="A47" s="194">
        <v>47</v>
      </c>
      <c r="B47" s="426" t="s">
        <v>267</v>
      </c>
      <c r="C47" s="426"/>
      <c r="D47" s="427"/>
      <c r="E47" s="170"/>
      <c r="F47" s="195">
        <f>F24+F46</f>
        <v>63656</v>
      </c>
      <c r="G47" s="65"/>
      <c r="H47" s="195">
        <f>H24+H46</f>
        <v>20395</v>
      </c>
      <c r="I47" s="171"/>
      <c r="J47" s="196">
        <f>F47/H47</f>
        <v>3.1211571463594017</v>
      </c>
    </row>
    <row r="48" spans="1:10" ht="15.75" thickBot="1" x14ac:dyDescent="0.25">
      <c r="A48" s="165">
        <v>48</v>
      </c>
      <c r="B48" s="428" t="s">
        <v>268</v>
      </c>
      <c r="C48" s="428"/>
      <c r="D48" s="429"/>
      <c r="E48" s="189"/>
      <c r="F48" s="187">
        <v>2142</v>
      </c>
      <c r="G48" s="65"/>
      <c r="H48" s="187"/>
      <c r="I48" s="171"/>
      <c r="J48" s="188"/>
    </row>
    <row r="49" spans="1:10" ht="15.75" thickBot="1" x14ac:dyDescent="0.25">
      <c r="A49" s="169">
        <v>49</v>
      </c>
      <c r="B49" s="430" t="s">
        <v>269</v>
      </c>
      <c r="C49" s="430"/>
      <c r="D49" s="431"/>
      <c r="E49" s="170"/>
      <c r="F49" s="183">
        <f>F47-F48</f>
        <v>61514</v>
      </c>
      <c r="G49" s="65"/>
      <c r="H49" s="183">
        <f>H47-H48</f>
        <v>20395</v>
      </c>
      <c r="I49" s="171"/>
      <c r="J49" s="184">
        <f>F49/H49</f>
        <v>3.0161314047560674</v>
      </c>
    </row>
    <row r="50" spans="1:10" ht="15.75" thickTop="1" x14ac:dyDescent="0.2"/>
  </sheetData>
  <mergeCells count="49">
    <mergeCell ref="B46:D46"/>
    <mergeCell ref="B47:D47"/>
    <mergeCell ref="B48:D48"/>
    <mergeCell ref="B49:D49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rintOptions horizontalCentered="1"/>
  <pageMargins left="0.43307086614173229" right="0.51181102362204722" top="0.74803149606299213" bottom="0.74803149606299213" header="0.31496062992125984" footer="0.31496062992125984"/>
  <pageSetup paperSize="9" scale="68" orientation="portrait" verticalDpi="0" r:id="rId1"/>
  <headerFooter>
    <oddHeader>&amp;LSZOVA ZRt.&amp;CÖsszköltséges eredménykimutatás
terv-tény összehasonlítás 2016.&amp;R3. számú melléklet</oddHeader>
    <oddFooter>&amp;LSZOVA ZRt. Üzleti jelentés 2016.&amp;R3. sz. melléklet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opLeftCell="A16" workbookViewId="0">
      <selection activeCell="G10" sqref="G10"/>
    </sheetView>
  </sheetViews>
  <sheetFormatPr defaultRowHeight="15.75" x14ac:dyDescent="0.2"/>
  <cols>
    <col min="1" max="1" width="8.88671875" style="2"/>
    <col min="2" max="2" width="40.77734375" style="2" customWidth="1"/>
    <col min="3" max="4" width="12.21875" style="2" hidden="1" customWidth="1"/>
    <col min="5" max="5" width="11" style="2" hidden="1" customWidth="1"/>
    <col min="6" max="7" width="12.33203125" style="2" bestFit="1" customWidth="1"/>
    <col min="8" max="8" width="4.6640625" style="2" customWidth="1"/>
    <col min="9" max="11" width="12.44140625" style="2" customWidth="1"/>
    <col min="12" max="16384" width="8.88671875" style="2"/>
  </cols>
  <sheetData>
    <row r="1" spans="1:7" ht="17.25" thickTop="1" thickBot="1" x14ac:dyDescent="0.25">
      <c r="A1" s="23" t="s">
        <v>36</v>
      </c>
      <c r="B1" s="24" t="s">
        <v>37</v>
      </c>
      <c r="C1" s="25">
        <v>2010</v>
      </c>
      <c r="D1" s="25">
        <v>2011</v>
      </c>
      <c r="E1" s="25">
        <v>2013</v>
      </c>
      <c r="F1" s="25">
        <v>2015</v>
      </c>
      <c r="G1" s="25">
        <v>2016</v>
      </c>
    </row>
    <row r="2" spans="1:7" ht="17.25" thickTop="1" thickBot="1" x14ac:dyDescent="0.25">
      <c r="A2" s="68"/>
      <c r="B2" s="69" t="s">
        <v>38</v>
      </c>
      <c r="C2" s="70"/>
      <c r="D2" s="70"/>
      <c r="E2" s="70"/>
      <c r="F2" s="70"/>
      <c r="G2" s="70"/>
    </row>
    <row r="3" spans="1:7" x14ac:dyDescent="0.2">
      <c r="A3" s="3">
        <v>55</v>
      </c>
      <c r="B3" s="4" t="s">
        <v>39</v>
      </c>
      <c r="C3" s="5">
        <v>-0.12</v>
      </c>
      <c r="D3" s="5">
        <v>-0.14000000000000001</v>
      </c>
      <c r="E3" s="5" t="e">
        <f>(alapadatok!#REF!/alapadatok!#REF!)-1</f>
        <v>#REF!</v>
      </c>
      <c r="F3" s="5">
        <v>-7.0000000000000007E-2</v>
      </c>
      <c r="G3" s="5">
        <f>(alapadatok!D69/alapadatok!C69)-1</f>
        <v>1.4803025001552061E-2</v>
      </c>
    </row>
    <row r="4" spans="1:7" x14ac:dyDescent="0.2">
      <c r="A4" s="6">
        <v>56</v>
      </c>
      <c r="B4" s="7" t="s">
        <v>40</v>
      </c>
      <c r="C4" s="5">
        <v>0.02</v>
      </c>
      <c r="D4" s="5">
        <v>0</v>
      </c>
      <c r="E4" s="5" t="e">
        <f>(alapadatok!#REF!/alapadatok!#REF!)-1</f>
        <v>#REF!</v>
      </c>
      <c r="F4" s="5">
        <v>0</v>
      </c>
      <c r="G4" s="5">
        <f>(alapadatok!D70/alapadatok!C70)-1</f>
        <v>0</v>
      </c>
    </row>
    <row r="5" spans="1:7" ht="16.5" thickBot="1" x14ac:dyDescent="0.25">
      <c r="A5" s="8">
        <v>57</v>
      </c>
      <c r="B5" s="9" t="s">
        <v>41</v>
      </c>
      <c r="C5" s="10">
        <v>-7.0000000000000007E-2</v>
      </c>
      <c r="D5" s="10">
        <v>0</v>
      </c>
      <c r="E5" s="10" t="e">
        <f>(alapadatok!#REF!/alapadatok!#REF!)-1</f>
        <v>#REF!</v>
      </c>
      <c r="F5" s="10">
        <v>0</v>
      </c>
      <c r="G5" s="10">
        <f>(alapadatok!D124/alapadatok!C124)-1</f>
        <v>1.1220566741877214E-2</v>
      </c>
    </row>
    <row r="6" spans="1:7" ht="16.5" thickBot="1" x14ac:dyDescent="0.25">
      <c r="A6" s="71"/>
      <c r="B6" s="72" t="s">
        <v>42</v>
      </c>
      <c r="C6" s="73"/>
      <c r="D6" s="73"/>
      <c r="E6" s="73"/>
      <c r="F6" s="73"/>
      <c r="G6" s="73"/>
    </row>
    <row r="7" spans="1:7" x14ac:dyDescent="0.2">
      <c r="A7" s="3">
        <v>58</v>
      </c>
      <c r="B7" s="4" t="s">
        <v>372</v>
      </c>
      <c r="C7" s="5">
        <v>0.55028070769015847</v>
      </c>
      <c r="D7" s="5" t="e">
        <f>alapadatok!#REF!/alapadatok!#REF!</f>
        <v>#REF!</v>
      </c>
      <c r="E7" s="5" t="e">
        <f>alapadatok!#REF!/alapadatok!#REF!</f>
        <v>#REF!</v>
      </c>
      <c r="F7" s="5">
        <f>alapadatok!C69/alapadatok!C4</f>
        <v>0.54477567523703074</v>
      </c>
      <c r="G7" s="5">
        <f>alapadatok!D69/alapadatok!D4</f>
        <v>0.55945080897845489</v>
      </c>
    </row>
    <row r="8" spans="1:7" ht="16.5" thickBot="1" x14ac:dyDescent="0.25">
      <c r="A8" s="8">
        <v>59</v>
      </c>
      <c r="B8" s="9" t="s">
        <v>373</v>
      </c>
      <c r="C8" s="10">
        <v>0.55359928472734765</v>
      </c>
      <c r="D8" s="10" t="e">
        <f>alapadatok!#REF!/alapadatok!#REF!</f>
        <v>#REF!</v>
      </c>
      <c r="E8" s="10" t="e">
        <f>alapadatok!#REF!/alapadatok!#REF!</f>
        <v>#REF!</v>
      </c>
      <c r="F8" s="10">
        <f>alapadatok!C84/alapadatok!C117</f>
        <v>0.50389993001732036</v>
      </c>
      <c r="G8" s="10">
        <f>alapadatok!D84/alapadatok!D117</f>
        <v>0.54310194190075478</v>
      </c>
    </row>
    <row r="9" spans="1:7" ht="16.5" thickBot="1" x14ac:dyDescent="0.25">
      <c r="A9" s="71"/>
      <c r="B9" s="72" t="s">
        <v>43</v>
      </c>
      <c r="C9" s="73"/>
      <c r="D9" s="73"/>
      <c r="E9" s="73"/>
      <c r="F9" s="73"/>
      <c r="G9" s="73"/>
    </row>
    <row r="10" spans="1:7" x14ac:dyDescent="0.2">
      <c r="A10" s="3">
        <v>60</v>
      </c>
      <c r="B10" s="4" t="s">
        <v>374</v>
      </c>
      <c r="C10" s="5">
        <v>8.7704458018623495</v>
      </c>
      <c r="D10" s="5" t="e">
        <f>alapadatok!#REF!/alapadatok!#REF!</f>
        <v>#REF!</v>
      </c>
      <c r="E10" s="5" t="e">
        <f>alapadatok!#REF!/alapadatok!#REF!</f>
        <v>#REF!</v>
      </c>
      <c r="F10" s="5">
        <f>alapadatok!C32/alapadatok!C100</f>
        <v>8.7774098037526347</v>
      </c>
      <c r="G10" s="5">
        <f>alapadatok!D32/alapadatok!D100</f>
        <v>3.3974682365169131</v>
      </c>
    </row>
    <row r="11" spans="1:7" x14ac:dyDescent="0.2">
      <c r="A11" s="6">
        <v>61</v>
      </c>
      <c r="B11" s="7" t="s">
        <v>375</v>
      </c>
      <c r="C11" s="11">
        <v>6.9106433428073428</v>
      </c>
      <c r="D11" s="11" t="e">
        <f>(alapadatok!#REF!-alapadatok!#REF!)/alapadatok!#REF!</f>
        <v>#REF!</v>
      </c>
      <c r="E11" s="11" t="e">
        <f>(alapadatok!#REF!-alapadatok!#REF!)/alapadatok!#REF!</f>
        <v>#REF!</v>
      </c>
      <c r="F11" s="11">
        <f>(alapadatok!C32-alapadatok!C33)/alapadatok!C100</f>
        <v>4.5955589551125389</v>
      </c>
      <c r="G11" s="11">
        <f>(alapadatok!D32-alapadatok!D33)/alapadatok!D100</f>
        <v>2.1763660810370227</v>
      </c>
    </row>
    <row r="12" spans="1:7" x14ac:dyDescent="0.2">
      <c r="A12" s="6">
        <v>62</v>
      </c>
      <c r="B12" s="7" t="s">
        <v>376</v>
      </c>
      <c r="C12" s="12">
        <v>4948453</v>
      </c>
      <c r="D12" s="12" t="e">
        <f>alapadatok!#REF!-alapadatok!#REF!</f>
        <v>#REF!</v>
      </c>
      <c r="E12" s="12" t="e">
        <f>alapadatok!#REF!-alapadatok!#REF!</f>
        <v>#REF!</v>
      </c>
      <c r="F12" s="12">
        <f>alapadatok!C32-alapadatok!C100</f>
        <v>3701106</v>
      </c>
      <c r="G12" s="12">
        <f>alapadatok!D32-alapadatok!D100</f>
        <v>3912064</v>
      </c>
    </row>
    <row r="13" spans="1:7" ht="16.5" thickBot="1" x14ac:dyDescent="0.25">
      <c r="A13" s="8">
        <v>63</v>
      </c>
      <c r="B13" s="9" t="s">
        <v>377</v>
      </c>
      <c r="C13" s="10">
        <v>0.88598071037761206</v>
      </c>
      <c r="D13" s="10" t="e">
        <f>mutatószámok!D12/alapadatok!#REF!</f>
        <v>#REF!</v>
      </c>
      <c r="E13" s="10" t="e">
        <f>mutatószámok!E12/alapadatok!#REF!</f>
        <v>#REF!</v>
      </c>
      <c r="F13" s="10">
        <f>mutatószámok!F12/alapadatok!C32</f>
        <v>0.88607117334632512</v>
      </c>
      <c r="G13" s="10">
        <f>mutatószámok!G12/alapadatok!D32</f>
        <v>0.70566317905441234</v>
      </c>
    </row>
    <row r="14" spans="1:7" ht="16.5" thickBot="1" x14ac:dyDescent="0.25">
      <c r="A14" s="71"/>
      <c r="B14" s="72" t="s">
        <v>44</v>
      </c>
      <c r="C14" s="73"/>
      <c r="D14" s="73"/>
      <c r="E14" s="73"/>
      <c r="F14" s="73"/>
      <c r="G14" s="73"/>
    </row>
    <row r="15" spans="1:7" x14ac:dyDescent="0.2">
      <c r="A15" s="3">
        <v>64</v>
      </c>
      <c r="B15" s="4" t="s">
        <v>378</v>
      </c>
      <c r="C15" s="5">
        <v>-4.7582923745409421E-2</v>
      </c>
      <c r="D15" s="5" t="e">
        <f>(alapadatok!#REF!+alapadatok!#REF!)/alapadatok!#REF!</f>
        <v>#REF!</v>
      </c>
      <c r="E15" s="5" t="e">
        <f>(alapadatok!#REF!+alapadatok!#REF!)/alapadatok!#REF!</f>
        <v>#REF!</v>
      </c>
      <c r="F15" s="5">
        <f>(alapadatok!C166+alapadatok!C159)/alapadatok!C117</f>
        <v>-4.971191620636644E-2</v>
      </c>
      <c r="G15" s="5">
        <f>(alapadatok!D166+alapadatok!D159)/alapadatok!D117</f>
        <v>9.9564847422301851E-3</v>
      </c>
    </row>
    <row r="16" spans="1:7" x14ac:dyDescent="0.2">
      <c r="A16" s="6">
        <v>65</v>
      </c>
      <c r="B16" s="7" t="s">
        <v>379</v>
      </c>
      <c r="C16" s="11">
        <v>0.16816291499783692</v>
      </c>
      <c r="D16" s="11" t="e">
        <f>alapadatok!#REF!/alapadatok!#REF!</f>
        <v>#REF!</v>
      </c>
      <c r="E16" s="11" t="e">
        <f>alapadatok!#REF!/alapadatok!#REF!</f>
        <v>#REF!</v>
      </c>
      <c r="F16" s="11">
        <f>alapadatok!C143/alapadatok!C124</f>
        <v>4.3740497641209082E-2</v>
      </c>
      <c r="G16" s="11">
        <f>alapadatok!D143/alapadatok!D124</f>
        <v>3.9484469380158344E-2</v>
      </c>
    </row>
    <row r="17" spans="1:7" x14ac:dyDescent="0.2">
      <c r="A17" s="6">
        <v>66</v>
      </c>
      <c r="B17" s="7" t="s">
        <v>380</v>
      </c>
      <c r="C17" s="11">
        <v>0.14743111523834954</v>
      </c>
      <c r="D17" s="11" t="e">
        <f>alapadatok!#REF!/(alapadatok!#REF!+alapadatok!#REF!)</f>
        <v>#REF!</v>
      </c>
      <c r="E17" s="11" t="e">
        <f>alapadatok!#REF!/(alapadatok!#REF!+alapadatok!#REF!)</f>
        <v>#REF!</v>
      </c>
      <c r="F17" s="11">
        <f>alapadatok!C143/(alapadatok!C124+alapadatok!C128)</f>
        <v>4.2296797399820028E-2</v>
      </c>
      <c r="G17" s="11">
        <f>alapadatok!D143/(alapadatok!D124+alapadatok!D128)</f>
        <v>3.8646364188944245E-2</v>
      </c>
    </row>
    <row r="18" spans="1:7" x14ac:dyDescent="0.2">
      <c r="A18" s="6">
        <v>67</v>
      </c>
      <c r="B18" s="7" t="s">
        <v>381</v>
      </c>
      <c r="C18" s="11">
        <v>0.1399807469678549</v>
      </c>
      <c r="D18" s="11" t="e">
        <f>alapadatok!#REF!/alapadatok!#REF!</f>
        <v>#REF!</v>
      </c>
      <c r="E18" s="11" t="e">
        <f>alapadatok!#REF!/alapadatok!#REF!</f>
        <v>#REF!</v>
      </c>
      <c r="F18" s="11">
        <f>alapadatok!C159/alapadatok!C143</f>
        <v>0.35814895093389415</v>
      </c>
      <c r="G18" s="11">
        <f>alapadatok!D159/alapadatok!D143</f>
        <v>0.5223541397280671</v>
      </c>
    </row>
    <row r="19" spans="1:7" x14ac:dyDescent="0.2">
      <c r="A19" s="6">
        <v>68</v>
      </c>
      <c r="B19" s="7" t="s">
        <v>45</v>
      </c>
      <c r="C19" s="11">
        <v>-0.26123930669718243</v>
      </c>
      <c r="D19" s="11" t="e">
        <f>alapadatok!#REF!/alapadatok!#REF!</f>
        <v>#REF!</v>
      </c>
      <c r="E19" s="11" t="e">
        <f>alapadatok!#REF!/alapadatok!#REF!</f>
        <v>#REF!</v>
      </c>
      <c r="F19" s="11">
        <f>alapadatok!C166/alapadatok!C124</f>
        <v>-0.19939128581874935</v>
      </c>
      <c r="G19" s="11">
        <f>alapadatok!D166/alapadatok!D124</f>
        <v>1.9696903592048585E-2</v>
      </c>
    </row>
    <row r="20" spans="1:7" x14ac:dyDescent="0.2">
      <c r="A20" s="6">
        <v>69</v>
      </c>
      <c r="B20" s="13" t="s">
        <v>382</v>
      </c>
      <c r="C20" s="11">
        <v>-0.21367806733904693</v>
      </c>
      <c r="D20" s="11" t="e">
        <f>alapadatok!#REF!/(alapadatok!#REF!+alapadatok!#REF!+alapadatok!#REF!+alapadatok!#REF!)</f>
        <v>#REF!</v>
      </c>
      <c r="E20" s="11" t="e">
        <f>alapadatok!#REF!/(alapadatok!#REF!+alapadatok!#REF!+alapadatok!#REF!+alapadatok!#REF!)</f>
        <v>#REF!</v>
      </c>
      <c r="F20" s="11">
        <f>alapadatok!C166/(alapadatok!C124+alapadatok!C128+alapadatok!C154)</f>
        <v>-0.19043728331654305</v>
      </c>
      <c r="G20" s="11">
        <f>alapadatok!D166/(alapadatok!D124+alapadatok!D128+alapadatok!D154)</f>
        <v>1.9249669323969369E-2</v>
      </c>
    </row>
    <row r="21" spans="1:7" ht="16.5" thickBot="1" x14ac:dyDescent="0.25">
      <c r="A21" s="8">
        <v>70</v>
      </c>
      <c r="B21" s="9" t="s">
        <v>383</v>
      </c>
      <c r="C21" s="10">
        <v>-5.2295093828552464E-2</v>
      </c>
      <c r="D21" s="10" t="e">
        <f>alapadatok!#REF!/alapadatok!#REF!</f>
        <v>#REF!</v>
      </c>
      <c r="E21" s="10" t="e">
        <f>alapadatok!#REF!/alapadatok!#REF!</f>
        <v>#REF!</v>
      </c>
      <c r="F21" s="10">
        <f>alapadatok!C166/alapadatok!C117</f>
        <v>-5.3950668729967607E-2</v>
      </c>
      <c r="G21" s="10">
        <f>alapadatok!D166/alapadatok!D117</f>
        <v>4.86367223604611E-3</v>
      </c>
    </row>
    <row r="22" spans="1:7" ht="16.5" thickBot="1" x14ac:dyDescent="0.25">
      <c r="A22" s="74"/>
      <c r="B22" s="72" t="s">
        <v>46</v>
      </c>
      <c r="C22" s="73"/>
      <c r="D22" s="73"/>
      <c r="E22" s="73"/>
      <c r="F22" s="73"/>
      <c r="G22" s="73"/>
    </row>
    <row r="23" spans="1:7" x14ac:dyDescent="0.2">
      <c r="A23" s="3">
        <v>71</v>
      </c>
      <c r="B23" s="14" t="s">
        <v>384</v>
      </c>
      <c r="C23" s="5">
        <v>0.54078736201627198</v>
      </c>
      <c r="D23" s="5" t="e">
        <f>alapadatok!#REF!/alapadatok!#REF!</f>
        <v>#REF!</v>
      </c>
      <c r="E23" s="5" t="e">
        <f>alapadatok!#REF!/alapadatok!#REF!</f>
        <v>#REF!</v>
      </c>
      <c r="F23" s="5">
        <f>alapadatok!C135/alapadatok!C124</f>
        <v>0.4906926556603316</v>
      </c>
      <c r="G23" s="5">
        <f>alapadatok!D135/alapadatok!D124</f>
        <v>0.47365365865280928</v>
      </c>
    </row>
    <row r="24" spans="1:7" x14ac:dyDescent="0.2">
      <c r="A24" s="6">
        <v>72</v>
      </c>
      <c r="B24" s="15" t="s">
        <v>385</v>
      </c>
      <c r="C24" s="11">
        <v>0.31954414781528673</v>
      </c>
      <c r="D24" s="11" t="e">
        <f>alapadatok!#REF!/alapadatok!#REF!</f>
        <v>#REF!</v>
      </c>
      <c r="E24" s="11" t="e">
        <f>alapadatok!#REF!/alapadatok!#REF!</f>
        <v>#REF!</v>
      </c>
      <c r="F24" s="11">
        <f>alapadatok!C139/alapadatok!C124</f>
        <v>0.3209466954241928</v>
      </c>
      <c r="G24" s="11">
        <f>alapadatok!D139/alapadatok!D124</f>
        <v>0.32776240439857079</v>
      </c>
    </row>
    <row r="25" spans="1:7" x14ac:dyDescent="0.2">
      <c r="A25" s="6">
        <v>73</v>
      </c>
      <c r="B25" s="15" t="s">
        <v>386</v>
      </c>
      <c r="C25" s="27">
        <v>2.4200719702662497</v>
      </c>
      <c r="D25" s="27" t="e">
        <f>alapadatok!#REF!/alapadatok!#REF!</f>
        <v>#REF!</v>
      </c>
      <c r="E25" s="27" t="e">
        <f>alapadatok!#REF!/alapadatok!#REF!</f>
        <v>#REF!</v>
      </c>
      <c r="F25" s="27">
        <f>alapadatok!C124/alapadatok!C33</f>
        <v>1.60594405682255</v>
      </c>
      <c r="G25" s="27">
        <f>alapadatok!D124/alapadatok!D33</f>
        <v>1.6219456560525283</v>
      </c>
    </row>
    <row r="26" spans="1:7" ht="16.5" thickBot="1" x14ac:dyDescent="0.25">
      <c r="A26" s="8">
        <v>74</v>
      </c>
      <c r="B26" s="16" t="s">
        <v>387</v>
      </c>
      <c r="C26" s="17">
        <v>0.20018080161715759</v>
      </c>
      <c r="D26" s="17" t="e">
        <f>alapadatok!#REF!/alapadatok!#REF!</f>
        <v>#REF!</v>
      </c>
      <c r="E26" s="17" t="e">
        <f>alapadatok!#REF!/alapadatok!#REF!</f>
        <v>#REF!</v>
      </c>
      <c r="F26" s="17">
        <f>alapadatok!C124/alapadatok!C63</f>
        <v>0.2705768635195514</v>
      </c>
      <c r="G26" s="17">
        <f>alapadatok!D124/alapadatok!D63</f>
        <v>0.24692574571066803</v>
      </c>
    </row>
    <row r="27" spans="1:7" ht="16.5" thickBot="1" x14ac:dyDescent="0.25">
      <c r="A27" s="74"/>
      <c r="B27" s="72" t="s">
        <v>47</v>
      </c>
      <c r="C27" s="73"/>
      <c r="D27" s="73"/>
      <c r="E27" s="73"/>
      <c r="F27" s="73"/>
      <c r="G27" s="73"/>
    </row>
    <row r="28" spans="1:7" x14ac:dyDescent="0.2">
      <c r="A28" s="3">
        <v>75</v>
      </c>
      <c r="B28" s="18" t="s">
        <v>48</v>
      </c>
      <c r="C28" s="5">
        <v>0.15</v>
      </c>
      <c r="D28" s="5">
        <v>0.15</v>
      </c>
      <c r="E28" s="5">
        <v>0.1</v>
      </c>
      <c r="F28" s="5">
        <v>0.1</v>
      </c>
      <c r="G28" s="5">
        <v>0.1</v>
      </c>
    </row>
    <row r="29" spans="1:7" x14ac:dyDescent="0.2">
      <c r="A29" s="6">
        <v>76</v>
      </c>
      <c r="B29" s="19" t="s">
        <v>388</v>
      </c>
      <c r="C29" s="12">
        <v>6391769</v>
      </c>
      <c r="D29" s="12" t="e">
        <f>alapadatok!#REF!-alapadatok!#REF!</f>
        <v>#REF!</v>
      </c>
      <c r="E29" s="12" t="e">
        <f>alapadatok!#REF!-alapadatok!#REF!</f>
        <v>#REF!</v>
      </c>
      <c r="F29" s="12">
        <f>alapadatok!C63-alapadatok!C84</f>
        <v>5859683</v>
      </c>
      <c r="G29" s="12">
        <f>alapadatok!D63-alapadatok!D84</f>
        <v>5979905</v>
      </c>
    </row>
    <row r="30" spans="1:7" x14ac:dyDescent="0.2">
      <c r="A30" s="6">
        <v>77</v>
      </c>
      <c r="B30" s="19" t="s">
        <v>389</v>
      </c>
      <c r="C30" s="12">
        <v>-3521320</v>
      </c>
      <c r="D30" s="12" t="e">
        <f>(alapadatok!#REF!+alapadatok!#REF!)/mutatószámok!D28</f>
        <v>#REF!</v>
      </c>
      <c r="E30" s="12" t="e">
        <f>(alapadatok!#REF!+alapadatok!#REF!)/mutatószámok!E28</f>
        <v>#REF!</v>
      </c>
      <c r="F30" s="12">
        <f>(alapadatok!C168+alapadatok!C140)/mutatószámok!F28</f>
        <v>-3986660</v>
      </c>
      <c r="G30" s="12">
        <f>(alapadatok!D168+alapadatok!D140)/mutatószámok!G28</f>
        <v>3092630</v>
      </c>
    </row>
    <row r="31" spans="1:7" ht="16.5" thickBot="1" x14ac:dyDescent="0.25">
      <c r="A31" s="20">
        <v>78</v>
      </c>
      <c r="B31" s="21" t="s">
        <v>390</v>
      </c>
      <c r="C31" s="22">
        <v>-0.76920153171002359</v>
      </c>
      <c r="D31" s="22" t="e">
        <f>D30/alapadatok!#REF!</f>
        <v>#REF!</v>
      </c>
      <c r="E31" s="22" t="e">
        <f>E30/alapadatok!#REF!</f>
        <v>#REF!</v>
      </c>
      <c r="F31" s="22">
        <f>F30/alapadatok!C70</f>
        <v>-0.83388833017347697</v>
      </c>
      <c r="G31" s="22">
        <f>G30/alapadatok!D70</f>
        <v>0.64688437603016058</v>
      </c>
    </row>
    <row r="32" spans="1:7" ht="16.5" thickTop="1" x14ac:dyDescent="0.2"/>
  </sheetData>
  <phoneticPr fontId="0" type="noConversion"/>
  <printOptions horizontalCentered="1"/>
  <pageMargins left="0.43307086614173229" right="0.23622047244094491" top="1.3385826771653544" bottom="0.74803149606299213" header="0.70866141732283472" footer="0.31496062992125984"/>
  <pageSetup paperSize="9" orientation="portrait" r:id="rId1"/>
  <headerFooter>
    <oddHeader>&amp;L&amp;"Arial,Félkövér"SZOVA ZRt.&amp;C&amp;"Arial,Félkövér"&amp;14Gazdasági mutatószámok&amp;R
4. számú melléklet</oddHeader>
    <oddFooter>&amp;LSZOVA ZRt. Üzleti jelentés 2016.&amp;R4. sz. melléklet 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G168"/>
  <sheetViews>
    <sheetView view="pageBreakPreview" topLeftCell="A40" zoomScale="75" zoomScaleNormal="100" zoomScaleSheetLayoutView="75" workbookViewId="0">
      <selection activeCell="D26" sqref="D26"/>
    </sheetView>
  </sheetViews>
  <sheetFormatPr defaultRowHeight="15.75" x14ac:dyDescent="0.25"/>
  <cols>
    <col min="1" max="1" width="7.21875" style="28" customWidth="1"/>
    <col min="2" max="2" width="64.109375" style="28" bestFit="1" customWidth="1"/>
    <col min="3" max="4" width="12.109375" style="28" customWidth="1"/>
    <col min="5" max="16384" width="8.88671875" style="28"/>
  </cols>
  <sheetData>
    <row r="1" spans="1:4" s="1" customFormat="1" ht="16.5" thickBot="1" x14ac:dyDescent="0.25">
      <c r="A1" s="254"/>
      <c r="B1" s="254"/>
      <c r="C1" s="254"/>
      <c r="D1" s="254"/>
    </row>
    <row r="2" spans="1:4" ht="25.5" customHeight="1" x14ac:dyDescent="0.25">
      <c r="A2" s="211" t="s">
        <v>223</v>
      </c>
      <c r="B2" s="243" t="s">
        <v>224</v>
      </c>
      <c r="C2" s="258">
        <v>2015</v>
      </c>
      <c r="D2" s="259">
        <v>2016</v>
      </c>
    </row>
    <row r="3" spans="1:4" ht="16.5" thickBot="1" x14ac:dyDescent="0.3">
      <c r="A3" s="213" t="s">
        <v>225</v>
      </c>
      <c r="B3" s="244" t="s">
        <v>226</v>
      </c>
      <c r="C3" s="213" t="s">
        <v>272</v>
      </c>
      <c r="D3" s="260" t="s">
        <v>273</v>
      </c>
    </row>
    <row r="4" spans="1:4" ht="16.5" customHeight="1" thickBot="1" x14ac:dyDescent="0.3">
      <c r="A4" s="215">
        <v>1</v>
      </c>
      <c r="B4" s="245" t="s">
        <v>274</v>
      </c>
      <c r="C4" s="289">
        <f>C5+C13+C21</f>
        <v>7627914</v>
      </c>
      <c r="D4" s="216">
        <f>D5+D13+D21</f>
        <v>7537778</v>
      </c>
    </row>
    <row r="5" spans="1:4" ht="15.75" customHeight="1" x14ac:dyDescent="0.25">
      <c r="A5" s="217">
        <v>2</v>
      </c>
      <c r="B5" s="246" t="s">
        <v>275</v>
      </c>
      <c r="C5" s="290">
        <f>SUM(C6:C12)</f>
        <v>10070</v>
      </c>
      <c r="D5" s="218">
        <f>SUM(D6:D12)</f>
        <v>8877</v>
      </c>
    </row>
    <row r="6" spans="1:4" ht="15.75" customHeight="1" x14ac:dyDescent="0.25">
      <c r="A6" s="219">
        <v>3</v>
      </c>
      <c r="B6" s="229" t="s">
        <v>276</v>
      </c>
      <c r="C6" s="291"/>
      <c r="D6" s="220"/>
    </row>
    <row r="7" spans="1:4" ht="15.75" customHeight="1" x14ac:dyDescent="0.25">
      <c r="A7" s="219">
        <v>4</v>
      </c>
      <c r="B7" s="229" t="s">
        <v>277</v>
      </c>
      <c r="C7" s="291"/>
      <c r="D7" s="220"/>
    </row>
    <row r="8" spans="1:4" ht="15.75" customHeight="1" x14ac:dyDescent="0.25">
      <c r="A8" s="219">
        <v>5</v>
      </c>
      <c r="B8" s="229" t="s">
        <v>2</v>
      </c>
      <c r="C8" s="291">
        <v>10070</v>
      </c>
      <c r="D8" s="220">
        <v>8877</v>
      </c>
    </row>
    <row r="9" spans="1:4" ht="15.75" customHeight="1" x14ac:dyDescent="0.25">
      <c r="A9" s="219">
        <v>6</v>
      </c>
      <c r="B9" s="229" t="s">
        <v>3</v>
      </c>
      <c r="C9" s="291"/>
      <c r="D9" s="220"/>
    </row>
    <row r="10" spans="1:4" ht="15.75" customHeight="1" x14ac:dyDescent="0.25">
      <c r="A10" s="219">
        <v>7</v>
      </c>
      <c r="B10" s="229" t="s">
        <v>4</v>
      </c>
      <c r="C10" s="292"/>
      <c r="D10" s="222"/>
    </row>
    <row r="11" spans="1:4" ht="16.5" customHeight="1" x14ac:dyDescent="0.25">
      <c r="A11" s="219">
        <v>8</v>
      </c>
      <c r="B11" s="229" t="s">
        <v>5</v>
      </c>
      <c r="C11" s="293"/>
      <c r="D11" s="294"/>
    </row>
    <row r="12" spans="1:4" ht="16.5" customHeight="1" x14ac:dyDescent="0.25">
      <c r="A12" s="219">
        <v>9</v>
      </c>
      <c r="B12" s="229" t="s">
        <v>6</v>
      </c>
      <c r="C12" s="295"/>
      <c r="D12" s="223"/>
    </row>
    <row r="13" spans="1:4" ht="15.75" customHeight="1" x14ac:dyDescent="0.25">
      <c r="A13" s="219">
        <v>10</v>
      </c>
      <c r="B13" s="247" t="s">
        <v>278</v>
      </c>
      <c r="C13" s="296">
        <f>SUM(C14:C20)</f>
        <v>5801824</v>
      </c>
      <c r="D13" s="278">
        <f>SUM(D14:D20)</f>
        <v>5712911</v>
      </c>
    </row>
    <row r="14" spans="1:4" ht="15.75" customHeight="1" x14ac:dyDescent="0.25">
      <c r="A14" s="219">
        <v>11</v>
      </c>
      <c r="B14" s="229" t="s">
        <v>7</v>
      </c>
      <c r="C14" s="291">
        <v>5402135</v>
      </c>
      <c r="D14" s="220">
        <v>5276936</v>
      </c>
    </row>
    <row r="15" spans="1:4" ht="15.75" customHeight="1" x14ac:dyDescent="0.25">
      <c r="A15" s="219">
        <v>12</v>
      </c>
      <c r="B15" s="229" t="s">
        <v>8</v>
      </c>
      <c r="C15" s="291">
        <v>330056</v>
      </c>
      <c r="D15" s="220">
        <v>307122</v>
      </c>
    </row>
    <row r="16" spans="1:4" ht="15.75" customHeight="1" x14ac:dyDescent="0.25">
      <c r="A16" s="219">
        <v>13</v>
      </c>
      <c r="B16" s="229" t="s">
        <v>9</v>
      </c>
      <c r="C16" s="291">
        <v>23629</v>
      </c>
      <c r="D16" s="220">
        <v>25981</v>
      </c>
    </row>
    <row r="17" spans="1:4" ht="15.75" customHeight="1" x14ac:dyDescent="0.25">
      <c r="A17" s="219">
        <v>14</v>
      </c>
      <c r="B17" s="229" t="s">
        <v>10</v>
      </c>
      <c r="C17" s="291"/>
      <c r="D17" s="220"/>
    </row>
    <row r="18" spans="1:4" ht="15.75" customHeight="1" x14ac:dyDescent="0.25">
      <c r="A18" s="219">
        <v>15</v>
      </c>
      <c r="B18" s="229" t="s">
        <v>279</v>
      </c>
      <c r="C18" s="291">
        <v>46004</v>
      </c>
      <c r="D18" s="220">
        <v>92629</v>
      </c>
    </row>
    <row r="19" spans="1:4" ht="16.5" customHeight="1" x14ac:dyDescent="0.25">
      <c r="A19" s="219">
        <v>16</v>
      </c>
      <c r="B19" s="229" t="s">
        <v>280</v>
      </c>
      <c r="C19" s="291"/>
      <c r="D19" s="220">
        <v>10243</v>
      </c>
    </row>
    <row r="20" spans="1:4" ht="16.5" customHeight="1" x14ac:dyDescent="0.25">
      <c r="A20" s="219">
        <v>17</v>
      </c>
      <c r="B20" s="229" t="s">
        <v>11</v>
      </c>
      <c r="C20" s="291"/>
      <c r="D20" s="220"/>
    </row>
    <row r="21" spans="1:4" ht="15.75" customHeight="1" x14ac:dyDescent="0.25">
      <c r="A21" s="219">
        <v>18</v>
      </c>
      <c r="B21" s="247" t="s">
        <v>281</v>
      </c>
      <c r="C21" s="297">
        <f>SUM(C22:C31)</f>
        <v>1816020</v>
      </c>
      <c r="D21" s="221">
        <f>SUM(D22:D31)</f>
        <v>1815990</v>
      </c>
    </row>
    <row r="22" spans="1:4" ht="15.75" customHeight="1" x14ac:dyDescent="0.25">
      <c r="A22" s="219">
        <v>19</v>
      </c>
      <c r="B22" s="229" t="s">
        <v>12</v>
      </c>
      <c r="C22" s="291">
        <v>1815700</v>
      </c>
      <c r="D22" s="220">
        <v>1815700</v>
      </c>
    </row>
    <row r="23" spans="1:4" ht="15.75" customHeight="1" x14ac:dyDescent="0.25">
      <c r="A23" s="219">
        <v>20</v>
      </c>
      <c r="B23" s="229" t="s">
        <v>13</v>
      </c>
      <c r="C23" s="291"/>
      <c r="D23" s="220"/>
    </row>
    <row r="24" spans="1:4" ht="15.75" customHeight="1" x14ac:dyDescent="0.25">
      <c r="A24" s="219">
        <v>21</v>
      </c>
      <c r="B24" s="229" t="s">
        <v>282</v>
      </c>
      <c r="C24" s="292"/>
      <c r="D24" s="222"/>
    </row>
    <row r="25" spans="1:4" ht="15.75" customHeight="1" x14ac:dyDescent="0.25">
      <c r="A25" s="219">
        <v>22</v>
      </c>
      <c r="B25" s="229" t="s">
        <v>349</v>
      </c>
      <c r="C25" s="292"/>
      <c r="D25" s="222"/>
    </row>
    <row r="26" spans="1:4" ht="15.75" customHeight="1" x14ac:dyDescent="0.25">
      <c r="A26" s="219">
        <v>23</v>
      </c>
      <c r="B26" s="229" t="s">
        <v>283</v>
      </c>
      <c r="C26" s="292">
        <v>320</v>
      </c>
      <c r="D26" s="222">
        <v>290</v>
      </c>
    </row>
    <row r="27" spans="1:4" ht="16.5" customHeight="1" x14ac:dyDescent="0.25">
      <c r="A27" s="219">
        <v>24</v>
      </c>
      <c r="B27" s="229" t="s">
        <v>284</v>
      </c>
      <c r="C27" s="292"/>
      <c r="D27" s="222"/>
    </row>
    <row r="28" spans="1:4" ht="17.25" customHeight="1" x14ac:dyDescent="0.25">
      <c r="A28" s="219">
        <v>25</v>
      </c>
      <c r="B28" s="229" t="s">
        <v>285</v>
      </c>
      <c r="C28" s="291"/>
      <c r="D28" s="220"/>
    </row>
    <row r="29" spans="1:4" ht="16.5" customHeight="1" x14ac:dyDescent="0.25">
      <c r="A29" s="219">
        <v>26</v>
      </c>
      <c r="B29" s="229" t="s">
        <v>286</v>
      </c>
      <c r="C29" s="291"/>
      <c r="D29" s="220"/>
    </row>
    <row r="30" spans="1:4" ht="15.75" customHeight="1" x14ac:dyDescent="0.25">
      <c r="A30" s="219">
        <v>27</v>
      </c>
      <c r="B30" s="229" t="s">
        <v>287</v>
      </c>
      <c r="C30" s="291"/>
      <c r="D30" s="220"/>
    </row>
    <row r="31" spans="1:4" ht="16.5" customHeight="1" thickBot="1" x14ac:dyDescent="0.3">
      <c r="A31" s="224">
        <v>28</v>
      </c>
      <c r="B31" s="248" t="s">
        <v>288</v>
      </c>
      <c r="C31" s="298"/>
      <c r="D31" s="225"/>
    </row>
    <row r="32" spans="1:4" ht="16.5" customHeight="1" thickBot="1" x14ac:dyDescent="0.3">
      <c r="A32" s="226">
        <v>29</v>
      </c>
      <c r="B32" s="245" t="s">
        <v>289</v>
      </c>
      <c r="C32" s="299">
        <f>C33+C40+C49+C56</f>
        <v>4176985</v>
      </c>
      <c r="D32" s="227">
        <f>D33+D40+D49+D56</f>
        <v>5543812</v>
      </c>
    </row>
    <row r="33" spans="1:4" ht="15.75" customHeight="1" x14ac:dyDescent="0.25">
      <c r="A33" s="217">
        <v>30</v>
      </c>
      <c r="B33" s="249" t="s">
        <v>290</v>
      </c>
      <c r="C33" s="300">
        <f>SUM(C34:C39)</f>
        <v>1990055</v>
      </c>
      <c r="D33" s="228">
        <f>SUM(D34:D39)</f>
        <v>1992531</v>
      </c>
    </row>
    <row r="34" spans="1:4" ht="15.75" customHeight="1" x14ac:dyDescent="0.25">
      <c r="A34" s="219">
        <v>31</v>
      </c>
      <c r="B34" s="229" t="s">
        <v>14</v>
      </c>
      <c r="C34" s="295">
        <v>42418</v>
      </c>
      <c r="D34" s="301">
        <v>44964</v>
      </c>
    </row>
    <row r="35" spans="1:4" ht="16.5" customHeight="1" x14ac:dyDescent="0.25">
      <c r="A35" s="219">
        <v>32</v>
      </c>
      <c r="B35" s="229" t="s">
        <v>15</v>
      </c>
      <c r="C35" s="295"/>
      <c r="D35" s="301">
        <v>375</v>
      </c>
    </row>
    <row r="36" spans="1:4" ht="16.5" customHeight="1" x14ac:dyDescent="0.25">
      <c r="A36" s="219">
        <v>33</v>
      </c>
      <c r="B36" s="229" t="s">
        <v>291</v>
      </c>
      <c r="C36" s="295"/>
      <c r="D36" s="301"/>
    </row>
    <row r="37" spans="1:4" ht="15.75" customHeight="1" x14ac:dyDescent="0.25">
      <c r="A37" s="219">
        <v>34</v>
      </c>
      <c r="B37" s="229" t="s">
        <v>16</v>
      </c>
      <c r="C37" s="295">
        <v>14</v>
      </c>
      <c r="D37" s="301">
        <v>141</v>
      </c>
    </row>
    <row r="38" spans="1:4" ht="15.75" customHeight="1" x14ac:dyDescent="0.25">
      <c r="A38" s="219">
        <v>35</v>
      </c>
      <c r="B38" s="229" t="s">
        <v>17</v>
      </c>
      <c r="C38" s="295">
        <v>1947623</v>
      </c>
      <c r="D38" s="301">
        <v>1947051</v>
      </c>
    </row>
    <row r="39" spans="1:4" ht="15.75" customHeight="1" x14ac:dyDescent="0.25">
      <c r="A39" s="219">
        <v>36</v>
      </c>
      <c r="B39" s="229" t="s">
        <v>18</v>
      </c>
      <c r="C39" s="295"/>
      <c r="D39" s="301"/>
    </row>
    <row r="40" spans="1:4" ht="16.5" customHeight="1" x14ac:dyDescent="0.25">
      <c r="A40" s="219">
        <v>37</v>
      </c>
      <c r="B40" s="250" t="s">
        <v>292</v>
      </c>
      <c r="C40" s="300">
        <f>SUM(C41:C48)</f>
        <v>755037</v>
      </c>
      <c r="D40" s="228">
        <f>SUM(D41:D48)</f>
        <v>924302</v>
      </c>
    </row>
    <row r="41" spans="1:4" ht="16.5" customHeight="1" x14ac:dyDescent="0.25">
      <c r="A41" s="219">
        <v>38</v>
      </c>
      <c r="B41" s="229" t="s">
        <v>293</v>
      </c>
      <c r="C41" s="295">
        <v>81083</v>
      </c>
      <c r="D41" s="301">
        <v>81279</v>
      </c>
    </row>
    <row r="42" spans="1:4" ht="16.5" customHeight="1" x14ac:dyDescent="0.25">
      <c r="A42" s="219">
        <v>39</v>
      </c>
      <c r="B42" s="229" t="s">
        <v>19</v>
      </c>
      <c r="C42" s="295">
        <v>300950</v>
      </c>
      <c r="D42" s="301">
        <v>295996</v>
      </c>
    </row>
    <row r="43" spans="1:4" ht="15.75" customHeight="1" x14ac:dyDescent="0.25">
      <c r="A43" s="219">
        <v>40</v>
      </c>
      <c r="B43" s="229" t="s">
        <v>294</v>
      </c>
      <c r="C43" s="295"/>
      <c r="D43" s="301"/>
    </row>
    <row r="44" spans="1:4" ht="15.75" customHeight="1" x14ac:dyDescent="0.25">
      <c r="A44" s="219">
        <v>41</v>
      </c>
      <c r="B44" s="229" t="s">
        <v>295</v>
      </c>
      <c r="C44" s="295">
        <v>245588</v>
      </c>
      <c r="D44" s="301">
        <v>397424</v>
      </c>
    </row>
    <row r="45" spans="1:4" ht="15.75" customHeight="1" x14ac:dyDescent="0.25">
      <c r="A45" s="219">
        <v>42</v>
      </c>
      <c r="B45" s="229" t="s">
        <v>296</v>
      </c>
      <c r="C45" s="295"/>
      <c r="D45" s="301"/>
    </row>
    <row r="46" spans="1:4" ht="16.5" customHeight="1" x14ac:dyDescent="0.25">
      <c r="A46" s="219">
        <v>43</v>
      </c>
      <c r="B46" s="229" t="s">
        <v>297</v>
      </c>
      <c r="C46" s="295">
        <v>127416</v>
      </c>
      <c r="D46" s="301">
        <v>149603</v>
      </c>
    </row>
    <row r="47" spans="1:4" ht="16.5" customHeight="1" x14ac:dyDescent="0.25">
      <c r="A47" s="219">
        <v>44</v>
      </c>
      <c r="B47" s="229" t="s">
        <v>298</v>
      </c>
      <c r="C47" s="295"/>
      <c r="D47" s="301"/>
    </row>
    <row r="48" spans="1:4" ht="15.75" customHeight="1" x14ac:dyDescent="0.25">
      <c r="A48" s="219">
        <v>45</v>
      </c>
      <c r="B48" s="229" t="s">
        <v>299</v>
      </c>
      <c r="C48" s="295"/>
      <c r="D48" s="301"/>
    </row>
    <row r="49" spans="1:4 16361:16361" ht="16.5" customHeight="1" x14ac:dyDescent="0.25">
      <c r="A49" s="219">
        <v>46</v>
      </c>
      <c r="B49" s="250" t="s">
        <v>300</v>
      </c>
      <c r="C49" s="300">
        <f>SUM(C50:C55)</f>
        <v>0</v>
      </c>
      <c r="D49" s="228">
        <f>SUM(D50:D55)</f>
        <v>0</v>
      </c>
    </row>
    <row r="50" spans="1:4 16361:16361" ht="16.5" customHeight="1" x14ac:dyDescent="0.25">
      <c r="A50" s="219">
        <v>47</v>
      </c>
      <c r="B50" s="229" t="s">
        <v>20</v>
      </c>
      <c r="C50" s="295"/>
      <c r="D50" s="301"/>
    </row>
    <row r="51" spans="1:4 16361:16361" x14ac:dyDescent="0.25">
      <c r="A51" s="219">
        <v>48</v>
      </c>
      <c r="B51" s="229" t="s">
        <v>301</v>
      </c>
      <c r="C51" s="295"/>
      <c r="D51" s="301"/>
    </row>
    <row r="52" spans="1:4 16361:16361" ht="15.75" customHeight="1" x14ac:dyDescent="0.25">
      <c r="A52" s="219">
        <v>49</v>
      </c>
      <c r="B52" s="229" t="s">
        <v>21</v>
      </c>
      <c r="C52" s="295"/>
      <c r="D52" s="301"/>
    </row>
    <row r="53" spans="1:4 16361:16361" ht="16.5" customHeight="1" x14ac:dyDescent="0.25">
      <c r="A53" s="219">
        <v>50</v>
      </c>
      <c r="B53" s="229" t="s">
        <v>22</v>
      </c>
      <c r="C53" s="295"/>
      <c r="D53" s="301"/>
    </row>
    <row r="54" spans="1:4 16361:16361" ht="33" customHeight="1" thickBot="1" x14ac:dyDescent="0.3">
      <c r="A54" s="219">
        <v>51</v>
      </c>
      <c r="B54" s="229" t="s">
        <v>23</v>
      </c>
      <c r="C54" s="295"/>
      <c r="D54" s="301"/>
    </row>
    <row r="55" spans="1:4 16361:16361" ht="17.25" customHeight="1" thickTop="1" thickBot="1" x14ac:dyDescent="0.3">
      <c r="A55" s="219">
        <v>52</v>
      </c>
      <c r="B55" s="229" t="s">
        <v>302</v>
      </c>
      <c r="C55" s="295"/>
      <c r="D55" s="301"/>
      <c r="XEG55" s="38"/>
    </row>
    <row r="56" spans="1:4 16361:16361" ht="16.5" customHeight="1" thickTop="1" x14ac:dyDescent="0.25">
      <c r="A56" s="219">
        <v>53</v>
      </c>
      <c r="B56" s="251" t="s">
        <v>303</v>
      </c>
      <c r="C56" s="300">
        <f>SUM(C57:C58)</f>
        <v>1431893</v>
      </c>
      <c r="D56" s="228">
        <f>SUM(D57:D58)</f>
        <v>2626979</v>
      </c>
    </row>
    <row r="57" spans="1:4 16361:16361" ht="15.75" customHeight="1" x14ac:dyDescent="0.25">
      <c r="A57" s="219">
        <v>54</v>
      </c>
      <c r="B57" s="229" t="s">
        <v>24</v>
      </c>
      <c r="C57" s="302">
        <v>3215</v>
      </c>
      <c r="D57" s="303">
        <v>4475</v>
      </c>
    </row>
    <row r="58" spans="1:4 16361:16361" ht="16.5" thickBot="1" x14ac:dyDescent="0.3">
      <c r="A58" s="230">
        <v>55</v>
      </c>
      <c r="B58" s="252" t="s">
        <v>25</v>
      </c>
      <c r="C58" s="292">
        <v>1428678</v>
      </c>
      <c r="D58" s="222">
        <v>2622504</v>
      </c>
    </row>
    <row r="59" spans="1:4 16361:16361" ht="16.5" customHeight="1" thickBot="1" x14ac:dyDescent="0.3">
      <c r="A59" s="226">
        <v>56</v>
      </c>
      <c r="B59" s="245" t="s">
        <v>304</v>
      </c>
      <c r="C59" s="304">
        <f>SUM(C60:C62)</f>
        <v>6595</v>
      </c>
      <c r="D59" s="231">
        <f>SUM(D60:D62)</f>
        <v>6462</v>
      </c>
    </row>
    <row r="60" spans="1:4 16361:16361" ht="15.75" customHeight="1" x14ac:dyDescent="0.25">
      <c r="A60" s="217">
        <v>57</v>
      </c>
      <c r="B60" s="253" t="s">
        <v>26</v>
      </c>
      <c r="C60" s="295">
        <v>5760</v>
      </c>
      <c r="D60" s="301">
        <v>4847</v>
      </c>
    </row>
    <row r="61" spans="1:4 16361:16361" ht="15.75" customHeight="1" x14ac:dyDescent="0.25">
      <c r="A61" s="219">
        <v>58</v>
      </c>
      <c r="B61" s="229" t="s">
        <v>27</v>
      </c>
      <c r="C61" s="295">
        <v>835</v>
      </c>
      <c r="D61" s="301">
        <v>1615</v>
      </c>
    </row>
    <row r="62" spans="1:4 16361:16361" ht="16.5" customHeight="1" thickBot="1" x14ac:dyDescent="0.3">
      <c r="A62" s="230">
        <v>59</v>
      </c>
      <c r="B62" s="252" t="s">
        <v>305</v>
      </c>
      <c r="C62" s="302"/>
      <c r="D62" s="303"/>
    </row>
    <row r="63" spans="1:4 16361:16361" ht="16.5" customHeight="1" thickBot="1" x14ac:dyDescent="0.3">
      <c r="A63" s="226">
        <v>60</v>
      </c>
      <c r="B63" s="245" t="s">
        <v>306</v>
      </c>
      <c r="C63" s="304">
        <f>C4+C32+C59</f>
        <v>11811494</v>
      </c>
      <c r="D63" s="232">
        <f>D4+D32+D59</f>
        <v>13088052</v>
      </c>
    </row>
    <row r="64" spans="1:4 16361:16361" x14ac:dyDescent="0.25">
      <c r="A64" s="255"/>
      <c r="B64" s="37"/>
      <c r="C64" s="257"/>
      <c r="D64" s="257"/>
    </row>
    <row r="65" spans="1:4" x14ac:dyDescent="0.25">
      <c r="A65" s="255"/>
      <c r="B65" s="37"/>
      <c r="C65" s="257"/>
      <c r="D65" s="257"/>
    </row>
    <row r="66" spans="1:4" ht="16.5" thickBot="1" x14ac:dyDescent="0.3">
      <c r="A66" s="255"/>
      <c r="B66" s="256"/>
      <c r="C66" s="257"/>
      <c r="D66" s="257"/>
    </row>
    <row r="67" spans="1:4" x14ac:dyDescent="0.25">
      <c r="A67" s="211" t="s">
        <v>223</v>
      </c>
      <c r="B67" s="243" t="s">
        <v>224</v>
      </c>
      <c r="C67" s="258">
        <v>2015</v>
      </c>
      <c r="D67" s="259">
        <v>2016</v>
      </c>
    </row>
    <row r="68" spans="1:4" ht="16.5" thickBot="1" x14ac:dyDescent="0.3">
      <c r="A68" s="213" t="s">
        <v>225</v>
      </c>
      <c r="B68" s="244" t="s">
        <v>226</v>
      </c>
      <c r="C68" s="213" t="s">
        <v>272</v>
      </c>
      <c r="D68" s="260" t="s">
        <v>273</v>
      </c>
    </row>
    <row r="69" spans="1:4" ht="16.5" thickBot="1" x14ac:dyDescent="0.3">
      <c r="A69" s="226">
        <v>61</v>
      </c>
      <c r="B69" s="245" t="s">
        <v>307</v>
      </c>
      <c r="C69" s="261">
        <f>SUM(C70:C76)-C71+C79</f>
        <v>4155502</v>
      </c>
      <c r="D69" s="231">
        <f>SUM(D70:D76)-D71+D79</f>
        <v>4217016</v>
      </c>
    </row>
    <row r="70" spans="1:4" x14ac:dyDescent="0.25">
      <c r="A70" s="217">
        <v>62</v>
      </c>
      <c r="B70" s="253" t="s">
        <v>308</v>
      </c>
      <c r="C70" s="262">
        <v>4780808</v>
      </c>
      <c r="D70" s="223">
        <v>4780808</v>
      </c>
    </row>
    <row r="71" spans="1:4" x14ac:dyDescent="0.25">
      <c r="A71" s="233">
        <v>63</v>
      </c>
      <c r="B71" s="229" t="s">
        <v>309</v>
      </c>
      <c r="C71" s="263"/>
      <c r="D71" s="220"/>
    </row>
    <row r="72" spans="1:4" x14ac:dyDescent="0.25">
      <c r="A72" s="219">
        <v>64</v>
      </c>
      <c r="B72" s="229" t="s">
        <v>310</v>
      </c>
      <c r="C72" s="263"/>
      <c r="D72" s="220"/>
    </row>
    <row r="73" spans="1:4" x14ac:dyDescent="0.25">
      <c r="A73" s="233">
        <v>65</v>
      </c>
      <c r="B73" s="229" t="s">
        <v>311</v>
      </c>
      <c r="C73" s="263">
        <v>307783</v>
      </c>
      <c r="D73" s="220">
        <v>307783</v>
      </c>
    </row>
    <row r="74" spans="1:4" x14ac:dyDescent="0.25">
      <c r="A74" s="219">
        <v>66</v>
      </c>
      <c r="B74" s="229" t="s">
        <v>312</v>
      </c>
      <c r="C74" s="263">
        <v>-295851</v>
      </c>
      <c r="D74" s="220">
        <v>-933089</v>
      </c>
    </row>
    <row r="75" spans="1:4" x14ac:dyDescent="0.25">
      <c r="A75" s="233">
        <v>67</v>
      </c>
      <c r="B75" s="229" t="s">
        <v>313</v>
      </c>
      <c r="C75" s="263"/>
      <c r="D75" s="220"/>
    </row>
    <row r="76" spans="1:4" x14ac:dyDescent="0.25">
      <c r="A76" s="234">
        <v>68</v>
      </c>
      <c r="B76" s="229" t="s">
        <v>314</v>
      </c>
      <c r="C76" s="264">
        <f>SUM(C77:C78)</f>
        <v>0</v>
      </c>
      <c r="D76" s="235">
        <f>SUM(D77:D78)</f>
        <v>0</v>
      </c>
    </row>
    <row r="77" spans="1:4" x14ac:dyDescent="0.25">
      <c r="A77" s="233">
        <v>69</v>
      </c>
      <c r="B77" s="229" t="s">
        <v>315</v>
      </c>
      <c r="C77" s="263"/>
      <c r="D77" s="220"/>
    </row>
    <row r="78" spans="1:4" x14ac:dyDescent="0.25">
      <c r="A78" s="219">
        <v>70</v>
      </c>
      <c r="B78" s="229" t="s">
        <v>316</v>
      </c>
      <c r="C78" s="263"/>
      <c r="D78" s="220"/>
    </row>
    <row r="79" spans="1:4" ht="16.5" thickBot="1" x14ac:dyDescent="0.3">
      <c r="A79" s="233">
        <v>71</v>
      </c>
      <c r="B79" s="252" t="s">
        <v>317</v>
      </c>
      <c r="C79" s="265">
        <v>-637238</v>
      </c>
      <c r="D79" s="222">
        <v>61514</v>
      </c>
    </row>
    <row r="80" spans="1:4" ht="16.5" thickBot="1" x14ac:dyDescent="0.3">
      <c r="A80" s="226">
        <v>72</v>
      </c>
      <c r="B80" s="245" t="s">
        <v>318</v>
      </c>
      <c r="C80" s="266">
        <f>SUM(C81:C83)</f>
        <v>316886</v>
      </c>
      <c r="D80" s="231">
        <f>SUM(D81:D83)</f>
        <v>348510</v>
      </c>
    </row>
    <row r="81" spans="1:4" x14ac:dyDescent="0.25">
      <c r="A81" s="233">
        <v>73</v>
      </c>
      <c r="B81" s="253" t="s">
        <v>28</v>
      </c>
      <c r="C81" s="262"/>
      <c r="D81" s="223"/>
    </row>
    <row r="82" spans="1:4" x14ac:dyDescent="0.25">
      <c r="A82" s="219">
        <v>74</v>
      </c>
      <c r="B82" s="229" t="s">
        <v>29</v>
      </c>
      <c r="C82" s="263">
        <v>316886</v>
      </c>
      <c r="D82" s="220">
        <v>348510</v>
      </c>
    </row>
    <row r="83" spans="1:4" ht="16.5" thickBot="1" x14ac:dyDescent="0.3">
      <c r="A83" s="233">
        <v>75</v>
      </c>
      <c r="B83" s="252" t="s">
        <v>30</v>
      </c>
      <c r="C83" s="265"/>
      <c r="D83" s="222"/>
    </row>
    <row r="84" spans="1:4" ht="16.5" thickBot="1" x14ac:dyDescent="0.3">
      <c r="A84" s="226">
        <v>76</v>
      </c>
      <c r="B84" s="245" t="s">
        <v>319</v>
      </c>
      <c r="C84" s="266">
        <f>C85+C90+C100</f>
        <v>5951811</v>
      </c>
      <c r="D84" s="231">
        <f>D85+D90+D100</f>
        <v>7108147</v>
      </c>
    </row>
    <row r="85" spans="1:4" x14ac:dyDescent="0.25">
      <c r="A85" s="233">
        <v>77</v>
      </c>
      <c r="B85" s="246" t="s">
        <v>320</v>
      </c>
      <c r="C85" s="267">
        <f>SUM(C86:C89)</f>
        <v>0</v>
      </c>
      <c r="D85" s="236">
        <f>SUM(D86:D89)</f>
        <v>0</v>
      </c>
    </row>
    <row r="86" spans="1:4" x14ac:dyDescent="0.25">
      <c r="A86" s="219">
        <v>78</v>
      </c>
      <c r="B86" s="229" t="s">
        <v>321</v>
      </c>
      <c r="C86" s="268"/>
      <c r="D86" s="237"/>
    </row>
    <row r="87" spans="1:4" x14ac:dyDescent="0.25">
      <c r="A87" s="233">
        <v>79</v>
      </c>
      <c r="B87" s="229" t="s">
        <v>322</v>
      </c>
      <c r="C87" s="268"/>
      <c r="D87" s="237"/>
    </row>
    <row r="88" spans="1:4" x14ac:dyDescent="0.25">
      <c r="A88" s="219">
        <v>80</v>
      </c>
      <c r="B88" s="229" t="s">
        <v>323</v>
      </c>
      <c r="C88" s="268"/>
      <c r="D88" s="237"/>
    </row>
    <row r="89" spans="1:4" ht="16.5" thickBot="1" x14ac:dyDescent="0.3">
      <c r="A89" s="238">
        <v>81</v>
      </c>
      <c r="B89" s="248" t="s">
        <v>324</v>
      </c>
      <c r="C89" s="269"/>
      <c r="D89" s="239"/>
    </row>
    <row r="90" spans="1:4" x14ac:dyDescent="0.25">
      <c r="A90" s="241">
        <v>82</v>
      </c>
      <c r="B90" s="309" t="s">
        <v>325</v>
      </c>
      <c r="C90" s="270">
        <f>SUM(C91:C99)</f>
        <v>5475932</v>
      </c>
      <c r="D90" s="242">
        <f>SUM(D91:D99)</f>
        <v>5476399</v>
      </c>
    </row>
    <row r="91" spans="1:4" x14ac:dyDescent="0.25">
      <c r="A91" s="219">
        <v>83</v>
      </c>
      <c r="B91" s="229" t="s">
        <v>31</v>
      </c>
      <c r="C91" s="263"/>
      <c r="D91" s="220"/>
    </row>
    <row r="92" spans="1:4" x14ac:dyDescent="0.25">
      <c r="A92" s="219">
        <v>84</v>
      </c>
      <c r="B92" s="229" t="s">
        <v>32</v>
      </c>
      <c r="C92" s="263"/>
      <c r="D92" s="220"/>
    </row>
    <row r="93" spans="1:4" x14ac:dyDescent="0.25">
      <c r="A93" s="219">
        <v>85</v>
      </c>
      <c r="B93" s="229" t="s">
        <v>33</v>
      </c>
      <c r="C93" s="263">
        <v>5471062</v>
      </c>
      <c r="D93" s="220">
        <v>5471629</v>
      </c>
    </row>
    <row r="94" spans="1:4" x14ac:dyDescent="0.25">
      <c r="A94" s="219">
        <v>86</v>
      </c>
      <c r="B94" s="229" t="s">
        <v>326</v>
      </c>
      <c r="C94" s="263"/>
      <c r="D94" s="220"/>
    </row>
    <row r="95" spans="1:4" x14ac:dyDescent="0.25">
      <c r="A95" s="219">
        <v>87</v>
      </c>
      <c r="B95" s="229" t="s">
        <v>327</v>
      </c>
      <c r="C95" s="263"/>
      <c r="D95" s="220"/>
    </row>
    <row r="96" spans="1:4" x14ac:dyDescent="0.25">
      <c r="A96" s="219">
        <v>88</v>
      </c>
      <c r="B96" s="229" t="s">
        <v>328</v>
      </c>
      <c r="C96" s="263"/>
      <c r="D96" s="220"/>
    </row>
    <row r="97" spans="1:4" x14ac:dyDescent="0.25">
      <c r="A97" s="219">
        <v>89</v>
      </c>
      <c r="B97" s="229" t="s">
        <v>329</v>
      </c>
      <c r="C97" s="263"/>
      <c r="D97" s="220"/>
    </row>
    <row r="98" spans="1:4" x14ac:dyDescent="0.25">
      <c r="A98" s="219">
        <v>90</v>
      </c>
      <c r="B98" s="229" t="s">
        <v>330</v>
      </c>
      <c r="C98" s="263"/>
      <c r="D98" s="220"/>
    </row>
    <row r="99" spans="1:4" x14ac:dyDescent="0.25">
      <c r="A99" s="219">
        <v>91</v>
      </c>
      <c r="B99" s="229" t="s">
        <v>331</v>
      </c>
      <c r="C99" s="263">
        <v>4870</v>
      </c>
      <c r="D99" s="220">
        <v>4770</v>
      </c>
    </row>
    <row r="100" spans="1:4" x14ac:dyDescent="0.25">
      <c r="A100" s="219">
        <v>92</v>
      </c>
      <c r="B100" s="247" t="s">
        <v>332</v>
      </c>
      <c r="C100" s="271">
        <f>SUM(C101:C112)-C102</f>
        <v>475879</v>
      </c>
      <c r="D100" s="221">
        <f>SUM(D101:D112)-D102</f>
        <v>1631748</v>
      </c>
    </row>
    <row r="101" spans="1:4" x14ac:dyDescent="0.25">
      <c r="A101" s="219">
        <v>93</v>
      </c>
      <c r="B101" s="229" t="s">
        <v>34</v>
      </c>
      <c r="C101" s="263"/>
      <c r="D101" s="220"/>
    </row>
    <row r="102" spans="1:4" x14ac:dyDescent="0.25">
      <c r="A102" s="219">
        <v>94</v>
      </c>
      <c r="B102" s="229" t="s">
        <v>333</v>
      </c>
      <c r="C102" s="263"/>
      <c r="D102" s="220"/>
    </row>
    <row r="103" spans="1:4" s="1" customFormat="1" x14ac:dyDescent="0.2">
      <c r="A103" s="219">
        <v>95</v>
      </c>
      <c r="B103" s="229" t="s">
        <v>35</v>
      </c>
      <c r="C103" s="263"/>
      <c r="D103" s="220"/>
    </row>
    <row r="104" spans="1:4" ht="21" customHeight="1" x14ac:dyDescent="0.25">
      <c r="A104" s="219">
        <v>96</v>
      </c>
      <c r="B104" s="229" t="s">
        <v>334</v>
      </c>
      <c r="C104" s="263">
        <v>4035</v>
      </c>
      <c r="D104" s="220">
        <v>2492</v>
      </c>
    </row>
    <row r="105" spans="1:4" ht="21" customHeight="1" x14ac:dyDescent="0.25">
      <c r="A105" s="219">
        <v>97</v>
      </c>
      <c r="B105" s="229" t="s">
        <v>335</v>
      </c>
      <c r="C105" s="263">
        <v>154032</v>
      </c>
      <c r="D105" s="220">
        <v>94907</v>
      </c>
    </row>
    <row r="106" spans="1:4" ht="21" customHeight="1" x14ac:dyDescent="0.25">
      <c r="A106" s="219">
        <v>98</v>
      </c>
      <c r="B106" s="229" t="s">
        <v>336</v>
      </c>
      <c r="C106" s="263"/>
      <c r="D106" s="220"/>
    </row>
    <row r="107" spans="1:4" ht="21" customHeight="1" x14ac:dyDescent="0.25">
      <c r="A107" s="219">
        <v>99</v>
      </c>
      <c r="B107" s="229" t="s">
        <v>337</v>
      </c>
      <c r="C107" s="263">
        <v>40224</v>
      </c>
      <c r="D107" s="220">
        <v>90831</v>
      </c>
    </row>
    <row r="108" spans="1:4" ht="21" customHeight="1" x14ac:dyDescent="0.25">
      <c r="A108" s="233">
        <v>100</v>
      </c>
      <c r="B108" s="229" t="s">
        <v>338</v>
      </c>
      <c r="C108" s="263"/>
      <c r="D108" s="220"/>
    </row>
    <row r="109" spans="1:4" ht="21" customHeight="1" x14ac:dyDescent="0.25">
      <c r="A109" s="219">
        <v>101</v>
      </c>
      <c r="B109" s="229" t="s">
        <v>339</v>
      </c>
      <c r="C109" s="263">
        <v>1381</v>
      </c>
      <c r="D109" s="220">
        <v>181</v>
      </c>
    </row>
    <row r="110" spans="1:4" ht="21" customHeight="1" x14ac:dyDescent="0.25">
      <c r="A110" s="233">
        <v>102</v>
      </c>
      <c r="B110" s="229" t="s">
        <v>340</v>
      </c>
      <c r="C110" s="263">
        <v>276207</v>
      </c>
      <c r="D110" s="220">
        <v>1443337</v>
      </c>
    </row>
    <row r="111" spans="1:4" ht="21" customHeight="1" x14ac:dyDescent="0.25">
      <c r="A111" s="219">
        <v>103</v>
      </c>
      <c r="B111" s="229" t="s">
        <v>341</v>
      </c>
      <c r="C111" s="263"/>
      <c r="D111" s="220"/>
    </row>
    <row r="112" spans="1:4" ht="21" customHeight="1" x14ac:dyDescent="0.25">
      <c r="A112" s="233">
        <v>104</v>
      </c>
      <c r="B112" s="229" t="s">
        <v>342</v>
      </c>
      <c r="C112" s="263"/>
      <c r="D112" s="220"/>
    </row>
    <row r="113" spans="1:6" ht="21" customHeight="1" x14ac:dyDescent="0.25">
      <c r="A113" s="219">
        <v>105</v>
      </c>
      <c r="B113" s="247" t="s">
        <v>343</v>
      </c>
      <c r="C113" s="271">
        <f>SUM(C114:C116)</f>
        <v>1387295</v>
      </c>
      <c r="D113" s="221">
        <f>SUM(D114:D116)</f>
        <v>1414380</v>
      </c>
    </row>
    <row r="114" spans="1:6" ht="21" customHeight="1" x14ac:dyDescent="0.25">
      <c r="A114" s="233">
        <v>106</v>
      </c>
      <c r="B114" s="229" t="s">
        <v>344</v>
      </c>
      <c r="C114" s="263">
        <v>2516</v>
      </c>
      <c r="D114" s="220">
        <v>2949</v>
      </c>
    </row>
    <row r="115" spans="1:6" ht="21" customHeight="1" x14ac:dyDescent="0.25">
      <c r="A115" s="219">
        <v>107</v>
      </c>
      <c r="B115" s="229" t="s">
        <v>345</v>
      </c>
      <c r="C115" s="263">
        <v>6923</v>
      </c>
      <c r="D115" s="220">
        <v>15068</v>
      </c>
    </row>
    <row r="116" spans="1:6" ht="21" customHeight="1" thickBot="1" x14ac:dyDescent="0.3">
      <c r="A116" s="233">
        <v>108</v>
      </c>
      <c r="B116" s="248" t="s">
        <v>346</v>
      </c>
      <c r="C116" s="265">
        <v>1377856</v>
      </c>
      <c r="D116" s="222">
        <v>1396363</v>
      </c>
    </row>
    <row r="117" spans="1:6" ht="21" customHeight="1" thickBot="1" x14ac:dyDescent="0.3">
      <c r="A117" s="226">
        <v>109</v>
      </c>
      <c r="B117" s="310" t="s">
        <v>347</v>
      </c>
      <c r="C117" s="266">
        <f>C69+C80+C84+C113</f>
        <v>11811494</v>
      </c>
      <c r="D117" s="231">
        <f>D69+D80+D84+D113</f>
        <v>13088053</v>
      </c>
    </row>
    <row r="118" spans="1:6" ht="21" customHeight="1" x14ac:dyDescent="0.25"/>
    <row r="119" spans="1:6" ht="21" customHeight="1" thickBot="1" x14ac:dyDescent="0.3"/>
    <row r="120" spans="1:6" ht="21" customHeight="1" x14ac:dyDescent="0.25">
      <c r="A120" s="272" t="s">
        <v>223</v>
      </c>
      <c r="B120" s="287" t="s">
        <v>224</v>
      </c>
      <c r="C120" s="258">
        <v>2015</v>
      </c>
      <c r="D120" s="212">
        <v>2016</v>
      </c>
    </row>
    <row r="121" spans="1:6" ht="21" customHeight="1" thickBot="1" x14ac:dyDescent="0.3">
      <c r="A121" s="273" t="s">
        <v>225</v>
      </c>
      <c r="B121" s="288" t="s">
        <v>226</v>
      </c>
      <c r="C121" s="240" t="s">
        <v>272</v>
      </c>
      <c r="D121" s="214" t="s">
        <v>273</v>
      </c>
    </row>
    <row r="122" spans="1:6" ht="21" customHeight="1" x14ac:dyDescent="0.25">
      <c r="A122" s="274">
        <v>1</v>
      </c>
      <c r="B122" s="305" t="s">
        <v>227</v>
      </c>
      <c r="C122" s="311">
        <v>3195917</v>
      </c>
      <c r="D122" s="275">
        <f>Összköltséges!F3</f>
        <v>3231777</v>
      </c>
      <c r="F122" s="29"/>
    </row>
    <row r="123" spans="1:6" ht="21" customHeight="1" x14ac:dyDescent="0.25">
      <c r="A123" s="276">
        <v>2</v>
      </c>
      <c r="B123" s="306" t="s">
        <v>228</v>
      </c>
      <c r="C123" s="312"/>
      <c r="D123" s="277"/>
    </row>
    <row r="124" spans="1:6" ht="21" customHeight="1" x14ac:dyDescent="0.25">
      <c r="A124" s="276">
        <v>3</v>
      </c>
      <c r="B124" s="307" t="s">
        <v>229</v>
      </c>
      <c r="C124" s="296">
        <f>SUM(C122:C123)</f>
        <v>3195917</v>
      </c>
      <c r="D124" s="278">
        <f>SUM(D122:D123)</f>
        <v>3231777</v>
      </c>
    </row>
    <row r="125" spans="1:6" ht="21" customHeight="1" x14ac:dyDescent="0.25">
      <c r="A125" s="276">
        <v>4</v>
      </c>
      <c r="B125" s="306" t="s">
        <v>230</v>
      </c>
      <c r="C125" s="313">
        <v>-3</v>
      </c>
      <c r="D125" s="279">
        <f>Összköltséges!F6</f>
        <v>502</v>
      </c>
    </row>
    <row r="126" spans="1:6" ht="21" customHeight="1" x14ac:dyDescent="0.25">
      <c r="A126" s="276">
        <v>5</v>
      </c>
      <c r="B126" s="306" t="s">
        <v>231</v>
      </c>
      <c r="C126" s="313">
        <v>15033</v>
      </c>
      <c r="D126" s="279">
        <f>Összköltséges!F7</f>
        <v>6200</v>
      </c>
    </row>
    <row r="127" spans="1:6" ht="21" customHeight="1" x14ac:dyDescent="0.25">
      <c r="A127" s="276">
        <v>6</v>
      </c>
      <c r="B127" s="307" t="s">
        <v>232</v>
      </c>
      <c r="C127" s="296">
        <f>SUM(C125:C126)</f>
        <v>15030</v>
      </c>
      <c r="D127" s="278">
        <f>SUM(D125:D126)</f>
        <v>6702</v>
      </c>
    </row>
    <row r="128" spans="1:6" ht="21" customHeight="1" x14ac:dyDescent="0.25">
      <c r="A128" s="276">
        <v>7</v>
      </c>
      <c r="B128" s="307" t="s">
        <v>233</v>
      </c>
      <c r="C128" s="314">
        <v>109085</v>
      </c>
      <c r="D128" s="280">
        <v>70086</v>
      </c>
    </row>
    <row r="129" spans="1:4" ht="21" customHeight="1" x14ac:dyDescent="0.25">
      <c r="A129" s="276">
        <v>8</v>
      </c>
      <c r="B129" s="306" t="s">
        <v>234</v>
      </c>
      <c r="C129" s="313"/>
      <c r="D129" s="279"/>
    </row>
    <row r="130" spans="1:4" ht="21" customHeight="1" x14ac:dyDescent="0.25">
      <c r="A130" s="276">
        <v>9</v>
      </c>
      <c r="B130" s="306" t="s">
        <v>235</v>
      </c>
      <c r="C130" s="313">
        <v>317722</v>
      </c>
      <c r="D130" s="279">
        <f>Összköltséges!F11</f>
        <v>289346</v>
      </c>
    </row>
    <row r="131" spans="1:4" ht="21" customHeight="1" x14ac:dyDescent="0.25">
      <c r="A131" s="276">
        <v>10</v>
      </c>
      <c r="B131" s="306" t="s">
        <v>236</v>
      </c>
      <c r="C131" s="313">
        <v>200630</v>
      </c>
      <c r="D131" s="279">
        <f>Összköltséges!F12</f>
        <v>222484</v>
      </c>
    </row>
    <row r="132" spans="1:4" ht="21" customHeight="1" x14ac:dyDescent="0.25">
      <c r="A132" s="276">
        <v>11</v>
      </c>
      <c r="B132" s="306" t="s">
        <v>237</v>
      </c>
      <c r="C132" s="313">
        <v>45218</v>
      </c>
      <c r="D132" s="279">
        <f>Összköltséges!F13</f>
        <v>37253</v>
      </c>
    </row>
    <row r="133" spans="1:4" ht="21" customHeight="1" x14ac:dyDescent="0.25">
      <c r="A133" s="276">
        <v>12</v>
      </c>
      <c r="B133" s="306" t="s">
        <v>238</v>
      </c>
      <c r="C133" s="313">
        <v>1229</v>
      </c>
      <c r="D133" s="279">
        <f>Összköltséges!F14</f>
        <v>1366</v>
      </c>
    </row>
    <row r="134" spans="1:4" ht="21" customHeight="1" x14ac:dyDescent="0.25">
      <c r="A134" s="276">
        <v>13</v>
      </c>
      <c r="B134" s="306" t="s">
        <v>239</v>
      </c>
      <c r="C134" s="313">
        <v>1003414</v>
      </c>
      <c r="D134" s="279">
        <f>Összköltséges!F15</f>
        <v>980294</v>
      </c>
    </row>
    <row r="135" spans="1:4" ht="21" customHeight="1" x14ac:dyDescent="0.25">
      <c r="A135" s="276">
        <v>14</v>
      </c>
      <c r="B135" s="307" t="s">
        <v>240</v>
      </c>
      <c r="C135" s="296">
        <f>SUM(C130:C134)</f>
        <v>1568213</v>
      </c>
      <c r="D135" s="278">
        <f>SUM(D130:D134)</f>
        <v>1530743</v>
      </c>
    </row>
    <row r="136" spans="1:4" ht="21" customHeight="1" x14ac:dyDescent="0.25">
      <c r="A136" s="276">
        <v>15</v>
      </c>
      <c r="B136" s="306" t="s">
        <v>241</v>
      </c>
      <c r="C136" s="313">
        <v>729335</v>
      </c>
      <c r="D136" s="279">
        <f>Összköltséges!F17</f>
        <v>756891</v>
      </c>
    </row>
    <row r="137" spans="1:4" x14ac:dyDescent="0.25">
      <c r="A137" s="276">
        <v>16</v>
      </c>
      <c r="B137" s="306" t="s">
        <v>242</v>
      </c>
      <c r="C137" s="313">
        <v>90735</v>
      </c>
      <c r="D137" s="279">
        <f>Összköltséges!F18</f>
        <v>89446</v>
      </c>
    </row>
    <row r="138" spans="1:4" ht="20.25" customHeight="1" x14ac:dyDescent="0.25">
      <c r="A138" s="276">
        <v>17</v>
      </c>
      <c r="B138" s="306" t="s">
        <v>243</v>
      </c>
      <c r="C138" s="313">
        <v>205649</v>
      </c>
      <c r="D138" s="279">
        <f>Összköltséges!F19</f>
        <v>212918</v>
      </c>
    </row>
    <row r="139" spans="1:4" x14ac:dyDescent="0.25">
      <c r="A139" s="276">
        <v>18</v>
      </c>
      <c r="B139" s="306" t="s">
        <v>244</v>
      </c>
      <c r="C139" s="296">
        <f>SUM(C136:C138)</f>
        <v>1025719</v>
      </c>
      <c r="D139" s="278">
        <f>SUM(D136:D138)</f>
        <v>1059255</v>
      </c>
    </row>
    <row r="140" spans="1:4" x14ac:dyDescent="0.25">
      <c r="A140" s="276">
        <v>19</v>
      </c>
      <c r="B140" s="306" t="s">
        <v>245</v>
      </c>
      <c r="C140" s="314">
        <v>238572</v>
      </c>
      <c r="D140" s="280">
        <f>Összköltséges!F21</f>
        <v>247749</v>
      </c>
    </row>
    <row r="141" spans="1:4" x14ac:dyDescent="0.25">
      <c r="A141" s="276">
        <v>20</v>
      </c>
      <c r="B141" s="306" t="s">
        <v>246</v>
      </c>
      <c r="C141" s="314">
        <v>347737</v>
      </c>
      <c r="D141" s="280">
        <v>343213</v>
      </c>
    </row>
    <row r="142" spans="1:4" x14ac:dyDescent="0.25">
      <c r="A142" s="276">
        <v>21</v>
      </c>
      <c r="B142" s="306" t="s">
        <v>247</v>
      </c>
      <c r="C142" s="314"/>
      <c r="D142" s="279"/>
    </row>
    <row r="143" spans="1:4" ht="16.5" thickBot="1" x14ac:dyDescent="0.3">
      <c r="A143" s="281">
        <v>22</v>
      </c>
      <c r="B143" s="308" t="s">
        <v>248</v>
      </c>
      <c r="C143" s="315">
        <f>C124+C127+C128-C135-C139-C140-C141</f>
        <v>139791</v>
      </c>
      <c r="D143" s="282">
        <f>D124+D127+D128-D135-D139-D140-D141</f>
        <v>127605</v>
      </c>
    </row>
    <row r="144" spans="1:4" x14ac:dyDescent="0.25">
      <c r="A144" s="283">
        <v>23</v>
      </c>
      <c r="B144" s="305" t="s">
        <v>249</v>
      </c>
      <c r="C144" s="316"/>
      <c r="D144" s="284"/>
    </row>
    <row r="145" spans="1:4" x14ac:dyDescent="0.25">
      <c r="A145" s="276">
        <v>24</v>
      </c>
      <c r="B145" s="306" t="s">
        <v>250</v>
      </c>
      <c r="C145" s="313"/>
      <c r="D145" s="279"/>
    </row>
    <row r="146" spans="1:4" x14ac:dyDescent="0.25">
      <c r="A146" s="276">
        <v>25</v>
      </c>
      <c r="B146" s="306" t="s">
        <v>251</v>
      </c>
      <c r="C146" s="317"/>
      <c r="D146" s="285"/>
    </row>
    <row r="147" spans="1:4" x14ac:dyDescent="0.25">
      <c r="A147" s="276">
        <v>26</v>
      </c>
      <c r="B147" s="306" t="s">
        <v>252</v>
      </c>
      <c r="C147" s="313"/>
      <c r="D147" s="279"/>
    </row>
    <row r="148" spans="1:4" x14ac:dyDescent="0.25">
      <c r="A148" s="286">
        <v>27</v>
      </c>
      <c r="B148" s="306" t="s">
        <v>348</v>
      </c>
      <c r="C148" s="317"/>
      <c r="D148" s="285"/>
    </row>
    <row r="149" spans="1:4" x14ac:dyDescent="0.25">
      <c r="A149" s="276">
        <v>28</v>
      </c>
      <c r="B149" s="306" t="s">
        <v>254</v>
      </c>
      <c r="C149" s="313"/>
      <c r="D149" s="279"/>
    </row>
    <row r="150" spans="1:4" x14ac:dyDescent="0.25">
      <c r="A150" s="276">
        <v>29</v>
      </c>
      <c r="B150" s="306" t="s">
        <v>255</v>
      </c>
      <c r="C150" s="317">
        <v>41040</v>
      </c>
      <c r="D150" s="285">
        <f>Összköltséges!F31</f>
        <v>4919</v>
      </c>
    </row>
    <row r="151" spans="1:4" x14ac:dyDescent="0.25">
      <c r="A151" s="276">
        <v>30</v>
      </c>
      <c r="B151" s="306" t="s">
        <v>250</v>
      </c>
      <c r="C151" s="313"/>
      <c r="D151" s="279"/>
    </row>
    <row r="152" spans="1:4" x14ac:dyDescent="0.25">
      <c r="A152" s="276">
        <v>31</v>
      </c>
      <c r="B152" s="306" t="s">
        <v>256</v>
      </c>
      <c r="C152" s="317">
        <v>141</v>
      </c>
      <c r="D152" s="285">
        <f>Összköltséges!F33</f>
        <v>80</v>
      </c>
    </row>
    <row r="153" spans="1:4" x14ac:dyDescent="0.25">
      <c r="A153" s="276">
        <v>32</v>
      </c>
      <c r="B153" s="306" t="s">
        <v>257</v>
      </c>
      <c r="C153" s="313"/>
      <c r="D153" s="279"/>
    </row>
    <row r="154" spans="1:4" x14ac:dyDescent="0.25">
      <c r="A154" s="276">
        <v>33</v>
      </c>
      <c r="B154" s="307" t="s">
        <v>258</v>
      </c>
      <c r="C154" s="296">
        <f>C144+C146+C148+C150+C152</f>
        <v>41181</v>
      </c>
      <c r="D154" s="278">
        <f>D144+D146+D148+D150+D152</f>
        <v>4999</v>
      </c>
    </row>
    <row r="155" spans="1:4" x14ac:dyDescent="0.25">
      <c r="A155" s="276">
        <v>34</v>
      </c>
      <c r="B155" s="306" t="s">
        <v>259</v>
      </c>
      <c r="C155" s="313"/>
      <c r="D155" s="279"/>
    </row>
    <row r="156" spans="1:4" x14ac:dyDescent="0.25">
      <c r="A156" s="276">
        <v>35</v>
      </c>
      <c r="B156" s="306" t="s">
        <v>260</v>
      </c>
      <c r="C156" s="313"/>
      <c r="D156" s="279"/>
    </row>
    <row r="157" spans="1:4" x14ac:dyDescent="0.25">
      <c r="A157" s="286">
        <v>36</v>
      </c>
      <c r="B157" s="306" t="s">
        <v>261</v>
      </c>
      <c r="C157" s="313"/>
      <c r="D157" s="279"/>
    </row>
    <row r="158" spans="1:4" x14ac:dyDescent="0.25">
      <c r="A158" s="286">
        <v>37</v>
      </c>
      <c r="B158" s="306" t="s">
        <v>260</v>
      </c>
      <c r="C158" s="313"/>
      <c r="D158" s="285"/>
    </row>
    <row r="159" spans="1:4" x14ac:dyDescent="0.25">
      <c r="A159" s="286">
        <v>38</v>
      </c>
      <c r="B159" s="306" t="s">
        <v>262</v>
      </c>
      <c r="C159" s="313">
        <v>50066</v>
      </c>
      <c r="D159" s="279">
        <f>Összköltséges!F40</f>
        <v>66655</v>
      </c>
    </row>
    <row r="160" spans="1:4" x14ac:dyDescent="0.25">
      <c r="A160" s="286">
        <v>39</v>
      </c>
      <c r="B160" s="306" t="s">
        <v>260</v>
      </c>
      <c r="C160" s="313"/>
      <c r="D160" s="285"/>
    </row>
    <row r="161" spans="1:4" x14ac:dyDescent="0.25">
      <c r="A161" s="286">
        <v>40</v>
      </c>
      <c r="B161" s="306" t="s">
        <v>263</v>
      </c>
      <c r="C161" s="313"/>
      <c r="D161" s="279"/>
    </row>
    <row r="162" spans="1:4" x14ac:dyDescent="0.25">
      <c r="A162" s="286">
        <v>41</v>
      </c>
      <c r="B162" s="306" t="s">
        <v>264</v>
      </c>
      <c r="C162" s="313">
        <v>768144</v>
      </c>
      <c r="D162" s="285">
        <v>2293</v>
      </c>
    </row>
    <row r="163" spans="1:4" x14ac:dyDescent="0.25">
      <c r="A163" s="286">
        <v>42</v>
      </c>
      <c r="B163" s="306" t="s">
        <v>257</v>
      </c>
      <c r="C163" s="313"/>
      <c r="D163" s="279"/>
    </row>
    <row r="164" spans="1:4" x14ac:dyDescent="0.25">
      <c r="A164" s="286">
        <v>43</v>
      </c>
      <c r="B164" s="307" t="s">
        <v>265</v>
      </c>
      <c r="C164" s="296">
        <f>C155+C157+C159+C161+C162</f>
        <v>818210</v>
      </c>
      <c r="D164" s="278">
        <f>D155+D157+D159+D161+D162</f>
        <v>68948</v>
      </c>
    </row>
    <row r="165" spans="1:4" x14ac:dyDescent="0.25">
      <c r="A165" s="286">
        <v>44</v>
      </c>
      <c r="B165" s="307" t="s">
        <v>266</v>
      </c>
      <c r="C165" s="296">
        <f>C154-C164</f>
        <v>-777029</v>
      </c>
      <c r="D165" s="278">
        <f>D154-D164</f>
        <v>-63949</v>
      </c>
    </row>
    <row r="166" spans="1:4" x14ac:dyDescent="0.25">
      <c r="A166" s="276">
        <v>47</v>
      </c>
      <c r="B166" s="307" t="s">
        <v>267</v>
      </c>
      <c r="C166" s="296">
        <f>C143+C165</f>
        <v>-637238</v>
      </c>
      <c r="D166" s="278">
        <f>D143+D165</f>
        <v>63656</v>
      </c>
    </row>
    <row r="167" spans="1:4" x14ac:dyDescent="0.25">
      <c r="A167" s="276">
        <v>48</v>
      </c>
      <c r="B167" s="306" t="s">
        <v>268</v>
      </c>
      <c r="C167" s="312"/>
      <c r="D167" s="277">
        <v>2142</v>
      </c>
    </row>
    <row r="168" spans="1:4" ht="16.5" thickBot="1" x14ac:dyDescent="0.3">
      <c r="A168" s="273">
        <v>49</v>
      </c>
      <c r="B168" s="308" t="s">
        <v>269</v>
      </c>
      <c r="C168" s="315">
        <f>C166-C167</f>
        <v>-637238</v>
      </c>
      <c r="D168" s="282">
        <f>D166-D167</f>
        <v>61514</v>
      </c>
    </row>
  </sheetData>
  <phoneticPr fontId="0" type="noConversion"/>
  <printOptions horizontalCentered="1"/>
  <pageMargins left="0.59055118110236227" right="0.59055118110236227" top="0.74803149606299213" bottom="0.51181102362204722" header="0.31496062992125984" footer="0.31496062992125984"/>
  <pageSetup paperSize="9" scale="74" fitToHeight="3" orientation="portrait" r:id="rId1"/>
  <headerFooter>
    <oddHeader>&amp;L&amp;"Arial,Félkövér"SZOVA ZRt.&amp;C&amp;"Arial,Félkövér"&amp;14Alapadatok vagyoni, pénzügyi, jövedelmezőségi
 &amp;"Arial,Normál"&amp;12 &amp;"Arial,Félkövér"&amp;14mutatószámok számításához&amp;R4/A melléklet
adatok ezer forintban</oddHeader>
    <oddFooter xml:space="preserve">&amp;LSZOVA ZRt. Üzleti jelentés 2016.&amp;R4/A. sz. melléklet </oddFooter>
  </headerFooter>
  <rowBreaks count="2" manualBreakCount="2">
    <brk id="63" max="3" man="1"/>
    <brk id="118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opLeftCell="A49" workbookViewId="0">
      <selection activeCell="N47" sqref="N47"/>
    </sheetView>
  </sheetViews>
  <sheetFormatPr defaultColWidth="7.109375" defaultRowHeight="15.75" x14ac:dyDescent="0.25"/>
  <cols>
    <col min="1" max="1" width="37.33203125" style="31" customWidth="1"/>
    <col min="2" max="2" width="16.5546875" style="31" customWidth="1"/>
    <col min="3" max="3" width="16.5546875" style="94" customWidth="1"/>
    <col min="4" max="4" width="3.88671875" style="36" customWidth="1"/>
    <col min="5" max="5" width="13.6640625" style="127" customWidth="1"/>
    <col min="6" max="16384" width="7.109375" style="31"/>
  </cols>
  <sheetData>
    <row r="1" spans="1:5" x14ac:dyDescent="0.25">
      <c r="A1" s="30" t="s">
        <v>81</v>
      </c>
      <c r="C1" s="93" t="s">
        <v>73</v>
      </c>
      <c r="E1" s="126"/>
    </row>
    <row r="2" spans="1:5" x14ac:dyDescent="0.25">
      <c r="D2" s="32"/>
    </row>
    <row r="3" spans="1:5" x14ac:dyDescent="0.25">
      <c r="A3" s="435" t="s">
        <v>82</v>
      </c>
      <c r="B3" s="435"/>
      <c r="C3" s="435"/>
      <c r="D3" s="76"/>
    </row>
    <row r="4" spans="1:5" x14ac:dyDescent="0.25">
      <c r="A4" s="435" t="s">
        <v>49</v>
      </c>
      <c r="B4" s="435"/>
      <c r="C4" s="435"/>
      <c r="D4" s="76"/>
    </row>
    <row r="5" spans="1:5" x14ac:dyDescent="0.25">
      <c r="A5" s="434" t="s">
        <v>147</v>
      </c>
      <c r="B5" s="434"/>
      <c r="C5" s="434"/>
      <c r="D5" s="77"/>
    </row>
    <row r="6" spans="1:5" ht="16.5" thickBot="1" x14ac:dyDescent="0.3">
      <c r="A6" s="33"/>
      <c r="B6" s="33"/>
      <c r="C6" s="95" t="s">
        <v>108</v>
      </c>
      <c r="D6" s="33"/>
      <c r="E6" s="128"/>
    </row>
    <row r="7" spans="1:5" s="34" customFormat="1" ht="35.25" customHeight="1" thickBot="1" x14ac:dyDescent="0.25">
      <c r="A7" s="62"/>
      <c r="B7" s="96" t="s">
        <v>149</v>
      </c>
      <c r="C7" s="96" t="s">
        <v>148</v>
      </c>
      <c r="E7" s="129" t="s">
        <v>120</v>
      </c>
    </row>
    <row r="8" spans="1:5" s="34" customFormat="1" ht="17.25" customHeight="1" x14ac:dyDescent="0.2">
      <c r="A8" s="102" t="s">
        <v>50</v>
      </c>
      <c r="B8" s="63"/>
      <c r="C8" s="63"/>
      <c r="E8" s="130"/>
    </row>
    <row r="9" spans="1:5" s="34" customFormat="1" ht="17.25" customHeight="1" x14ac:dyDescent="0.2">
      <c r="A9" s="102" t="s">
        <v>51</v>
      </c>
      <c r="B9" s="64"/>
      <c r="C9" s="64"/>
      <c r="E9" s="131"/>
    </row>
    <row r="10" spans="1:5" s="34" customFormat="1" ht="17.25" customHeight="1" x14ac:dyDescent="0.2">
      <c r="A10" s="102" t="s">
        <v>52</v>
      </c>
      <c r="B10" s="113">
        <v>227910</v>
      </c>
      <c r="C10" s="113">
        <v>217004</v>
      </c>
      <c r="E10" s="132"/>
    </row>
    <row r="11" spans="1:5" s="34" customFormat="1" ht="17.25" customHeight="1" thickBot="1" x14ac:dyDescent="0.25">
      <c r="A11" s="103" t="s">
        <v>53</v>
      </c>
      <c r="B11" s="114">
        <v>319504</v>
      </c>
      <c r="C11" s="114">
        <v>308598</v>
      </c>
      <c r="E11" s="133"/>
    </row>
    <row r="12" spans="1:5" s="35" customFormat="1" ht="17.25" customHeight="1" x14ac:dyDescent="0.2">
      <c r="A12" s="104"/>
      <c r="B12" s="115">
        <f>B10-B11</f>
        <v>-91594</v>
      </c>
      <c r="C12" s="115">
        <f>C10-C11</f>
        <v>-91594</v>
      </c>
      <c r="E12" s="134"/>
    </row>
    <row r="13" spans="1:5" s="34" customFormat="1" ht="17.25" customHeight="1" x14ac:dyDescent="0.2">
      <c r="A13" s="102"/>
      <c r="B13" s="113"/>
      <c r="C13" s="113"/>
      <c r="E13" s="132"/>
    </row>
    <row r="14" spans="1:5" s="34" customFormat="1" ht="17.25" customHeight="1" x14ac:dyDescent="0.2">
      <c r="A14" s="105" t="s">
        <v>54</v>
      </c>
      <c r="B14" s="116"/>
      <c r="C14" s="116"/>
      <c r="E14" s="135"/>
    </row>
    <row r="15" spans="1:5" s="34" customFormat="1" ht="17.25" customHeight="1" x14ac:dyDescent="0.2">
      <c r="A15" s="102" t="s">
        <v>55</v>
      </c>
      <c r="B15" s="113"/>
      <c r="C15" s="113"/>
      <c r="E15" s="132"/>
    </row>
    <row r="16" spans="1:5" s="34" customFormat="1" ht="17.25" customHeight="1" x14ac:dyDescent="0.2">
      <c r="A16" s="102" t="s">
        <v>56</v>
      </c>
      <c r="B16" s="116"/>
      <c r="C16" s="116"/>
      <c r="E16" s="135"/>
    </row>
    <row r="17" spans="1:8" s="34" customFormat="1" ht="17.25" customHeight="1" x14ac:dyDescent="0.2">
      <c r="A17" s="106" t="s">
        <v>102</v>
      </c>
      <c r="B17" s="113">
        <v>390000</v>
      </c>
      <c r="C17" s="113">
        <v>422955</v>
      </c>
      <c r="E17" s="132">
        <f>C17/B17</f>
        <v>1.0845</v>
      </c>
    </row>
    <row r="18" spans="1:8" s="34" customFormat="1" ht="17.25" customHeight="1" x14ac:dyDescent="0.2">
      <c r="A18" s="106" t="s">
        <v>80</v>
      </c>
      <c r="B18" s="113">
        <v>28500</v>
      </c>
      <c r="C18" s="113">
        <v>-43332</v>
      </c>
      <c r="E18" s="132">
        <f t="shared" ref="E18:E52" si="0">C18/B18</f>
        <v>-1.5204210526315789</v>
      </c>
    </row>
    <row r="19" spans="1:8" s="34" customFormat="1" ht="17.25" customHeight="1" x14ac:dyDescent="0.2">
      <c r="A19" s="102" t="s">
        <v>103</v>
      </c>
      <c r="B19" s="113">
        <v>60500</v>
      </c>
      <c r="C19" s="116">
        <v>63421</v>
      </c>
      <c r="E19" s="135">
        <f t="shared" si="0"/>
        <v>1.0482809917355371</v>
      </c>
    </row>
    <row r="20" spans="1:8" s="34" customFormat="1" ht="17.25" customHeight="1" x14ac:dyDescent="0.2">
      <c r="A20" s="102" t="s">
        <v>104</v>
      </c>
      <c r="B20" s="116">
        <v>28500</v>
      </c>
      <c r="C20" s="113">
        <v>29054</v>
      </c>
      <c r="E20" s="132">
        <f t="shared" si="0"/>
        <v>1.019438596491228</v>
      </c>
    </row>
    <row r="21" spans="1:8" s="34" customFormat="1" ht="17.25" customHeight="1" x14ac:dyDescent="0.2">
      <c r="A21" s="102" t="s">
        <v>57</v>
      </c>
      <c r="B21" s="113">
        <v>20300</v>
      </c>
      <c r="C21" s="116">
        <v>20554</v>
      </c>
      <c r="E21" s="135">
        <f t="shared" si="0"/>
        <v>1.0125123152709359</v>
      </c>
    </row>
    <row r="22" spans="1:8" s="34" customFormat="1" ht="17.25" customHeight="1" x14ac:dyDescent="0.2">
      <c r="A22" s="102" t="s">
        <v>105</v>
      </c>
      <c r="B22" s="113">
        <v>1860</v>
      </c>
      <c r="C22" s="113">
        <v>1752</v>
      </c>
      <c r="E22" s="132">
        <f t="shared" si="0"/>
        <v>0.9419354838709677</v>
      </c>
    </row>
    <row r="23" spans="1:8" s="34" customFormat="1" ht="17.25" customHeight="1" x14ac:dyDescent="0.2">
      <c r="A23" s="102" t="s">
        <v>58</v>
      </c>
      <c r="B23" s="116"/>
      <c r="C23" s="116"/>
      <c r="E23" s="135"/>
    </row>
    <row r="24" spans="1:8" s="34" customFormat="1" ht="17.25" customHeight="1" x14ac:dyDescent="0.2">
      <c r="A24" s="102" t="s">
        <v>59</v>
      </c>
      <c r="B24" s="113">
        <v>165000</v>
      </c>
      <c r="C24" s="113">
        <v>154625</v>
      </c>
      <c r="E24" s="132">
        <f t="shared" si="0"/>
        <v>0.93712121212121213</v>
      </c>
    </row>
    <row r="25" spans="1:8" s="34" customFormat="1" ht="17.25" customHeight="1" x14ac:dyDescent="0.2">
      <c r="A25" s="102" t="s">
        <v>60</v>
      </c>
      <c r="B25" s="116">
        <v>2100</v>
      </c>
      <c r="C25" s="116">
        <v>1850</v>
      </c>
      <c r="E25" s="135">
        <f t="shared" si="0"/>
        <v>0.88095238095238093</v>
      </c>
    </row>
    <row r="26" spans="1:8" s="34" customFormat="1" ht="17.25" customHeight="1" x14ac:dyDescent="0.2">
      <c r="A26" s="102" t="s">
        <v>61</v>
      </c>
      <c r="B26" s="113">
        <v>16500</v>
      </c>
      <c r="C26" s="113">
        <v>24758</v>
      </c>
      <c r="E26" s="132">
        <f t="shared" si="0"/>
        <v>1.5004848484848485</v>
      </c>
    </row>
    <row r="27" spans="1:8" s="34" customFormat="1" ht="17.25" customHeight="1" x14ac:dyDescent="0.2">
      <c r="A27" s="102" t="s">
        <v>62</v>
      </c>
      <c r="B27" s="113">
        <v>17500</v>
      </c>
      <c r="C27" s="113">
        <v>15283</v>
      </c>
      <c r="E27" s="132">
        <f t="shared" si="0"/>
        <v>0.87331428571428571</v>
      </c>
    </row>
    <row r="28" spans="1:8" s="34" customFormat="1" ht="17.25" customHeight="1" x14ac:dyDescent="0.2">
      <c r="A28" s="107" t="s">
        <v>137</v>
      </c>
      <c r="B28" s="117">
        <v>9000</v>
      </c>
      <c r="C28" s="117">
        <v>13315</v>
      </c>
      <c r="E28" s="136">
        <f t="shared" si="0"/>
        <v>1.4794444444444443</v>
      </c>
    </row>
    <row r="29" spans="1:8" s="34" customFormat="1" ht="17.25" customHeight="1" x14ac:dyDescent="0.2">
      <c r="A29" s="102" t="s">
        <v>63</v>
      </c>
      <c r="B29" s="113">
        <v>-30000</v>
      </c>
      <c r="C29" s="113">
        <v>-31441</v>
      </c>
      <c r="E29" s="132">
        <f t="shared" si="0"/>
        <v>1.0480333333333334</v>
      </c>
      <c r="H29" s="35"/>
    </row>
    <row r="30" spans="1:8" s="35" customFormat="1" ht="17.25" customHeight="1" x14ac:dyDescent="0.2">
      <c r="A30" s="102" t="s">
        <v>64</v>
      </c>
      <c r="B30" s="113"/>
      <c r="C30" s="113">
        <v>0</v>
      </c>
      <c r="E30" s="132"/>
      <c r="H30" s="34"/>
    </row>
    <row r="31" spans="1:8" s="34" customFormat="1" ht="17.25" customHeight="1" thickBot="1" x14ac:dyDescent="0.25">
      <c r="A31" s="108" t="s">
        <v>138</v>
      </c>
      <c r="B31" s="118">
        <v>91594</v>
      </c>
      <c r="C31" s="118">
        <v>91593</v>
      </c>
      <c r="E31" s="137">
        <f t="shared" si="0"/>
        <v>0.99998908225429617</v>
      </c>
    </row>
    <row r="32" spans="1:8" s="34" customFormat="1" ht="17.25" customHeight="1" x14ac:dyDescent="0.2">
      <c r="A32" s="109" t="s">
        <v>65</v>
      </c>
      <c r="B32" s="119">
        <f>SUM(B12:B31)-B28</f>
        <v>700760</v>
      </c>
      <c r="C32" s="119">
        <f>SUM(C12:C31)-C28</f>
        <v>659478</v>
      </c>
      <c r="E32" s="138"/>
    </row>
    <row r="33" spans="1:8" s="34" customFormat="1" ht="17.25" customHeight="1" x14ac:dyDescent="0.2">
      <c r="A33" s="102"/>
      <c r="B33" s="113"/>
      <c r="C33" s="113"/>
      <c r="E33" s="132"/>
    </row>
    <row r="34" spans="1:8" s="34" customFormat="1" ht="17.25" customHeight="1" x14ac:dyDescent="0.2">
      <c r="A34" s="105" t="s">
        <v>66</v>
      </c>
      <c r="B34" s="116"/>
      <c r="C34" s="116"/>
      <c r="E34" s="135"/>
    </row>
    <row r="35" spans="1:8" s="34" customFormat="1" ht="17.25" customHeight="1" x14ac:dyDescent="0.2">
      <c r="A35" s="102" t="s">
        <v>139</v>
      </c>
      <c r="B35" s="113">
        <v>238000</v>
      </c>
      <c r="C35" s="113">
        <v>238020</v>
      </c>
      <c r="E35" s="132">
        <f t="shared" si="0"/>
        <v>1.0000840336134453</v>
      </c>
    </row>
    <row r="36" spans="1:8" s="34" customFormat="1" ht="17.25" customHeight="1" x14ac:dyDescent="0.2">
      <c r="A36" s="107" t="s">
        <v>140</v>
      </c>
      <c r="B36" s="120">
        <v>59505</v>
      </c>
      <c r="C36" s="120">
        <v>119010</v>
      </c>
      <c r="E36" s="139"/>
    </row>
    <row r="37" spans="1:8" s="34" customFormat="1" ht="17.25" customHeight="1" x14ac:dyDescent="0.2">
      <c r="A37" s="102" t="s">
        <v>117</v>
      </c>
      <c r="B37" s="113">
        <v>85000</v>
      </c>
      <c r="C37" s="113">
        <v>85838</v>
      </c>
      <c r="E37" s="132">
        <f t="shared" si="0"/>
        <v>1.0098588235294117</v>
      </c>
    </row>
    <row r="38" spans="1:8" s="34" customFormat="1" ht="17.25" customHeight="1" x14ac:dyDescent="0.2">
      <c r="A38" s="102" t="s">
        <v>118</v>
      </c>
      <c r="B38" s="116">
        <v>65000</v>
      </c>
      <c r="C38" s="116">
        <v>76808</v>
      </c>
      <c r="E38" s="135">
        <f t="shared" si="0"/>
        <v>1.1816615384615385</v>
      </c>
    </row>
    <row r="39" spans="1:8" s="34" customFormat="1" ht="17.25" customHeight="1" x14ac:dyDescent="0.2">
      <c r="A39" s="102" t="s">
        <v>119</v>
      </c>
      <c r="B39" s="113">
        <v>25000</v>
      </c>
      <c r="C39" s="113">
        <v>24579</v>
      </c>
      <c r="E39" s="132">
        <f t="shared" si="0"/>
        <v>0.98316000000000003</v>
      </c>
    </row>
    <row r="40" spans="1:8" s="34" customFormat="1" ht="17.25" customHeight="1" x14ac:dyDescent="0.2">
      <c r="A40" s="102" t="s">
        <v>141</v>
      </c>
      <c r="B40" s="116">
        <v>90000</v>
      </c>
      <c r="C40" s="116">
        <v>105202</v>
      </c>
      <c r="E40" s="135">
        <f t="shared" si="0"/>
        <v>1.168911111111111</v>
      </c>
    </row>
    <row r="41" spans="1:8" s="34" customFormat="1" ht="17.25" customHeight="1" x14ac:dyDescent="0.2">
      <c r="A41" s="102" t="s">
        <v>67</v>
      </c>
      <c r="B41" s="113">
        <v>1500</v>
      </c>
      <c r="C41" s="113">
        <v>836</v>
      </c>
      <c r="E41" s="132">
        <f t="shared" si="0"/>
        <v>0.55733333333333335</v>
      </c>
    </row>
    <row r="42" spans="1:8" s="34" customFormat="1" ht="17.25" customHeight="1" x14ac:dyDescent="0.2">
      <c r="A42" s="102" t="s">
        <v>142</v>
      </c>
      <c r="B42" s="113">
        <v>63000</v>
      </c>
      <c r="C42" s="113">
        <v>63813</v>
      </c>
      <c r="E42" s="132">
        <f t="shared" si="0"/>
        <v>1.012904761904762</v>
      </c>
    </row>
    <row r="43" spans="1:8" s="34" customFormat="1" ht="17.25" customHeight="1" x14ac:dyDescent="0.2">
      <c r="A43" s="107" t="s">
        <v>106</v>
      </c>
      <c r="B43" s="120">
        <v>2800</v>
      </c>
      <c r="C43" s="120">
        <v>902</v>
      </c>
      <c r="E43" s="139">
        <f t="shared" si="0"/>
        <v>0.32214285714285712</v>
      </c>
    </row>
    <row r="44" spans="1:8" s="34" customFormat="1" ht="17.25" customHeight="1" x14ac:dyDescent="0.2">
      <c r="A44" s="102" t="s">
        <v>143</v>
      </c>
      <c r="B44" s="113">
        <v>0</v>
      </c>
      <c r="C44" s="113">
        <v>0</v>
      </c>
      <c r="E44" s="132"/>
    </row>
    <row r="45" spans="1:8" s="34" customFormat="1" ht="17.25" customHeight="1" x14ac:dyDescent="0.2">
      <c r="A45" s="110" t="s">
        <v>144</v>
      </c>
      <c r="B45" s="113">
        <v>68000</v>
      </c>
      <c r="C45" s="113">
        <v>72428</v>
      </c>
      <c r="E45" s="132">
        <f t="shared" si="0"/>
        <v>1.0651176470588235</v>
      </c>
      <c r="H45" s="35"/>
    </row>
    <row r="46" spans="1:8" s="35" customFormat="1" ht="17.25" customHeight="1" x14ac:dyDescent="0.2">
      <c r="A46" s="102" t="s">
        <v>145</v>
      </c>
      <c r="B46" s="121">
        <v>26000</v>
      </c>
      <c r="C46" s="121">
        <v>12285</v>
      </c>
      <c r="E46" s="140">
        <f t="shared" si="0"/>
        <v>0.47249999999999998</v>
      </c>
    </row>
    <row r="47" spans="1:8" s="35" customFormat="1" ht="17.25" customHeight="1" x14ac:dyDescent="0.2">
      <c r="A47" s="102" t="s">
        <v>68</v>
      </c>
      <c r="B47" s="121">
        <v>37000</v>
      </c>
      <c r="C47" s="121">
        <v>37065</v>
      </c>
      <c r="E47" s="140">
        <f t="shared" si="0"/>
        <v>1.0017567567567567</v>
      </c>
      <c r="H47" s="34"/>
    </row>
    <row r="48" spans="1:8" s="34" customFormat="1" ht="17.25" customHeight="1" thickBot="1" x14ac:dyDescent="0.25">
      <c r="A48" s="107" t="s">
        <v>146</v>
      </c>
      <c r="B48" s="122">
        <v>29000</v>
      </c>
      <c r="C48" s="122">
        <v>29567</v>
      </c>
      <c r="E48" s="141">
        <f t="shared" si="0"/>
        <v>1.019551724137931</v>
      </c>
      <c r="H48" s="35"/>
    </row>
    <row r="49" spans="1:8" s="35" customFormat="1" ht="17.25" customHeight="1" thickBot="1" x14ac:dyDescent="0.3">
      <c r="A49" s="111" t="s">
        <v>69</v>
      </c>
      <c r="B49" s="123">
        <f>SUM(B35:B48)-B43-B48-B36</f>
        <v>698500</v>
      </c>
      <c r="C49" s="123">
        <f>SUM(C35:C48)-C43-C36-C48</f>
        <v>716874</v>
      </c>
      <c r="E49" s="142">
        <f t="shared" si="0"/>
        <v>1.0263049391553329</v>
      </c>
      <c r="H49" s="31"/>
    </row>
    <row r="50" spans="1:8" ht="17.25" thickTop="1" thickBot="1" x14ac:dyDescent="0.3">
      <c r="A50" s="112" t="s">
        <v>70</v>
      </c>
      <c r="B50" s="124">
        <f>B32-B49-B36</f>
        <v>-57245</v>
      </c>
      <c r="C50" s="124">
        <f>C32-C49</f>
        <v>-57396</v>
      </c>
      <c r="E50" s="143">
        <f t="shared" si="0"/>
        <v>1.002637784959385</v>
      </c>
    </row>
    <row r="51" spans="1:8" ht="17.25" thickTop="1" thickBot="1" x14ac:dyDescent="0.3">
      <c r="A51" s="110" t="s">
        <v>71</v>
      </c>
      <c r="B51" s="116">
        <f>B11-B29</f>
        <v>349504</v>
      </c>
      <c r="C51" s="116">
        <v>340039</v>
      </c>
      <c r="E51" s="135">
        <f t="shared" si="0"/>
        <v>0.97291876487822748</v>
      </c>
    </row>
    <row r="52" spans="1:8" ht="16.5" thickBot="1" x14ac:dyDescent="0.3">
      <c r="A52" s="62" t="s">
        <v>72</v>
      </c>
      <c r="B52" s="125">
        <f>SUM(B50:B51)</f>
        <v>292259</v>
      </c>
      <c r="C52" s="125">
        <f t="shared" ref="C52" si="1">C50+C51</f>
        <v>282643</v>
      </c>
      <c r="E52" s="144">
        <f t="shared" si="0"/>
        <v>0.96709767706041561</v>
      </c>
    </row>
    <row r="53" spans="1:8" x14ac:dyDescent="0.25">
      <c r="C53" s="434"/>
      <c r="D53" s="434"/>
    </row>
    <row r="54" spans="1:8" x14ac:dyDescent="0.25">
      <c r="A54" s="319" t="s">
        <v>361</v>
      </c>
      <c r="B54" s="320"/>
      <c r="C54" s="320"/>
      <c r="D54" s="318"/>
    </row>
    <row r="55" spans="1:8" x14ac:dyDescent="0.25">
      <c r="A55" s="321" t="s">
        <v>362</v>
      </c>
      <c r="B55" s="320"/>
      <c r="C55" s="322">
        <v>43739.21</v>
      </c>
    </row>
    <row r="56" spans="1:8" x14ac:dyDescent="0.25">
      <c r="A56" s="321" t="s">
        <v>363</v>
      </c>
      <c r="B56" s="320"/>
      <c r="C56" s="322">
        <f>19835*6</f>
        <v>119010</v>
      </c>
    </row>
    <row r="57" spans="1:8" x14ac:dyDescent="0.25">
      <c r="A57" s="323"/>
      <c r="B57" s="320"/>
      <c r="C57" s="324"/>
    </row>
    <row r="58" spans="1:8" x14ac:dyDescent="0.25">
      <c r="A58" s="323"/>
      <c r="B58" s="320"/>
      <c r="C58" s="322"/>
    </row>
    <row r="59" spans="1:8" x14ac:dyDescent="0.25">
      <c r="A59" s="323" t="s">
        <v>364</v>
      </c>
      <c r="B59" s="320"/>
      <c r="C59" s="322">
        <f>-401653.436</f>
        <v>-401653.43599999999</v>
      </c>
    </row>
    <row r="60" spans="1:8" x14ac:dyDescent="0.25">
      <c r="A60" s="325" t="s">
        <v>365</v>
      </c>
      <c r="B60" s="320"/>
      <c r="C60" s="326">
        <f>340039.342</f>
        <v>340039.342</v>
      </c>
    </row>
    <row r="61" spans="1:8" x14ac:dyDescent="0.25">
      <c r="A61" s="323"/>
      <c r="B61" s="320"/>
      <c r="C61" s="322">
        <f>SUM(C59:C60)</f>
        <v>-61614.093999999983</v>
      </c>
    </row>
    <row r="62" spans="1:8" x14ac:dyDescent="0.25">
      <c r="A62" s="323"/>
      <c r="B62" s="320"/>
      <c r="C62" s="324"/>
    </row>
    <row r="63" spans="1:8" x14ac:dyDescent="0.25">
      <c r="A63" s="323" t="s">
        <v>366</v>
      </c>
      <c r="B63" s="320"/>
      <c r="C63" s="322">
        <v>119010</v>
      </c>
    </row>
    <row r="64" spans="1:8" x14ac:dyDescent="0.25">
      <c r="A64" s="325" t="s">
        <v>367</v>
      </c>
      <c r="B64" s="320"/>
      <c r="C64" s="326">
        <f>C50</f>
        <v>-57396</v>
      </c>
    </row>
    <row r="65" spans="1:3" x14ac:dyDescent="0.25">
      <c r="A65" s="323"/>
      <c r="B65" s="320"/>
      <c r="C65" s="322">
        <f>SUM(C63:C64)</f>
        <v>61614</v>
      </c>
    </row>
    <row r="66" spans="1:3" x14ac:dyDescent="0.25">
      <c r="C66" s="31"/>
    </row>
    <row r="67" spans="1:3" x14ac:dyDescent="0.25">
      <c r="C67" s="31"/>
    </row>
  </sheetData>
  <mergeCells count="4">
    <mergeCell ref="C53:D53"/>
    <mergeCell ref="A3:C3"/>
    <mergeCell ref="A4:C4"/>
    <mergeCell ref="A5:C5"/>
  </mergeCells>
  <phoneticPr fontId="0" type="noConversion"/>
  <printOptions horizontalCentered="1"/>
  <pageMargins left="0.70866141732283472" right="0.70866141732283472" top="0.51181102362204722" bottom="0.9055118110236221" header="0.31496062992125984" footer="0.31496062992125984"/>
  <pageSetup paperSize="9" scale="67" orientation="portrait" r:id="rId1"/>
  <headerFooter>
    <oddFooter>&amp;LSZOVA ZRt. Üzleti jelentés 2016.&amp;R5. sz. melléklet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topLeftCell="A4" zoomScale="60" workbookViewId="0">
      <selection activeCell="C67" sqref="C67"/>
    </sheetView>
  </sheetViews>
  <sheetFormatPr defaultRowHeight="30" customHeight="1" x14ac:dyDescent="0.25"/>
  <cols>
    <col min="1" max="1" width="7.5546875" style="28" customWidth="1"/>
    <col min="2" max="2" width="39.5546875" style="28" bestFit="1" customWidth="1"/>
    <col min="3" max="3" width="8.33203125" style="28" customWidth="1"/>
    <col min="4" max="4" width="17.77734375" style="28" customWidth="1"/>
    <col min="5" max="5" width="12.33203125" style="28" customWidth="1"/>
    <col min="6" max="6" width="2.5546875" style="29" customWidth="1"/>
    <col min="7" max="7" width="12.33203125" style="28" customWidth="1"/>
    <col min="8" max="8" width="3.6640625" style="29" customWidth="1"/>
    <col min="9" max="9" width="12.33203125" style="28" customWidth="1"/>
    <col min="10" max="13" width="8.88671875" style="29"/>
    <col min="14" max="16384" width="8.88671875" style="28"/>
  </cols>
  <sheetData>
    <row r="1" spans="1:13" ht="30" customHeight="1" thickBot="1" x14ac:dyDescent="0.3">
      <c r="H1" s="28" t="s">
        <v>93</v>
      </c>
    </row>
    <row r="2" spans="1:13" ht="30" customHeight="1" thickTop="1" x14ac:dyDescent="0.25">
      <c r="A2" s="441" t="s">
        <v>76</v>
      </c>
      <c r="B2" s="443" t="s">
        <v>37</v>
      </c>
      <c r="C2" s="443" t="s">
        <v>77</v>
      </c>
      <c r="D2" s="445" t="s">
        <v>101</v>
      </c>
      <c r="E2" s="439" t="s">
        <v>221</v>
      </c>
      <c r="F2" s="78"/>
      <c r="G2" s="439" t="s">
        <v>222</v>
      </c>
      <c r="H2" s="28"/>
      <c r="I2" s="439" t="s">
        <v>115</v>
      </c>
      <c r="J2" s="28"/>
      <c r="K2" s="28"/>
      <c r="L2" s="28"/>
      <c r="M2" s="28"/>
    </row>
    <row r="3" spans="1:13" ht="33" customHeight="1" thickBot="1" x14ac:dyDescent="0.3">
      <c r="A3" s="442"/>
      <c r="B3" s="444"/>
      <c r="C3" s="444"/>
      <c r="D3" s="446"/>
      <c r="E3" s="440"/>
      <c r="F3" s="78"/>
      <c r="G3" s="440"/>
      <c r="H3" s="28"/>
      <c r="I3" s="440"/>
      <c r="J3" s="28"/>
      <c r="K3" s="28"/>
      <c r="L3" s="28"/>
      <c r="M3" s="28"/>
    </row>
    <row r="4" spans="1:13" ht="49.5" customHeight="1" thickTop="1" thickBot="1" x14ac:dyDescent="0.3">
      <c r="A4" s="146" t="s">
        <v>152</v>
      </c>
      <c r="B4" s="147"/>
      <c r="C4" s="147"/>
      <c r="D4" s="148"/>
      <c r="E4" s="82">
        <f>SUM(E5:E18)</f>
        <v>31780</v>
      </c>
      <c r="F4"/>
      <c r="G4" s="82">
        <f>SUM(G5:G18)</f>
        <v>20791.521700000001</v>
      </c>
      <c r="H4"/>
      <c r="I4" s="82">
        <f>G4-E4</f>
        <v>-10988.478299999999</v>
      </c>
      <c r="J4" s="28"/>
      <c r="K4" s="28"/>
      <c r="L4" s="28"/>
      <c r="M4" s="28"/>
    </row>
    <row r="5" spans="1:13" ht="38.25" customHeight="1" thickTop="1" x14ac:dyDescent="0.25">
      <c r="A5" s="83">
        <v>1</v>
      </c>
      <c r="B5" s="84" t="s">
        <v>153</v>
      </c>
      <c r="C5" s="149"/>
      <c r="D5" s="157" t="s">
        <v>154</v>
      </c>
      <c r="E5" s="397">
        <v>5000</v>
      </c>
      <c r="F5" s="398"/>
      <c r="G5" s="397">
        <v>3560.0549999999998</v>
      </c>
      <c r="H5" s="28"/>
      <c r="I5" s="97">
        <f t="shared" ref="I5:I51" si="0">G5-E5</f>
        <v>-1439.9450000000002</v>
      </c>
      <c r="J5" s="28"/>
      <c r="K5" s="28"/>
      <c r="L5" s="28"/>
      <c r="M5" s="28"/>
    </row>
    <row r="6" spans="1:13" ht="36" customHeight="1" x14ac:dyDescent="0.25">
      <c r="A6" s="87">
        <v>2</v>
      </c>
      <c r="B6" s="88" t="s">
        <v>220</v>
      </c>
      <c r="C6" s="149"/>
      <c r="D6" s="157" t="s">
        <v>154</v>
      </c>
      <c r="E6" s="397">
        <v>8000</v>
      </c>
      <c r="F6" s="398"/>
      <c r="G6" s="397">
        <v>0</v>
      </c>
      <c r="H6" s="28"/>
      <c r="I6" s="98">
        <f t="shared" si="0"/>
        <v>-8000</v>
      </c>
      <c r="J6" s="28"/>
      <c r="K6" s="28"/>
      <c r="L6" s="28"/>
      <c r="M6" s="28"/>
    </row>
    <row r="7" spans="1:13" ht="34.5" customHeight="1" x14ac:dyDescent="0.25">
      <c r="A7" s="87">
        <v>3</v>
      </c>
      <c r="B7" s="88" t="s">
        <v>155</v>
      </c>
      <c r="C7" s="149"/>
      <c r="D7" s="157" t="s">
        <v>156</v>
      </c>
      <c r="E7" s="397">
        <v>250</v>
      </c>
      <c r="F7" s="398"/>
      <c r="G7" s="397">
        <v>148</v>
      </c>
      <c r="H7" s="28"/>
      <c r="I7" s="98">
        <f t="shared" si="0"/>
        <v>-102</v>
      </c>
      <c r="J7" s="28"/>
      <c r="K7" s="28"/>
      <c r="L7" s="28"/>
      <c r="M7" s="28"/>
    </row>
    <row r="8" spans="1:13" ht="36" customHeight="1" x14ac:dyDescent="0.25">
      <c r="A8" s="87">
        <v>4</v>
      </c>
      <c r="B8" s="88" t="s">
        <v>157</v>
      </c>
      <c r="C8" s="149"/>
      <c r="D8" s="157" t="s">
        <v>78</v>
      </c>
      <c r="E8" s="397">
        <v>600</v>
      </c>
      <c r="F8" s="398"/>
      <c r="G8" s="397">
        <v>0</v>
      </c>
      <c r="H8" s="28"/>
      <c r="I8" s="98">
        <f t="shared" si="0"/>
        <v>-600</v>
      </c>
      <c r="J8" s="28"/>
      <c r="K8" s="28"/>
      <c r="L8" s="28"/>
      <c r="M8" s="28"/>
    </row>
    <row r="9" spans="1:13" ht="38.25" customHeight="1" x14ac:dyDescent="0.25">
      <c r="A9" s="87">
        <v>5</v>
      </c>
      <c r="B9" s="88" t="s">
        <v>158</v>
      </c>
      <c r="C9" s="149"/>
      <c r="D9" s="157" t="s">
        <v>78</v>
      </c>
      <c r="E9" s="397">
        <v>150</v>
      </c>
      <c r="F9" s="398"/>
      <c r="G9" s="397">
        <v>0</v>
      </c>
      <c r="H9" s="28"/>
      <c r="I9" s="98">
        <f t="shared" si="0"/>
        <v>-150</v>
      </c>
      <c r="J9" s="28"/>
      <c r="K9" s="28"/>
      <c r="L9" s="28"/>
      <c r="M9" s="28"/>
    </row>
    <row r="10" spans="1:13" ht="56.25" customHeight="1" x14ac:dyDescent="0.25">
      <c r="A10" s="87">
        <v>6</v>
      </c>
      <c r="B10" s="88" t="s">
        <v>159</v>
      </c>
      <c r="C10" s="150" t="s">
        <v>136</v>
      </c>
      <c r="D10" s="158" t="s">
        <v>160</v>
      </c>
      <c r="E10" s="397">
        <v>1350</v>
      </c>
      <c r="F10" s="398"/>
      <c r="G10" s="397">
        <v>924</v>
      </c>
      <c r="H10" s="28"/>
      <c r="I10" s="98">
        <f t="shared" si="0"/>
        <v>-426</v>
      </c>
      <c r="J10" s="28"/>
      <c r="K10" s="28"/>
      <c r="L10" s="28"/>
      <c r="M10" s="28"/>
    </row>
    <row r="11" spans="1:13" ht="35.25" customHeight="1" x14ac:dyDescent="0.25">
      <c r="A11" s="87">
        <v>7</v>
      </c>
      <c r="B11" s="88" t="s">
        <v>161</v>
      </c>
      <c r="C11" s="150" t="s">
        <v>162</v>
      </c>
      <c r="D11" s="158" t="s">
        <v>160</v>
      </c>
      <c r="E11" s="397">
        <v>2880</v>
      </c>
      <c r="F11" s="398"/>
      <c r="G11" s="397">
        <v>2785.02</v>
      </c>
      <c r="H11" s="28"/>
      <c r="I11" s="98">
        <f t="shared" si="0"/>
        <v>-94.980000000000018</v>
      </c>
      <c r="J11" s="28"/>
      <c r="K11" s="28"/>
      <c r="L11" s="28"/>
      <c r="M11" s="28"/>
    </row>
    <row r="12" spans="1:13" ht="34.5" customHeight="1" x14ac:dyDescent="0.25">
      <c r="A12" s="87">
        <v>8</v>
      </c>
      <c r="B12" s="88" t="s">
        <v>163</v>
      </c>
      <c r="C12" s="150"/>
      <c r="D12" s="158" t="s">
        <v>160</v>
      </c>
      <c r="E12" s="397">
        <v>900</v>
      </c>
      <c r="F12" s="398"/>
      <c r="G12" s="397">
        <v>0</v>
      </c>
      <c r="H12" s="28"/>
      <c r="I12" s="98">
        <f t="shared" si="0"/>
        <v>-900</v>
      </c>
      <c r="J12" s="28"/>
      <c r="K12" s="28"/>
      <c r="L12" s="28"/>
      <c r="M12" s="28"/>
    </row>
    <row r="13" spans="1:13" ht="36.75" customHeight="1" x14ac:dyDescent="0.25">
      <c r="A13" s="87">
        <v>9</v>
      </c>
      <c r="B13" s="88" t="s">
        <v>164</v>
      </c>
      <c r="C13" s="150"/>
      <c r="D13" s="158" t="s">
        <v>112</v>
      </c>
      <c r="E13" s="397">
        <v>1150</v>
      </c>
      <c r="F13" s="398"/>
      <c r="G13" s="397">
        <v>958.6416999999999</v>
      </c>
      <c r="H13" s="28"/>
      <c r="I13" s="98">
        <f>G13-E13</f>
        <v>-191.3583000000001</v>
      </c>
      <c r="J13" s="28"/>
      <c r="K13" s="28"/>
      <c r="L13" s="28"/>
      <c r="M13" s="28"/>
    </row>
    <row r="14" spans="1:13" ht="33.75" customHeight="1" x14ac:dyDescent="0.25">
      <c r="A14" s="87">
        <v>10</v>
      </c>
      <c r="B14" s="88" t="s">
        <v>165</v>
      </c>
      <c r="C14" s="150"/>
      <c r="D14" s="158" t="s">
        <v>78</v>
      </c>
      <c r="E14" s="397">
        <v>800</v>
      </c>
      <c r="F14" s="398"/>
      <c r="G14" s="397">
        <v>1213.777</v>
      </c>
      <c r="H14" s="28"/>
      <c r="I14" s="98">
        <f t="shared" si="0"/>
        <v>413.77700000000004</v>
      </c>
      <c r="J14" s="28"/>
      <c r="K14" s="28"/>
      <c r="L14" s="28"/>
      <c r="M14" s="28"/>
    </row>
    <row r="15" spans="1:13" ht="37.5" customHeight="1" x14ac:dyDescent="0.25">
      <c r="A15" s="87">
        <v>11</v>
      </c>
      <c r="B15" s="88" t="s">
        <v>166</v>
      </c>
      <c r="C15" s="150"/>
      <c r="D15" s="158" t="s">
        <v>78</v>
      </c>
      <c r="E15" s="397">
        <v>300</v>
      </c>
      <c r="F15" s="398"/>
      <c r="G15" s="397">
        <v>0</v>
      </c>
      <c r="H15" s="28"/>
      <c r="I15" s="98">
        <f t="shared" si="0"/>
        <v>-300</v>
      </c>
      <c r="J15" s="28"/>
      <c r="K15" s="28"/>
      <c r="L15" s="28"/>
      <c r="M15" s="28"/>
    </row>
    <row r="16" spans="1:13" ht="34.5" customHeight="1" x14ac:dyDescent="0.25">
      <c r="A16" s="87">
        <v>12</v>
      </c>
      <c r="B16" s="88" t="s">
        <v>167</v>
      </c>
      <c r="C16" s="150"/>
      <c r="D16" s="158" t="s">
        <v>156</v>
      </c>
      <c r="E16" s="397">
        <v>400</v>
      </c>
      <c r="F16" s="398"/>
      <c r="G16" s="397">
        <v>38</v>
      </c>
      <c r="H16" s="28"/>
      <c r="I16" s="98">
        <f t="shared" si="0"/>
        <v>-362</v>
      </c>
      <c r="J16" s="28"/>
      <c r="K16" s="28"/>
      <c r="L16" s="28"/>
      <c r="M16" s="28"/>
    </row>
    <row r="17" spans="1:13" ht="32.25" customHeight="1" x14ac:dyDescent="0.25">
      <c r="A17" s="87" t="s">
        <v>168</v>
      </c>
      <c r="B17" s="88" t="s">
        <v>169</v>
      </c>
      <c r="C17" s="150"/>
      <c r="D17" s="151"/>
      <c r="E17" s="397">
        <v>8000</v>
      </c>
      <c r="F17" s="398"/>
      <c r="G17" s="397">
        <v>8027.85</v>
      </c>
      <c r="H17" s="28"/>
      <c r="I17" s="98">
        <f t="shared" si="0"/>
        <v>27.850000000000364</v>
      </c>
      <c r="J17" s="28"/>
      <c r="K17" s="28"/>
      <c r="L17" s="28"/>
      <c r="M17" s="28"/>
    </row>
    <row r="18" spans="1:13" ht="28.5" customHeight="1" thickBot="1" x14ac:dyDescent="0.3">
      <c r="A18" s="87" t="s">
        <v>170</v>
      </c>
      <c r="B18" s="88" t="s">
        <v>171</v>
      </c>
      <c r="C18" s="150"/>
      <c r="D18" s="151"/>
      <c r="E18" s="397">
        <v>2000</v>
      </c>
      <c r="F18" s="398"/>
      <c r="G18" s="397">
        <v>3136.1779999999999</v>
      </c>
      <c r="H18" s="28"/>
      <c r="I18" s="98">
        <f t="shared" si="0"/>
        <v>1136.1779999999999</v>
      </c>
      <c r="J18" s="28"/>
      <c r="K18" s="28"/>
      <c r="L18" s="28"/>
      <c r="M18" s="28"/>
    </row>
    <row r="19" spans="1:13" ht="28.5" customHeight="1" thickTop="1" thickBot="1" x14ac:dyDescent="0.3">
      <c r="A19" s="79" t="s">
        <v>109</v>
      </c>
      <c r="B19" s="80"/>
      <c r="C19" s="80"/>
      <c r="D19" s="81"/>
      <c r="E19" s="82">
        <f>SUM(E20:E34)</f>
        <v>65970</v>
      </c>
      <c r="F19"/>
      <c r="G19" s="82">
        <f>SUM(G20:G34)</f>
        <v>57385.279199999997</v>
      </c>
      <c r="H19"/>
      <c r="I19" s="82">
        <f>G19-E19</f>
        <v>-8584.7208000000028</v>
      </c>
      <c r="J19" s="28"/>
      <c r="K19" s="28"/>
      <c r="L19" s="28"/>
      <c r="M19" s="28"/>
    </row>
    <row r="20" spans="1:13" ht="38.25" customHeight="1" thickTop="1" x14ac:dyDescent="0.25">
      <c r="A20" s="83">
        <v>14</v>
      </c>
      <c r="B20" s="84" t="s">
        <v>172</v>
      </c>
      <c r="C20" s="85" t="s">
        <v>173</v>
      </c>
      <c r="D20" s="86"/>
      <c r="E20" s="97">
        <v>23940</v>
      </c>
      <c r="F20"/>
      <c r="G20" s="97">
        <v>23989.769</v>
      </c>
      <c r="H20"/>
      <c r="I20" s="98">
        <f t="shared" si="0"/>
        <v>49.769000000000233</v>
      </c>
      <c r="J20" s="28"/>
      <c r="K20" s="28"/>
      <c r="L20" s="28"/>
      <c r="M20" s="28"/>
    </row>
    <row r="21" spans="1:13" ht="34.5" customHeight="1" x14ac:dyDescent="0.25">
      <c r="A21" s="87">
        <v>15</v>
      </c>
      <c r="B21" s="152" t="s">
        <v>174</v>
      </c>
      <c r="C21" s="89"/>
      <c r="D21" s="159" t="s">
        <v>110</v>
      </c>
      <c r="E21" s="98">
        <v>3000</v>
      </c>
      <c r="F21"/>
      <c r="G21" s="98">
        <v>3827.12</v>
      </c>
      <c r="H21"/>
      <c r="I21" s="98">
        <f t="shared" si="0"/>
        <v>827.11999999999989</v>
      </c>
      <c r="J21" s="28"/>
      <c r="K21" s="28"/>
      <c r="L21" s="28"/>
      <c r="M21" s="28"/>
    </row>
    <row r="22" spans="1:13" ht="37.5" customHeight="1" x14ac:dyDescent="0.25">
      <c r="A22" s="87">
        <v>16</v>
      </c>
      <c r="B22" s="152" t="s">
        <v>175</v>
      </c>
      <c r="C22" s="89"/>
      <c r="D22" s="159" t="s">
        <v>176</v>
      </c>
      <c r="E22" s="98">
        <v>500</v>
      </c>
      <c r="F22"/>
      <c r="G22" s="98">
        <v>284.62</v>
      </c>
      <c r="H22"/>
      <c r="I22" s="99">
        <f t="shared" si="0"/>
        <v>-215.38</v>
      </c>
      <c r="J22" s="28"/>
      <c r="K22" s="28"/>
      <c r="L22" s="28"/>
      <c r="M22" s="28"/>
    </row>
    <row r="23" spans="1:13" ht="28.5" customHeight="1" x14ac:dyDescent="0.25">
      <c r="A23" s="87">
        <v>17</v>
      </c>
      <c r="B23" s="152" t="s">
        <v>177</v>
      </c>
      <c r="C23" s="89"/>
      <c r="D23" s="159" t="s">
        <v>176</v>
      </c>
      <c r="E23" s="98">
        <v>250</v>
      </c>
      <c r="F23"/>
      <c r="G23" s="98">
        <v>179.9</v>
      </c>
      <c r="H23"/>
      <c r="I23" s="98">
        <f>G23-E23</f>
        <v>-70.099999999999994</v>
      </c>
      <c r="J23" s="28"/>
      <c r="K23" s="28"/>
      <c r="L23" s="28"/>
      <c r="M23" s="28"/>
    </row>
    <row r="24" spans="1:13" ht="39.75" customHeight="1" x14ac:dyDescent="0.25">
      <c r="A24" s="87">
        <v>18</v>
      </c>
      <c r="B24" s="152" t="s">
        <v>178</v>
      </c>
      <c r="C24" s="89"/>
      <c r="D24" s="159" t="s">
        <v>134</v>
      </c>
      <c r="E24" s="98">
        <v>4000</v>
      </c>
      <c r="F24"/>
      <c r="G24" s="98">
        <v>3617.692</v>
      </c>
      <c r="H24"/>
      <c r="I24" s="98">
        <f t="shared" si="0"/>
        <v>-382.30799999999999</v>
      </c>
      <c r="J24" s="28"/>
      <c r="K24" s="28"/>
      <c r="L24" s="28"/>
      <c r="M24" s="28"/>
    </row>
    <row r="25" spans="1:13" ht="33.75" customHeight="1" x14ac:dyDescent="0.25">
      <c r="A25" s="87">
        <v>19</v>
      </c>
      <c r="B25" s="152" t="s">
        <v>179</v>
      </c>
      <c r="C25" s="89"/>
      <c r="D25" s="159" t="s">
        <v>134</v>
      </c>
      <c r="E25" s="98">
        <v>3000</v>
      </c>
      <c r="F25"/>
      <c r="G25" s="98">
        <v>0</v>
      </c>
      <c r="H25"/>
      <c r="I25" s="98">
        <f t="shared" si="0"/>
        <v>-3000</v>
      </c>
      <c r="J25" s="28"/>
      <c r="K25" s="28"/>
      <c r="L25" s="28"/>
      <c r="M25" s="28"/>
    </row>
    <row r="26" spans="1:13" ht="36" customHeight="1" x14ac:dyDescent="0.25">
      <c r="A26" s="87">
        <v>20</v>
      </c>
      <c r="B26" s="152" t="s">
        <v>180</v>
      </c>
      <c r="C26" s="89"/>
      <c r="D26" s="159" t="s">
        <v>134</v>
      </c>
      <c r="E26" s="98">
        <v>1000</v>
      </c>
      <c r="F26"/>
      <c r="G26" s="98">
        <v>1157.989</v>
      </c>
      <c r="H26"/>
      <c r="I26" s="98">
        <f t="shared" si="0"/>
        <v>157.98900000000003</v>
      </c>
      <c r="J26" s="28"/>
      <c r="K26" s="28"/>
      <c r="L26" s="28"/>
      <c r="M26" s="28"/>
    </row>
    <row r="27" spans="1:13" ht="33.75" customHeight="1" x14ac:dyDescent="0.25">
      <c r="A27" s="87">
        <v>21</v>
      </c>
      <c r="B27" s="152" t="s">
        <v>181</v>
      </c>
      <c r="C27" s="89"/>
      <c r="D27" s="159" t="s">
        <v>110</v>
      </c>
      <c r="E27" s="98">
        <v>14000</v>
      </c>
      <c r="F27"/>
      <c r="G27" s="98">
        <v>12704.5772</v>
      </c>
      <c r="H27"/>
      <c r="I27" s="98">
        <f t="shared" si="0"/>
        <v>-1295.4228000000003</v>
      </c>
      <c r="J27" s="28"/>
      <c r="K27" s="28"/>
      <c r="L27" s="28"/>
      <c r="M27" s="28"/>
    </row>
    <row r="28" spans="1:13" ht="36" customHeight="1" x14ac:dyDescent="0.25">
      <c r="A28" s="87">
        <v>22</v>
      </c>
      <c r="B28" s="152" t="s">
        <v>182</v>
      </c>
      <c r="C28" s="89"/>
      <c r="D28" s="159" t="s">
        <v>110</v>
      </c>
      <c r="E28" s="98">
        <v>1000</v>
      </c>
      <c r="F28"/>
      <c r="G28" s="98">
        <v>840</v>
      </c>
      <c r="H28"/>
      <c r="I28" s="98">
        <f t="shared" si="0"/>
        <v>-160</v>
      </c>
      <c r="J28" s="28"/>
      <c r="K28" s="28"/>
      <c r="L28" s="28"/>
      <c r="M28" s="28"/>
    </row>
    <row r="29" spans="1:13" ht="36" customHeight="1" x14ac:dyDescent="0.25">
      <c r="A29" s="87">
        <v>23</v>
      </c>
      <c r="B29" s="152" t="s">
        <v>183</v>
      </c>
      <c r="C29" s="89"/>
      <c r="D29" s="159" t="s">
        <v>112</v>
      </c>
      <c r="E29" s="98">
        <v>130</v>
      </c>
      <c r="F29"/>
      <c r="G29" s="98">
        <v>98.424999999999997</v>
      </c>
      <c r="H29"/>
      <c r="I29" s="100">
        <f t="shared" si="0"/>
        <v>-31.575000000000003</v>
      </c>
      <c r="J29" s="28"/>
      <c r="K29" s="28"/>
      <c r="L29" s="28"/>
      <c r="M29" s="28"/>
    </row>
    <row r="30" spans="1:13" ht="28.5" customHeight="1" x14ac:dyDescent="0.25">
      <c r="A30" s="87">
        <v>24</v>
      </c>
      <c r="B30" s="152" t="s">
        <v>184</v>
      </c>
      <c r="C30" s="89"/>
      <c r="D30" s="159" t="s">
        <v>78</v>
      </c>
      <c r="E30" s="98">
        <v>150</v>
      </c>
      <c r="F30"/>
      <c r="G30" s="98">
        <v>73.83</v>
      </c>
      <c r="H30"/>
      <c r="I30" s="100">
        <f t="shared" si="0"/>
        <v>-76.17</v>
      </c>
      <c r="J30" s="28"/>
      <c r="K30" s="28"/>
      <c r="L30" s="28"/>
      <c r="M30" s="28"/>
    </row>
    <row r="31" spans="1:13" ht="43.5" customHeight="1" x14ac:dyDescent="0.25">
      <c r="A31" s="87">
        <v>25</v>
      </c>
      <c r="B31" s="152" t="s">
        <v>185</v>
      </c>
      <c r="C31" s="89"/>
      <c r="D31" s="159" t="s">
        <v>176</v>
      </c>
      <c r="E31" s="98">
        <v>500</v>
      </c>
      <c r="F31"/>
      <c r="G31" s="98">
        <v>526.18700000000001</v>
      </c>
      <c r="H31"/>
      <c r="I31" s="100">
        <f t="shared" si="0"/>
        <v>26.187000000000012</v>
      </c>
      <c r="J31" s="28"/>
      <c r="K31" s="28"/>
      <c r="L31" s="28"/>
      <c r="M31" s="28"/>
    </row>
    <row r="32" spans="1:13" ht="37.5" customHeight="1" x14ac:dyDescent="0.25">
      <c r="A32" s="87">
        <v>26</v>
      </c>
      <c r="B32" s="152" t="s">
        <v>186</v>
      </c>
      <c r="C32" s="89"/>
      <c r="D32" s="159" t="s">
        <v>187</v>
      </c>
      <c r="E32" s="98">
        <v>500</v>
      </c>
      <c r="F32"/>
      <c r="G32" s="98">
        <v>0</v>
      </c>
      <c r="H32"/>
      <c r="I32" s="100">
        <f t="shared" si="0"/>
        <v>-500</v>
      </c>
      <c r="J32" s="28"/>
      <c r="K32" s="28"/>
      <c r="L32" s="28"/>
      <c r="M32" s="28"/>
    </row>
    <row r="33" spans="1:13" ht="28.5" customHeight="1" x14ac:dyDescent="0.25">
      <c r="A33" s="87">
        <v>27</v>
      </c>
      <c r="B33" s="152" t="s">
        <v>188</v>
      </c>
      <c r="C33" s="89" t="s">
        <v>189</v>
      </c>
      <c r="D33" s="159" t="s">
        <v>135</v>
      </c>
      <c r="E33" s="98">
        <v>4000</v>
      </c>
      <c r="F33"/>
      <c r="G33" s="98">
        <v>0</v>
      </c>
      <c r="H33"/>
      <c r="I33" s="98">
        <f t="shared" si="0"/>
        <v>-4000</v>
      </c>
      <c r="J33" s="28"/>
      <c r="K33" s="28"/>
      <c r="L33" s="28"/>
      <c r="M33" s="28"/>
    </row>
    <row r="34" spans="1:13" ht="31.5" customHeight="1" thickBot="1" x14ac:dyDescent="0.3">
      <c r="A34" s="87">
        <v>28</v>
      </c>
      <c r="B34" s="152" t="s">
        <v>190</v>
      </c>
      <c r="C34" s="89"/>
      <c r="D34" s="159" t="s">
        <v>79</v>
      </c>
      <c r="E34" s="98">
        <v>10000</v>
      </c>
      <c r="F34"/>
      <c r="G34" s="98">
        <v>10085.17</v>
      </c>
      <c r="H34"/>
      <c r="I34" s="98">
        <f t="shared" si="0"/>
        <v>85.170000000000073</v>
      </c>
      <c r="J34" s="28"/>
      <c r="K34" s="28"/>
      <c r="L34" s="28"/>
      <c r="M34" s="28"/>
    </row>
    <row r="35" spans="1:13" ht="39.75" customHeight="1" thickTop="1" thickBot="1" x14ac:dyDescent="0.3">
      <c r="A35" s="79" t="s">
        <v>111</v>
      </c>
      <c r="B35" s="80"/>
      <c r="C35" s="80"/>
      <c r="D35" s="81"/>
      <c r="E35" s="82">
        <f>SUM(E36:E44)</f>
        <v>7390</v>
      </c>
      <c r="F35"/>
      <c r="G35" s="82">
        <f>SUM(G36:G44)</f>
        <v>8789.0030000000006</v>
      </c>
      <c r="H35"/>
      <c r="I35" s="82">
        <f t="shared" si="0"/>
        <v>1399.0030000000006</v>
      </c>
      <c r="J35" s="28"/>
      <c r="K35" s="28"/>
      <c r="L35" s="28"/>
      <c r="M35" s="28"/>
    </row>
    <row r="36" spans="1:13" ht="41.25" customHeight="1" thickTop="1" x14ac:dyDescent="0.25">
      <c r="A36" s="83">
        <v>29</v>
      </c>
      <c r="B36" s="84" t="s">
        <v>113</v>
      </c>
      <c r="C36" s="85"/>
      <c r="D36" s="91"/>
      <c r="E36" s="97">
        <v>2000</v>
      </c>
      <c r="F36"/>
      <c r="G36" s="97">
        <v>1530.3050000000001</v>
      </c>
      <c r="H36"/>
      <c r="I36" s="97">
        <f t="shared" si="0"/>
        <v>-469.69499999999994</v>
      </c>
      <c r="J36" s="28"/>
      <c r="K36" s="28"/>
      <c r="L36" s="28"/>
      <c r="M36" s="28"/>
    </row>
    <row r="37" spans="1:13" ht="38.25" customHeight="1" x14ac:dyDescent="0.25">
      <c r="A37" s="87">
        <v>30</v>
      </c>
      <c r="B37" s="61" t="s">
        <v>191</v>
      </c>
      <c r="C37" s="60"/>
      <c r="D37" s="67" t="s">
        <v>135</v>
      </c>
      <c r="E37" s="100">
        <v>100</v>
      </c>
      <c r="F37"/>
      <c r="G37" s="100">
        <v>97.156999999999996</v>
      </c>
      <c r="H37"/>
      <c r="I37" s="98">
        <f t="shared" si="0"/>
        <v>-2.8430000000000035</v>
      </c>
      <c r="J37" s="28"/>
      <c r="K37" s="28"/>
      <c r="L37" s="28"/>
      <c r="M37" s="28"/>
    </row>
    <row r="38" spans="1:13" ht="33.75" customHeight="1" x14ac:dyDescent="0.25">
      <c r="A38" s="87">
        <v>31</v>
      </c>
      <c r="B38" s="88" t="s">
        <v>192</v>
      </c>
      <c r="C38" s="89" t="s">
        <v>136</v>
      </c>
      <c r="D38" s="90" t="s">
        <v>193</v>
      </c>
      <c r="E38" s="98">
        <v>40</v>
      </c>
      <c r="F38"/>
      <c r="G38" s="98">
        <v>16.763000000000002</v>
      </c>
      <c r="H38"/>
      <c r="I38" s="98">
        <f t="shared" si="0"/>
        <v>-23.236999999999998</v>
      </c>
      <c r="J38" s="28"/>
      <c r="K38" s="28"/>
      <c r="L38" s="28"/>
      <c r="M38" s="28"/>
    </row>
    <row r="39" spans="1:13" ht="33" customHeight="1" x14ac:dyDescent="0.25">
      <c r="A39" s="87">
        <v>32</v>
      </c>
      <c r="B39" s="88" t="s">
        <v>194</v>
      </c>
      <c r="C39" s="89" t="s">
        <v>195</v>
      </c>
      <c r="D39" s="90" t="s">
        <v>133</v>
      </c>
      <c r="E39" s="98">
        <v>400</v>
      </c>
      <c r="F39"/>
      <c r="G39" s="98">
        <v>406</v>
      </c>
      <c r="H39"/>
      <c r="I39" s="98">
        <f t="shared" si="0"/>
        <v>6</v>
      </c>
      <c r="J39" s="28"/>
      <c r="K39" s="28"/>
      <c r="L39" s="28"/>
      <c r="M39" s="28"/>
    </row>
    <row r="40" spans="1:13" ht="33.75" customHeight="1" x14ac:dyDescent="0.25">
      <c r="A40" s="87">
        <v>33</v>
      </c>
      <c r="B40" s="88" t="s">
        <v>196</v>
      </c>
      <c r="C40" s="89"/>
      <c r="D40" s="159" t="s">
        <v>110</v>
      </c>
      <c r="E40" s="98">
        <v>250</v>
      </c>
      <c r="F40"/>
      <c r="G40" s="98">
        <v>211.4</v>
      </c>
      <c r="H40"/>
      <c r="I40" s="101">
        <f t="shared" si="0"/>
        <v>-38.599999999999994</v>
      </c>
      <c r="J40" s="28"/>
      <c r="K40" s="28"/>
      <c r="L40" s="28"/>
      <c r="M40" s="28"/>
    </row>
    <row r="41" spans="1:13" ht="34.5" customHeight="1" x14ac:dyDescent="0.25">
      <c r="A41" s="87">
        <v>34</v>
      </c>
      <c r="B41" s="88" t="s">
        <v>197</v>
      </c>
      <c r="C41" s="89"/>
      <c r="D41" s="90" t="s">
        <v>198</v>
      </c>
      <c r="E41" s="98">
        <v>2000</v>
      </c>
      <c r="F41"/>
      <c r="G41" s="98">
        <v>5826.3249999999998</v>
      </c>
      <c r="H41"/>
      <c r="I41" s="101">
        <f t="shared" si="0"/>
        <v>3826.3249999999998</v>
      </c>
      <c r="J41" s="28"/>
      <c r="K41" s="28"/>
      <c r="L41" s="28"/>
      <c r="M41" s="28"/>
    </row>
    <row r="42" spans="1:13" ht="28.5" customHeight="1" x14ac:dyDescent="0.25">
      <c r="A42" s="87">
        <v>35</v>
      </c>
      <c r="B42" s="88" t="s">
        <v>199</v>
      </c>
      <c r="C42" s="89"/>
      <c r="D42" s="90" t="s">
        <v>200</v>
      </c>
      <c r="E42" s="98">
        <v>100</v>
      </c>
      <c r="F42"/>
      <c r="G42" s="98">
        <v>88.953000000000003</v>
      </c>
      <c r="H42"/>
      <c r="I42" s="101">
        <f t="shared" si="0"/>
        <v>-11.046999999999997</v>
      </c>
      <c r="J42" s="28"/>
      <c r="K42" s="28"/>
      <c r="L42" s="28"/>
      <c r="M42" s="28"/>
    </row>
    <row r="43" spans="1:13" ht="28.5" customHeight="1" x14ac:dyDescent="0.25">
      <c r="A43" s="87">
        <v>36</v>
      </c>
      <c r="B43" s="88" t="s">
        <v>201</v>
      </c>
      <c r="C43" s="89"/>
      <c r="D43" s="90" t="s">
        <v>78</v>
      </c>
      <c r="E43" s="98">
        <v>500</v>
      </c>
      <c r="F43"/>
      <c r="G43" s="98">
        <v>262.10000000000002</v>
      </c>
      <c r="H43"/>
      <c r="I43" s="101">
        <f t="shared" si="0"/>
        <v>-237.89999999999998</v>
      </c>
      <c r="J43" s="28"/>
      <c r="K43" s="28"/>
      <c r="L43" s="28"/>
      <c r="M43" s="28"/>
    </row>
    <row r="44" spans="1:13" ht="30" customHeight="1" thickBot="1" x14ac:dyDescent="0.3">
      <c r="A44" s="87">
        <v>37</v>
      </c>
      <c r="B44" s="88" t="s">
        <v>202</v>
      </c>
      <c r="C44" s="89"/>
      <c r="D44" s="90" t="s">
        <v>135</v>
      </c>
      <c r="E44" s="98">
        <v>2000</v>
      </c>
      <c r="F44"/>
      <c r="G44" s="98">
        <v>350</v>
      </c>
      <c r="H44"/>
      <c r="I44" s="101">
        <f t="shared" si="0"/>
        <v>-1650</v>
      </c>
      <c r="J44" s="28"/>
      <c r="K44" s="28"/>
      <c r="L44" s="28"/>
      <c r="M44" s="28"/>
    </row>
    <row r="45" spans="1:13" ht="30" customHeight="1" thickTop="1" thickBot="1" x14ac:dyDescent="0.3">
      <c r="A45" s="79" t="s">
        <v>114</v>
      </c>
      <c r="B45" s="80"/>
      <c r="C45" s="80"/>
      <c r="D45" s="81"/>
      <c r="E45" s="82">
        <f>SUM(E46:E51)</f>
        <v>11550</v>
      </c>
      <c r="F45"/>
      <c r="G45" s="82">
        <f>SUM(G46:G51)</f>
        <v>8054.8410000000003</v>
      </c>
      <c r="H45"/>
      <c r="I45" s="82">
        <f t="shared" si="0"/>
        <v>-3495.1589999999997</v>
      </c>
      <c r="J45" s="28"/>
      <c r="K45" s="28"/>
      <c r="L45" s="28"/>
      <c r="M45" s="28"/>
    </row>
    <row r="46" spans="1:13" ht="36" customHeight="1" thickTop="1" x14ac:dyDescent="0.25">
      <c r="A46" s="87">
        <v>39</v>
      </c>
      <c r="B46" s="88" t="s">
        <v>203</v>
      </c>
      <c r="C46" s="89"/>
      <c r="D46" s="90" t="s">
        <v>198</v>
      </c>
      <c r="E46" s="98">
        <v>500</v>
      </c>
      <c r="F46" s="28"/>
      <c r="G46" s="98">
        <v>0</v>
      </c>
      <c r="H46" s="28"/>
      <c r="I46" s="98">
        <f t="shared" si="0"/>
        <v>-500</v>
      </c>
      <c r="J46" s="28"/>
      <c r="K46" s="28"/>
      <c r="L46" s="28"/>
      <c r="M46" s="28"/>
    </row>
    <row r="47" spans="1:13" ht="30" customHeight="1" x14ac:dyDescent="0.25">
      <c r="A47" s="87">
        <v>40</v>
      </c>
      <c r="B47" s="88" t="s">
        <v>204</v>
      </c>
      <c r="C47" s="89"/>
      <c r="D47" s="90"/>
      <c r="E47" s="98">
        <v>650</v>
      </c>
      <c r="F47" s="28"/>
      <c r="G47" s="98">
        <v>0</v>
      </c>
      <c r="H47" s="28"/>
      <c r="I47" s="98">
        <f t="shared" si="0"/>
        <v>-650</v>
      </c>
      <c r="J47" s="28"/>
      <c r="K47" s="28"/>
      <c r="L47" s="28"/>
      <c r="M47" s="28"/>
    </row>
    <row r="48" spans="1:13" ht="30" customHeight="1" x14ac:dyDescent="0.25">
      <c r="A48" s="87">
        <v>41</v>
      </c>
      <c r="B48" s="88" t="s">
        <v>205</v>
      </c>
      <c r="C48" s="89"/>
      <c r="D48" s="90"/>
      <c r="E48" s="98">
        <v>3500</v>
      </c>
      <c r="F48" s="28"/>
      <c r="G48" s="98">
        <v>1151.2</v>
      </c>
      <c r="H48" s="28"/>
      <c r="I48" s="98">
        <f t="shared" si="0"/>
        <v>-2348.8000000000002</v>
      </c>
      <c r="J48" s="28"/>
      <c r="K48" s="28"/>
      <c r="L48" s="28"/>
      <c r="M48" s="28"/>
    </row>
    <row r="49" spans="1:13" ht="30" customHeight="1" x14ac:dyDescent="0.25">
      <c r="A49" s="87">
        <v>42</v>
      </c>
      <c r="B49" s="88" t="s">
        <v>206</v>
      </c>
      <c r="C49" s="89"/>
      <c r="D49" s="90"/>
      <c r="E49" s="98">
        <v>2200</v>
      </c>
      <c r="F49" s="28"/>
      <c r="G49" s="98">
        <v>3126.9</v>
      </c>
      <c r="H49" s="28"/>
      <c r="I49" s="98">
        <f t="shared" si="0"/>
        <v>926.90000000000009</v>
      </c>
      <c r="J49" s="28"/>
      <c r="K49" s="28"/>
      <c r="L49" s="28"/>
      <c r="M49" s="28"/>
    </row>
    <row r="50" spans="1:13" ht="30" customHeight="1" x14ac:dyDescent="0.25">
      <c r="A50" s="87">
        <v>43</v>
      </c>
      <c r="B50" s="88" t="s">
        <v>207</v>
      </c>
      <c r="C50" s="89"/>
      <c r="D50" s="90"/>
      <c r="E50" s="98">
        <v>1200</v>
      </c>
      <c r="F50" s="28"/>
      <c r="G50" s="98">
        <v>289.08999999999997</v>
      </c>
      <c r="H50" s="28"/>
      <c r="I50" s="98">
        <f t="shared" si="0"/>
        <v>-910.91000000000008</v>
      </c>
      <c r="J50" s="28"/>
      <c r="K50" s="28"/>
      <c r="L50" s="28"/>
      <c r="M50" s="28"/>
    </row>
    <row r="51" spans="1:13" ht="30" customHeight="1" thickBot="1" x14ac:dyDescent="0.3">
      <c r="A51" s="87">
        <v>44</v>
      </c>
      <c r="B51" s="88" t="s">
        <v>208</v>
      </c>
      <c r="C51" s="89"/>
      <c r="D51" s="90"/>
      <c r="E51" s="98">
        <v>3500</v>
      </c>
      <c r="F51" s="28"/>
      <c r="G51" s="98">
        <v>3487.6509999999998</v>
      </c>
      <c r="H51" s="28"/>
      <c r="I51" s="98">
        <f t="shared" si="0"/>
        <v>-12.34900000000016</v>
      </c>
      <c r="J51" s="28"/>
      <c r="K51" s="28"/>
      <c r="L51" s="28"/>
      <c r="M51" s="28"/>
    </row>
    <row r="52" spans="1:13" ht="30" customHeight="1" thickTop="1" thickBot="1" x14ac:dyDescent="0.3">
      <c r="A52" s="436" t="s">
        <v>209</v>
      </c>
      <c r="B52" s="437"/>
      <c r="C52" s="437"/>
      <c r="D52" s="437"/>
      <c r="E52" s="153">
        <f>E4+E19+E35+E45</f>
        <v>116690</v>
      </c>
      <c r="F52" s="28"/>
      <c r="G52" s="153">
        <f>G4+G19+G35+G45</f>
        <v>95020.644899999999</v>
      </c>
      <c r="H52" s="28"/>
      <c r="I52" s="82">
        <f>G52-E52</f>
        <v>-21669.355100000001</v>
      </c>
      <c r="J52" s="28"/>
      <c r="K52" s="28"/>
      <c r="L52" s="28"/>
      <c r="M52" s="28"/>
    </row>
    <row r="53" spans="1:13" ht="30" customHeight="1" thickTop="1" thickBot="1" x14ac:dyDescent="0.3">
      <c r="A53" s="29"/>
      <c r="B53" s="29"/>
      <c r="C53" s="29"/>
      <c r="D53" s="29"/>
      <c r="F53" s="28"/>
      <c r="H53" s="28"/>
      <c r="J53" s="28"/>
      <c r="K53" s="28"/>
      <c r="L53" s="28"/>
      <c r="M53" s="28"/>
    </row>
    <row r="54" spans="1:13" ht="30" customHeight="1" thickTop="1" thickBot="1" x14ac:dyDescent="0.3">
      <c r="A54" s="436" t="s">
        <v>210</v>
      </c>
      <c r="B54" s="437"/>
      <c r="C54" s="437"/>
      <c r="D54" s="438"/>
      <c r="E54" s="154"/>
      <c r="F54" s="28"/>
      <c r="H54" s="28"/>
      <c r="J54" s="28"/>
      <c r="K54" s="28"/>
      <c r="L54" s="28"/>
      <c r="M54" s="28"/>
    </row>
    <row r="55" spans="1:13" ht="30" customHeight="1" thickTop="1" x14ac:dyDescent="0.25">
      <c r="A55" s="83">
        <v>51</v>
      </c>
      <c r="B55" s="84" t="s">
        <v>132</v>
      </c>
      <c r="C55" s="85"/>
      <c r="D55" s="92"/>
      <c r="E55" s="97">
        <v>241000</v>
      </c>
      <c r="F55" s="28"/>
      <c r="G55" s="97">
        <v>13208.411</v>
      </c>
      <c r="H55" s="28"/>
      <c r="I55" s="97">
        <f>G55-E55</f>
        <v>-227791.58900000001</v>
      </c>
      <c r="J55" s="28"/>
      <c r="K55" s="28"/>
      <c r="L55" s="28"/>
      <c r="M55" s="28"/>
    </row>
    <row r="56" spans="1:13" ht="30" customHeight="1" x14ac:dyDescent="0.25">
      <c r="A56" s="87">
        <v>52</v>
      </c>
      <c r="B56" s="88" t="s">
        <v>211</v>
      </c>
      <c r="C56" s="89"/>
      <c r="D56" s="90"/>
      <c r="E56" s="98">
        <v>148000</v>
      </c>
      <c r="F56" s="28"/>
      <c r="G56" s="98">
        <v>23074.966</v>
      </c>
      <c r="H56" s="28"/>
      <c r="I56" s="98">
        <f t="shared" ref="I56:I63" si="1">G56-E56</f>
        <v>-124925.034</v>
      </c>
      <c r="J56" s="28"/>
      <c r="K56" s="28"/>
      <c r="L56" s="28"/>
      <c r="M56" s="28"/>
    </row>
    <row r="57" spans="1:13" ht="30" customHeight="1" x14ac:dyDescent="0.25">
      <c r="A57" s="87">
        <v>53</v>
      </c>
      <c r="B57" s="88" t="s">
        <v>212</v>
      </c>
      <c r="C57" s="89"/>
      <c r="D57" s="90"/>
      <c r="E57" s="98">
        <v>69600</v>
      </c>
      <c r="F57" s="28"/>
      <c r="G57" s="98">
        <v>13103</v>
      </c>
      <c r="I57" s="98">
        <f t="shared" si="1"/>
        <v>-56497</v>
      </c>
    </row>
    <row r="58" spans="1:13" ht="30" customHeight="1" x14ac:dyDescent="0.25">
      <c r="A58" s="87">
        <v>54</v>
      </c>
      <c r="B58" s="88" t="s">
        <v>213</v>
      </c>
      <c r="C58" s="89"/>
      <c r="D58" s="90"/>
      <c r="E58" s="98">
        <v>60000</v>
      </c>
      <c r="G58" s="98">
        <v>5228.8999999999996</v>
      </c>
      <c r="I58" s="98">
        <f t="shared" si="1"/>
        <v>-54771.1</v>
      </c>
    </row>
    <row r="59" spans="1:13" ht="30" customHeight="1" x14ac:dyDescent="0.25">
      <c r="A59" s="87">
        <v>55</v>
      </c>
      <c r="B59" s="88" t="s">
        <v>214</v>
      </c>
      <c r="C59" s="89"/>
      <c r="D59" s="90"/>
      <c r="E59" s="98">
        <v>47800</v>
      </c>
      <c r="G59" s="98">
        <v>7803</v>
      </c>
      <c r="I59" s="98">
        <f t="shared" si="1"/>
        <v>-39997</v>
      </c>
    </row>
    <row r="60" spans="1:13" ht="30" customHeight="1" x14ac:dyDescent="0.25">
      <c r="A60" s="87">
        <v>56</v>
      </c>
      <c r="B60" s="88" t="s">
        <v>215</v>
      </c>
      <c r="C60" s="89"/>
      <c r="D60" s="90"/>
      <c r="E60" s="98">
        <v>37750</v>
      </c>
      <c r="G60" s="98">
        <v>689.66200000000003</v>
      </c>
      <c r="I60" s="98">
        <f t="shared" si="1"/>
        <v>-37060.338000000003</v>
      </c>
    </row>
    <row r="61" spans="1:13" ht="30" customHeight="1" x14ac:dyDescent="0.25">
      <c r="A61" s="87">
        <v>57</v>
      </c>
      <c r="B61" s="88" t="s">
        <v>216</v>
      </c>
      <c r="C61" s="89"/>
      <c r="D61" s="90"/>
      <c r="E61" s="98">
        <v>60000</v>
      </c>
      <c r="G61" s="98">
        <v>0</v>
      </c>
      <c r="I61" s="98">
        <f t="shared" si="1"/>
        <v>-60000</v>
      </c>
    </row>
    <row r="62" spans="1:13" ht="30" customHeight="1" thickBot="1" x14ac:dyDescent="0.3">
      <c r="A62" s="87">
        <v>58</v>
      </c>
      <c r="B62" s="88" t="s">
        <v>217</v>
      </c>
      <c r="C62" s="89"/>
      <c r="D62" s="90"/>
      <c r="E62" s="98">
        <v>25000</v>
      </c>
      <c r="G62" s="98">
        <v>4491.4440000000004</v>
      </c>
      <c r="I62" s="98">
        <f t="shared" si="1"/>
        <v>-20508.556</v>
      </c>
    </row>
    <row r="63" spans="1:13" ht="30" customHeight="1" thickTop="1" thickBot="1" x14ac:dyDescent="0.3">
      <c r="A63" s="436" t="s">
        <v>218</v>
      </c>
      <c r="B63" s="437"/>
      <c r="C63" s="437"/>
      <c r="D63" s="438"/>
      <c r="E63" s="82">
        <f>SUM(E55:E62)</f>
        <v>689150</v>
      </c>
      <c r="G63" s="82">
        <f>SUM(G55:G62)</f>
        <v>67599.383000000002</v>
      </c>
      <c r="I63" s="82">
        <f t="shared" si="1"/>
        <v>-621550.61699999997</v>
      </c>
    </row>
    <row r="64" spans="1:13" ht="30" customHeight="1" thickTop="1" thickBot="1" x14ac:dyDescent="0.3">
      <c r="A64" s="155"/>
      <c r="B64" s="155"/>
      <c r="C64" s="155"/>
      <c r="D64" s="155"/>
      <c r="E64" s="156"/>
    </row>
    <row r="65" spans="1:9" ht="30" customHeight="1" thickTop="1" thickBot="1" x14ac:dyDescent="0.3">
      <c r="A65" s="436" t="s">
        <v>219</v>
      </c>
      <c r="B65" s="437"/>
      <c r="C65" s="437"/>
      <c r="D65" s="438"/>
      <c r="E65" s="82">
        <f>E63+E52</f>
        <v>805840</v>
      </c>
      <c r="G65" s="82">
        <f>G63+G52</f>
        <v>162620.02789999999</v>
      </c>
      <c r="I65" s="82">
        <f>G65-E65</f>
        <v>-643219.97210000001</v>
      </c>
    </row>
    <row r="66" spans="1:9" ht="30" customHeight="1" thickTop="1" x14ac:dyDescent="0.25"/>
  </sheetData>
  <mergeCells count="11">
    <mergeCell ref="I2:I3"/>
    <mergeCell ref="A2:A3"/>
    <mergeCell ref="B2:B3"/>
    <mergeCell ref="C2:C3"/>
    <mergeCell ref="D2:D3"/>
    <mergeCell ref="E2:E3"/>
    <mergeCell ref="A52:D52"/>
    <mergeCell ref="A54:D54"/>
    <mergeCell ref="A63:D63"/>
    <mergeCell ref="A65:D65"/>
    <mergeCell ref="G2:G3"/>
  </mergeCells>
  <phoneticPr fontId="0" type="noConversion"/>
  <printOptions horizontalCentered="1"/>
  <pageMargins left="0.70866141732283472" right="0.70866141732283472" top="0.74803149606299213" bottom="0.6692913385826772" header="0.35433070866141736" footer="0"/>
  <pageSetup paperSize="9" scale="50" fitToHeight="2" orientation="portrait" r:id="rId1"/>
  <headerFooter>
    <oddHeader>&amp;LSZOVA Zrt.&amp;C&amp;"Arial,Félkövér"&amp;14Kimutatás
 a 2016. évi beruházási terv teljesítéséről</oddHeader>
    <oddFooter>&amp;LSZOVA ZRt. Üzleti jelentés 2016.&amp;R6. sz. melléklet&amp;P</oddFooter>
  </headerFooter>
  <rowBreaks count="1" manualBreakCount="1">
    <brk id="3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7" zoomScaleSheetLayoutView="80" workbookViewId="0">
      <selection activeCell="G18" sqref="G18"/>
    </sheetView>
  </sheetViews>
  <sheetFormatPr defaultRowHeight="15" x14ac:dyDescent="0.2"/>
  <cols>
    <col min="1" max="1" width="60.6640625" bestFit="1" customWidth="1"/>
    <col min="2" max="3" width="12.77734375" customWidth="1"/>
    <col min="6" max="6" width="10" bestFit="1" customWidth="1"/>
    <col min="7" max="7" width="17" customWidth="1"/>
    <col min="8" max="8" width="9.44140625" bestFit="1" customWidth="1"/>
  </cols>
  <sheetData>
    <row r="1" spans="1:8" x14ac:dyDescent="0.2">
      <c r="B1" s="45"/>
      <c r="C1" s="45" t="s">
        <v>107</v>
      </c>
    </row>
    <row r="2" spans="1:8" ht="15.75" thickBot="1" x14ac:dyDescent="0.25"/>
    <row r="3" spans="1:8" ht="15.75" thickTop="1" x14ac:dyDescent="0.2">
      <c r="A3" s="40"/>
      <c r="B3" s="50">
        <v>2015</v>
      </c>
      <c r="C3" s="50">
        <v>2016</v>
      </c>
    </row>
    <row r="4" spans="1:8" ht="15.75" thickBot="1" x14ac:dyDescent="0.25">
      <c r="A4" s="41"/>
      <c r="B4" s="75" t="s">
        <v>116</v>
      </c>
      <c r="C4" s="75" t="s">
        <v>116</v>
      </c>
    </row>
    <row r="5" spans="1:8" ht="15.75" thickTop="1" x14ac:dyDescent="0.2">
      <c r="A5" s="43" t="s">
        <v>83</v>
      </c>
      <c r="B5" s="51">
        <v>39692</v>
      </c>
      <c r="C5" s="51">
        <v>3186</v>
      </c>
    </row>
    <row r="6" spans="1:8" x14ac:dyDescent="0.2">
      <c r="A6" s="44" t="s">
        <v>88</v>
      </c>
      <c r="B6" s="52">
        <v>1348</v>
      </c>
      <c r="C6" s="52">
        <v>1733</v>
      </c>
      <c r="E6" s="26"/>
      <c r="G6" s="26"/>
      <c r="H6" s="26"/>
    </row>
    <row r="7" spans="1:8" x14ac:dyDescent="0.2">
      <c r="A7" s="44" t="s">
        <v>98</v>
      </c>
      <c r="B7" s="52"/>
      <c r="C7" s="52"/>
      <c r="E7" s="26"/>
    </row>
    <row r="8" spans="1:8" x14ac:dyDescent="0.2">
      <c r="A8" s="44" t="s">
        <v>95</v>
      </c>
      <c r="B8" s="52"/>
      <c r="C8" s="52"/>
      <c r="F8" s="26"/>
    </row>
    <row r="9" spans="1:8" x14ac:dyDescent="0.2">
      <c r="A9" s="44" t="s">
        <v>89</v>
      </c>
      <c r="B9" s="52">
        <f>1.543+133.617</f>
        <v>135.16</v>
      </c>
      <c r="C9" s="52">
        <v>79</v>
      </c>
    </row>
    <row r="10" spans="1:8" ht="15.75" thickBot="1" x14ac:dyDescent="0.25">
      <c r="A10" s="44" t="s">
        <v>90</v>
      </c>
      <c r="B10" s="53">
        <f>5.71</f>
        <v>5.71</v>
      </c>
      <c r="C10" s="53">
        <v>1</v>
      </c>
      <c r="E10" s="26"/>
    </row>
    <row r="11" spans="1:8" ht="17.25" thickTop="1" thickBot="1" x14ac:dyDescent="0.3">
      <c r="A11" s="42" t="s">
        <v>96</v>
      </c>
      <c r="B11" s="54">
        <f>SUM(B5:B10)</f>
        <v>41180.870000000003</v>
      </c>
      <c r="C11" s="54">
        <f>SUM(C5:C10)</f>
        <v>4999</v>
      </c>
    </row>
    <row r="12" spans="1:8" ht="16.5" thickTop="1" thickBot="1" x14ac:dyDescent="0.25"/>
    <row r="13" spans="1:8" ht="15.75" thickTop="1" x14ac:dyDescent="0.2">
      <c r="A13" s="43" t="s">
        <v>84</v>
      </c>
      <c r="B13" s="51">
        <v>50066</v>
      </c>
      <c r="C13" s="51">
        <v>66655</v>
      </c>
      <c r="F13" s="26"/>
      <c r="G13" s="333"/>
    </row>
    <row r="14" spans="1:8" x14ac:dyDescent="0.2">
      <c r="A14" s="44" t="s">
        <v>86</v>
      </c>
      <c r="B14" s="52">
        <v>1074825</v>
      </c>
      <c r="C14" s="52"/>
      <c r="D14" s="26"/>
      <c r="E14" s="26"/>
    </row>
    <row r="15" spans="1:8" x14ac:dyDescent="0.2">
      <c r="A15" s="44" t="s">
        <v>432</v>
      </c>
      <c r="B15" s="52">
        <f>29.4+578.342</f>
        <v>607.74199999999996</v>
      </c>
      <c r="C15" s="52">
        <v>1725</v>
      </c>
    </row>
    <row r="16" spans="1:8" x14ac:dyDescent="0.2">
      <c r="A16" s="44" t="s">
        <v>98</v>
      </c>
      <c r="B16" s="52">
        <v>-827775</v>
      </c>
      <c r="C16" s="52">
        <v>567</v>
      </c>
    </row>
    <row r="17" spans="1:5" ht="15.75" thickBot="1" x14ac:dyDescent="0.25">
      <c r="A17" s="44" t="s">
        <v>95</v>
      </c>
      <c r="B17" s="52">
        <v>520486</v>
      </c>
      <c r="C17" s="52"/>
    </row>
    <row r="18" spans="1:5" ht="17.25" thickTop="1" thickBot="1" x14ac:dyDescent="0.3">
      <c r="A18" s="42" t="s">
        <v>97</v>
      </c>
      <c r="B18" s="54">
        <f>SUM(B13:B17)</f>
        <v>818209.74200000009</v>
      </c>
      <c r="C18" s="54">
        <f>SUM(C13:C17)</f>
        <v>68947</v>
      </c>
    </row>
    <row r="19" spans="1:5" ht="16.5" thickTop="1" thickBot="1" x14ac:dyDescent="0.25"/>
    <row r="20" spans="1:5" ht="17.25" thickTop="1" thickBot="1" x14ac:dyDescent="0.3">
      <c r="A20" s="42" t="s">
        <v>92</v>
      </c>
      <c r="B20" s="55">
        <f>B11-B18</f>
        <v>-777028.87200000009</v>
      </c>
      <c r="C20" s="55">
        <f>C11-C18</f>
        <v>-63948</v>
      </c>
    </row>
    <row r="21" spans="1:5" ht="16.5" thickTop="1" thickBot="1" x14ac:dyDescent="0.25">
      <c r="E21" s="26"/>
    </row>
    <row r="22" spans="1:5" ht="15.75" thickTop="1" x14ac:dyDescent="0.2">
      <c r="A22" s="46" t="s">
        <v>100</v>
      </c>
      <c r="B22" s="56"/>
      <c r="C22" s="56"/>
    </row>
    <row r="23" spans="1:5" x14ac:dyDescent="0.2">
      <c r="A23" s="47" t="s">
        <v>85</v>
      </c>
      <c r="B23" s="57">
        <f>B5-B13</f>
        <v>-10374</v>
      </c>
      <c r="C23" s="57">
        <f>C5-C13</f>
        <v>-63469</v>
      </c>
    </row>
    <row r="24" spans="1:5" x14ac:dyDescent="0.2">
      <c r="A24" s="47" t="s">
        <v>87</v>
      </c>
      <c r="B24" s="57">
        <f>-(B14+B16+B17)</f>
        <v>-767536</v>
      </c>
      <c r="C24" s="57">
        <f>-(C14+C16+C17)</f>
        <v>-567</v>
      </c>
    </row>
    <row r="25" spans="1:5" x14ac:dyDescent="0.2">
      <c r="A25" s="48" t="s">
        <v>99</v>
      </c>
      <c r="B25" s="58">
        <f>SUM(B23:B24)</f>
        <v>-777910</v>
      </c>
      <c r="C25" s="58">
        <f>SUM(C23:C24)</f>
        <v>-64036</v>
      </c>
    </row>
    <row r="26" spans="1:5" ht="15.75" thickBot="1" x14ac:dyDescent="0.25">
      <c r="A26" s="47" t="s">
        <v>91</v>
      </c>
      <c r="B26" s="57">
        <f>B6+B9+B10-B15</f>
        <v>881.12800000000016</v>
      </c>
      <c r="C26" s="57">
        <f>C6+C9+C10-C15</f>
        <v>88</v>
      </c>
    </row>
    <row r="27" spans="1:5" ht="16.5" thickTop="1" thickBot="1" x14ac:dyDescent="0.25">
      <c r="A27" s="49" t="s">
        <v>92</v>
      </c>
      <c r="B27" s="59">
        <f>SUM(B25:B26)</f>
        <v>-777028.87199999997</v>
      </c>
      <c r="C27" s="59">
        <f>SUM(C25:C26)</f>
        <v>-63948</v>
      </c>
      <c r="E27" s="26"/>
    </row>
    <row r="28" spans="1:5" ht="15.75" thickTop="1" x14ac:dyDescent="0.2"/>
  </sheetData>
  <printOptions horizontalCentered="1"/>
  <pageMargins left="0.70866141732283472" right="0.70866141732283472" top="1.1023622047244095" bottom="0.74803149606299213" header="0.31496062992125984" footer="0.31496062992125984"/>
  <pageSetup paperSize="9" scale="84" orientation="portrait" verticalDpi="0" r:id="rId1"/>
  <headerFooter>
    <oddHeader>&amp;LSZOVA ZRt.&amp;C&amp;"Arial,Félkövér"&amp;14
Kimutatás a pénzügyi eredmény alakulásáról
2016.</oddHeader>
    <oddFooter>&amp;LSZOVA ZRt. Üzleti jelentés 2016.&amp;R7. sz. melléklet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M21" sqref="M21"/>
    </sheetView>
  </sheetViews>
  <sheetFormatPr defaultRowHeight="15" x14ac:dyDescent="0.2"/>
  <cols>
    <col min="1" max="1" width="42" bestFit="1" customWidth="1"/>
    <col min="2" max="2" width="1.88671875" style="381" customWidth="1"/>
    <col min="3" max="4" width="13.6640625" customWidth="1"/>
    <col min="5" max="5" width="1.88671875" style="381" customWidth="1"/>
    <col min="6" max="6" width="10.21875" customWidth="1"/>
  </cols>
  <sheetData>
    <row r="1" spans="1:6" ht="15.75" thickTop="1" x14ac:dyDescent="0.2">
      <c r="A1" s="389"/>
      <c r="C1" s="384">
        <v>2016</v>
      </c>
      <c r="D1" s="327">
        <v>2016</v>
      </c>
      <c r="F1" s="50" t="s">
        <v>370</v>
      </c>
    </row>
    <row r="2" spans="1:6" x14ac:dyDescent="0.2">
      <c r="A2" s="390"/>
      <c r="C2" s="385" t="s">
        <v>368</v>
      </c>
      <c r="D2" s="329" t="s">
        <v>369</v>
      </c>
      <c r="F2" s="394"/>
    </row>
    <row r="3" spans="1:6" ht="15.75" thickBot="1" x14ac:dyDescent="0.25">
      <c r="A3" s="391"/>
      <c r="C3" s="386" t="s">
        <v>94</v>
      </c>
      <c r="D3" s="330" t="s">
        <v>94</v>
      </c>
      <c r="F3" s="395" t="s">
        <v>94</v>
      </c>
    </row>
    <row r="4" spans="1:6" ht="15.75" thickTop="1" x14ac:dyDescent="0.2">
      <c r="A4" s="390" t="s">
        <v>350</v>
      </c>
      <c r="C4" s="387">
        <v>1003069.92284</v>
      </c>
      <c r="D4" s="331">
        <v>1054567.2579999999</v>
      </c>
      <c r="F4" s="53">
        <f>D4-C4</f>
        <v>51497.3351599999</v>
      </c>
    </row>
    <row r="5" spans="1:6" x14ac:dyDescent="0.2">
      <c r="A5" s="390" t="s">
        <v>121</v>
      </c>
      <c r="C5" s="387">
        <v>271941.277</v>
      </c>
      <c r="D5" s="331">
        <v>245248.46700000003</v>
      </c>
      <c r="F5" s="53">
        <f t="shared" ref="F5:F30" si="0">D5-C5</f>
        <v>-26692.809999999969</v>
      </c>
    </row>
    <row r="6" spans="1:6" x14ac:dyDescent="0.2">
      <c r="A6" s="390" t="s">
        <v>351</v>
      </c>
      <c r="C6" s="387">
        <v>100181.159</v>
      </c>
      <c r="D6" s="331">
        <v>99542.99</v>
      </c>
      <c r="F6" s="53">
        <f t="shared" si="0"/>
        <v>-638.16899999999441</v>
      </c>
    </row>
    <row r="7" spans="1:6" x14ac:dyDescent="0.2">
      <c r="A7" s="390" t="s">
        <v>352</v>
      </c>
      <c r="C7" s="387">
        <v>187417.32</v>
      </c>
      <c r="D7" s="331">
        <v>188263.58199999999</v>
      </c>
      <c r="F7" s="53">
        <f t="shared" si="0"/>
        <v>846.26199999998789</v>
      </c>
    </row>
    <row r="8" spans="1:6" x14ac:dyDescent="0.2">
      <c r="A8" s="390" t="s">
        <v>0</v>
      </c>
      <c r="C8" s="387">
        <v>8503.1749999999993</v>
      </c>
      <c r="D8" s="331">
        <v>8132.5649999999996</v>
      </c>
      <c r="F8" s="53">
        <f t="shared" si="0"/>
        <v>-370.60999999999967</v>
      </c>
    </row>
    <row r="9" spans="1:6" x14ac:dyDescent="0.2">
      <c r="A9" s="390" t="s">
        <v>74</v>
      </c>
      <c r="C9" s="387">
        <v>22032.082999999999</v>
      </c>
      <c r="D9" s="331">
        <v>28311.328999999998</v>
      </c>
      <c r="F9" s="53">
        <f t="shared" si="0"/>
        <v>6279.2459999999992</v>
      </c>
    </row>
    <row r="10" spans="1:6" x14ac:dyDescent="0.2">
      <c r="A10" s="390" t="s">
        <v>122</v>
      </c>
      <c r="C10" s="387">
        <v>2345.4090000000001</v>
      </c>
      <c r="D10" s="331">
        <v>1900.5119999999999</v>
      </c>
      <c r="F10" s="53">
        <f t="shared" si="0"/>
        <v>-444.89700000000016</v>
      </c>
    </row>
    <row r="11" spans="1:6" x14ac:dyDescent="0.2">
      <c r="A11" s="390" t="s">
        <v>75</v>
      </c>
      <c r="C11" s="387">
        <v>955597.48100000003</v>
      </c>
      <c r="D11" s="331">
        <v>963884.26599999995</v>
      </c>
      <c r="F11" s="53">
        <f t="shared" si="0"/>
        <v>8286.7849999999162</v>
      </c>
    </row>
    <row r="12" spans="1:6" x14ac:dyDescent="0.2">
      <c r="A12" s="390" t="s">
        <v>353</v>
      </c>
      <c r="C12" s="387">
        <v>284148</v>
      </c>
      <c r="D12" s="331">
        <v>294958.28699999995</v>
      </c>
      <c r="F12" s="53">
        <f t="shared" si="0"/>
        <v>10810.286999999953</v>
      </c>
    </row>
    <row r="13" spans="1:6" x14ac:dyDescent="0.2">
      <c r="A13" s="390" t="s">
        <v>129</v>
      </c>
      <c r="C13" s="387">
        <v>13497.493</v>
      </c>
      <c r="D13" s="331">
        <v>11972.388000000001</v>
      </c>
      <c r="F13" s="53">
        <f t="shared" si="0"/>
        <v>-1525.1049999999996</v>
      </c>
    </row>
    <row r="14" spans="1:6" x14ac:dyDescent="0.2">
      <c r="A14" s="390" t="s">
        <v>130</v>
      </c>
      <c r="C14" s="387">
        <v>4564.0540000000001</v>
      </c>
      <c r="D14" s="331">
        <v>939.89599999999996</v>
      </c>
      <c r="F14" s="53">
        <f t="shared" si="0"/>
        <v>-3624.1580000000004</v>
      </c>
    </row>
    <row r="15" spans="1:6" x14ac:dyDescent="0.2">
      <c r="A15" s="390" t="s">
        <v>123</v>
      </c>
      <c r="C15" s="387">
        <v>10622.147999999999</v>
      </c>
      <c r="D15" s="331">
        <v>10622.147999999999</v>
      </c>
      <c r="F15" s="53">
        <f t="shared" si="0"/>
        <v>0</v>
      </c>
    </row>
    <row r="16" spans="1:6" x14ac:dyDescent="0.2">
      <c r="A16" s="390" t="s">
        <v>131</v>
      </c>
      <c r="C16" s="387">
        <v>24146.881000000001</v>
      </c>
      <c r="D16" s="331">
        <v>24013.304</v>
      </c>
      <c r="F16" s="53">
        <f t="shared" si="0"/>
        <v>-133.57700000000114</v>
      </c>
    </row>
    <row r="17" spans="1:6" x14ac:dyDescent="0.2">
      <c r="A17" s="390" t="s">
        <v>354</v>
      </c>
      <c r="C17" s="387">
        <v>31112.106</v>
      </c>
      <c r="D17" s="331">
        <v>29232.694000000003</v>
      </c>
      <c r="F17" s="53">
        <f t="shared" si="0"/>
        <v>-1879.4119999999966</v>
      </c>
    </row>
    <row r="18" spans="1:6" x14ac:dyDescent="0.2">
      <c r="A18" s="390" t="s">
        <v>1</v>
      </c>
      <c r="C18" s="387">
        <v>2500</v>
      </c>
      <c r="D18" s="331">
        <v>2052.2440000000001</v>
      </c>
      <c r="F18" s="53">
        <f t="shared" si="0"/>
        <v>-447.75599999999986</v>
      </c>
    </row>
    <row r="19" spans="1:6" x14ac:dyDescent="0.2">
      <c r="A19" s="390" t="s">
        <v>355</v>
      </c>
      <c r="C19" s="387">
        <v>152207.84830499996</v>
      </c>
      <c r="D19" s="331">
        <v>149544.47464360099</v>
      </c>
      <c r="F19" s="53">
        <f t="shared" si="0"/>
        <v>-2663.3736613989749</v>
      </c>
    </row>
    <row r="20" spans="1:6" x14ac:dyDescent="0.2">
      <c r="A20" s="390" t="s">
        <v>124</v>
      </c>
      <c r="C20" s="387">
        <v>42512.006249999999</v>
      </c>
      <c r="D20" s="331">
        <v>40658.156000000003</v>
      </c>
      <c r="F20" s="53">
        <f t="shared" si="0"/>
        <v>-1853.8502499999959</v>
      </c>
    </row>
    <row r="21" spans="1:6" x14ac:dyDescent="0.2">
      <c r="A21" s="390" t="s">
        <v>126</v>
      </c>
      <c r="C21" s="387">
        <v>25000</v>
      </c>
      <c r="D21" s="331">
        <v>28707.201000000001</v>
      </c>
      <c r="F21" s="53">
        <f t="shared" si="0"/>
        <v>3707.2010000000009</v>
      </c>
    </row>
    <row r="22" spans="1:6" x14ac:dyDescent="0.2">
      <c r="A22" s="390" t="s">
        <v>125</v>
      </c>
      <c r="C22" s="387">
        <v>16800</v>
      </c>
      <c r="D22" s="331">
        <v>19050.862000000001</v>
      </c>
      <c r="F22" s="53">
        <f t="shared" si="0"/>
        <v>2250.862000000001</v>
      </c>
    </row>
    <row r="23" spans="1:6" x14ac:dyDescent="0.2">
      <c r="A23" s="390" t="s">
        <v>127</v>
      </c>
      <c r="C23" s="387">
        <v>1500</v>
      </c>
      <c r="D23" s="331">
        <v>1100.4519999999998</v>
      </c>
      <c r="F23" s="53">
        <f t="shared" si="0"/>
        <v>-399.54800000000023</v>
      </c>
    </row>
    <row r="24" spans="1:6" x14ac:dyDescent="0.2">
      <c r="A24" s="390" t="s">
        <v>356</v>
      </c>
      <c r="C24" s="387"/>
      <c r="D24" s="331">
        <v>329.98700000000002</v>
      </c>
      <c r="F24" s="53">
        <f t="shared" si="0"/>
        <v>329.98700000000002</v>
      </c>
    </row>
    <row r="25" spans="1:6" x14ac:dyDescent="0.2">
      <c r="A25" s="390" t="s">
        <v>357</v>
      </c>
      <c r="C25" s="387">
        <v>11710.689</v>
      </c>
      <c r="D25" s="331">
        <f>11199.5384-502</f>
        <v>10697.538399999999</v>
      </c>
      <c r="F25" s="53">
        <f t="shared" si="0"/>
        <v>-1013.1506000000008</v>
      </c>
    </row>
    <row r="26" spans="1:6" x14ac:dyDescent="0.2">
      <c r="A26" s="392" t="s">
        <v>358</v>
      </c>
      <c r="B26" s="382"/>
      <c r="C26" s="387"/>
      <c r="D26" s="331">
        <v>903.45399999999995</v>
      </c>
      <c r="E26" s="382"/>
      <c r="F26" s="53">
        <f t="shared" si="0"/>
        <v>903.45399999999995</v>
      </c>
    </row>
    <row r="27" spans="1:6" x14ac:dyDescent="0.2">
      <c r="A27" s="390" t="s">
        <v>359</v>
      </c>
      <c r="C27" s="328"/>
      <c r="D27" s="331">
        <v>5343.5419999999995</v>
      </c>
      <c r="F27" s="53">
        <f t="shared" si="0"/>
        <v>5343.5419999999995</v>
      </c>
    </row>
    <row r="28" spans="1:6" x14ac:dyDescent="0.2">
      <c r="A28" s="390" t="s">
        <v>360</v>
      </c>
      <c r="C28" s="387"/>
      <c r="D28" s="331">
        <v>0.1750000000001819</v>
      </c>
      <c r="F28" s="53">
        <f t="shared" si="0"/>
        <v>0.1750000000001819</v>
      </c>
    </row>
    <row r="29" spans="1:6" ht="15.75" thickBot="1" x14ac:dyDescent="0.25">
      <c r="A29" s="390" t="s">
        <v>128</v>
      </c>
      <c r="C29" s="387">
        <v>1920</v>
      </c>
      <c r="D29" s="331">
        <v>11799.97</v>
      </c>
      <c r="F29" s="53">
        <f t="shared" si="0"/>
        <v>9879.9699999999993</v>
      </c>
    </row>
    <row r="30" spans="1:6" ht="17.25" thickTop="1" thickBot="1" x14ac:dyDescent="0.3">
      <c r="A30" s="393" t="s">
        <v>371</v>
      </c>
      <c r="B30" s="383"/>
      <c r="C30" s="388">
        <f>SUM(C4:C29)</f>
        <v>3173329.0523950001</v>
      </c>
      <c r="D30" s="332">
        <f>SUM(D4:D29)</f>
        <v>3231777.7420436009</v>
      </c>
      <c r="E30" s="383"/>
      <c r="F30" s="396">
        <f t="shared" si="0"/>
        <v>58448.689648600761</v>
      </c>
    </row>
    <row r="31" spans="1:6" ht="15.75" thickTop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</vt:i4>
      </vt:variant>
    </vt:vector>
  </HeadingPairs>
  <TitlesOfParts>
    <vt:vector size="14" baseType="lpstr">
      <vt:lpstr>ÁGLAP 2016. tény</vt:lpstr>
      <vt:lpstr>Összköltséges</vt:lpstr>
      <vt:lpstr>mutatószámok</vt:lpstr>
      <vt:lpstr>alapadatok</vt:lpstr>
      <vt:lpstr>ÖK ingatlanok elszámolása</vt:lpstr>
      <vt:lpstr>beruházások</vt:lpstr>
      <vt:lpstr>pénzügyi eredmény</vt:lpstr>
      <vt:lpstr>mellékszámítás-bevételek</vt:lpstr>
      <vt:lpstr>'ÁGLAP 2016. tény'!Nyomtatási_cím</vt:lpstr>
      <vt:lpstr>beruházások!Nyomtatási_cím</vt:lpstr>
      <vt:lpstr>alapadatok!Nyomtatási_terület</vt:lpstr>
      <vt:lpstr>beruházások!Nyomtatási_terület</vt:lpstr>
      <vt:lpstr>mutatószámok!Nyomtatási_terület</vt:lpstr>
      <vt:lpstr>'ÖK ingatlanok elszámolása'!Nyomtatási_terület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Keszte László</cp:lastModifiedBy>
  <cp:lastPrinted>2017-04-07T11:39:25Z</cp:lastPrinted>
  <dcterms:created xsi:type="dcterms:W3CDTF">2009-03-27T07:14:47Z</dcterms:created>
  <dcterms:modified xsi:type="dcterms:W3CDTF">2017-04-08T11:55:02Z</dcterms:modified>
</cp:coreProperties>
</file>