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Jogiosztaly\sumeghy.veronika\dokumentumok\2017\Rendeletek\"/>
    </mc:Choice>
  </mc:AlternateContent>
  <bookViews>
    <workbookView xWindow="885" yWindow="6855" windowWidth="9690" windowHeight="5325" tabRatio="692" firstSheet="11" activeTab="19"/>
  </bookViews>
  <sheets>
    <sheet name="1 kiemelt ei. " sheetId="65" r:id="rId1"/>
    <sheet name="2 mérleg" sheetId="2" r:id="rId2"/>
    <sheet name="3 működési bevételek" sheetId="52" r:id="rId3"/>
    <sheet name="4 intézményi bevétel" sheetId="68" r:id="rId4"/>
    <sheet name="5 normatíva" sheetId="71" r:id="rId5"/>
    <sheet name="6 intézményi kiadás" sheetId="69" r:id="rId6"/>
    <sheet name="7 létszám" sheetId="70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4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aaaaaaaaaaaaaaaaaaaaaa">#REF!</definedName>
    <definedName name="áfaössz16">#REF!</definedName>
    <definedName name="bk">#REF!</definedName>
    <definedName name="css" localSheetId="0">#REF!</definedName>
    <definedName name="css" localSheetId="18">#REF!</definedName>
    <definedName name="css" localSheetId="19">#REF!</definedName>
    <definedName name="css" localSheetId="6">#REF!</definedName>
    <definedName name="css">#REF!</definedName>
    <definedName name="css_k" localSheetId="0">[1]Családsegítés!$C$27:$C$86</definedName>
    <definedName name="css_k" localSheetId="6">[2]Családsegítés!$C$27:$C$86</definedName>
    <definedName name="css_k">[1]Családsegítés!$C$27:$C$86</definedName>
    <definedName name="css_k_" localSheetId="0">#REF!</definedName>
    <definedName name="css_k_" localSheetId="18">#REF!</definedName>
    <definedName name="css_k_" localSheetId="19">#REF!</definedName>
    <definedName name="css_k_" localSheetId="6">#REF!</definedName>
    <definedName name="css_k_">#REF!</definedName>
    <definedName name="d">#REF!</definedName>
    <definedName name="feljéc">#REF!</definedName>
    <definedName name="fff">#REF!</definedName>
    <definedName name="ffff" localSheetId="0">#REF!</definedName>
    <definedName name="ffff">#REF!</definedName>
    <definedName name="gyj" localSheetId="0">#REF!</definedName>
    <definedName name="gyj" localSheetId="18">#REF!</definedName>
    <definedName name="gyj" localSheetId="19">#REF!</definedName>
    <definedName name="gyj" localSheetId="6">#REF!</definedName>
    <definedName name="gyj">#REF!</definedName>
    <definedName name="gyj_k" localSheetId="0">[1]Gyermekjóléti!$C$27:$C$86</definedName>
    <definedName name="gyj_k" localSheetId="6">[2]Gyermekjóléti!$C$27:$C$86</definedName>
    <definedName name="gyj_k">[1]Gyermekjóléti!$C$27:$C$86</definedName>
    <definedName name="gyj_k_" localSheetId="0">#REF!</definedName>
    <definedName name="gyj_k_" localSheetId="18">#REF!</definedName>
    <definedName name="gyj_k_" localSheetId="19">#REF!</definedName>
    <definedName name="gyj_k_" localSheetId="6">#REF!</definedName>
    <definedName name="gyj_k_">#REF!</definedName>
    <definedName name="h">#REF!</definedName>
    <definedName name="kjz" localSheetId="0">#REF!</definedName>
    <definedName name="kjz" localSheetId="18">#REF!</definedName>
    <definedName name="kjz" localSheetId="19">#REF!</definedName>
    <definedName name="kjz" localSheetId="6">#REF!</definedName>
    <definedName name="kjz">#REF!</definedName>
    <definedName name="kjz_k" localSheetId="0">[1]körjegyzőség!$C$9:$C$28</definedName>
    <definedName name="kjz_k" localSheetId="6">[2]körjegyzőség!$C$9:$C$28</definedName>
    <definedName name="kjz_k">[1]körjegyzőség!$C$9:$C$28</definedName>
    <definedName name="kjz_k_" localSheetId="0">#REF!</definedName>
    <definedName name="kjz_k_" localSheetId="18">#REF!</definedName>
    <definedName name="kjz_k_" localSheetId="19">#REF!</definedName>
    <definedName name="kjz_k_" localSheetId="6">#REF!</definedName>
    <definedName name="kjz_k_">#REF!</definedName>
    <definedName name="nev_c" localSheetId="0">#REF!</definedName>
    <definedName name="nev_c" localSheetId="18">#REF!</definedName>
    <definedName name="nev_c" localSheetId="19">#REF!</definedName>
    <definedName name="nev_c" localSheetId="6">#REF!</definedName>
    <definedName name="nev_c">#REF!</definedName>
    <definedName name="nev_g" localSheetId="0">#REF!</definedName>
    <definedName name="nev_g" localSheetId="18">#REF!</definedName>
    <definedName name="nev_g" localSheetId="19">#REF!</definedName>
    <definedName name="nev_g" localSheetId="6">#REF!</definedName>
    <definedName name="nev_g">#REF!</definedName>
    <definedName name="nev_k" localSheetId="0">#REF!</definedName>
    <definedName name="nev_k" localSheetId="18">#REF!</definedName>
    <definedName name="nev_k" localSheetId="19">#REF!</definedName>
    <definedName name="nev_k" localSheetId="6">#REF!</definedName>
    <definedName name="nev_k">#REF!</definedName>
    <definedName name="nev_k1">#REF!</definedName>
    <definedName name="normatíva">[3]Családsegítés!$C$27:$C$86</definedName>
    <definedName name="_xlnm.Print_Titles" localSheetId="12">'13 egyéb'!$3:$5</definedName>
    <definedName name="_xlnm.Print_Titles" localSheetId="16">'17 felhalm.bevétel '!$2:$4</definedName>
    <definedName name="_xlnm.Print_Titles" localSheetId="17">'18 felhalm.kiadás'!$3:$5</definedName>
    <definedName name="_xlnm.Print_Titles" localSheetId="2">'3 működési bevételek'!$4:$6</definedName>
    <definedName name="_xlnm.Print_Titles" localSheetId="6">'7 létszám'!$1:$7</definedName>
    <definedName name="_xlnm.Print_Titles" localSheetId="8">'9 kultúra'!$4:$6</definedName>
    <definedName name="_xlnm.Print_Area" localSheetId="0">'1 kiemelt ei. '!$A$1:$N$20</definedName>
    <definedName name="_xlnm.Print_Area" localSheetId="9">'10 szociális'!$B$1:$E$51</definedName>
    <definedName name="_xlnm.Print_Area" localSheetId="10">'11 egészségügy'!$B$1:$E$45</definedName>
    <definedName name="_xlnm.Print_Area" localSheetId="11">'12 gyermek és ifj.véd.'!$B$1:$E$32</definedName>
    <definedName name="_xlnm.Print_Area" localSheetId="12">'13 egyéb'!$B$1:$E$106</definedName>
    <definedName name="_xlnm.Print_Area" localSheetId="13">'14 sport'!$B$1:$E$36</definedName>
    <definedName name="_xlnm.Print_Area" localSheetId="14">'15 város.ü.'!$B$1:$I$34</definedName>
    <definedName name="_xlnm.Print_Area" localSheetId="15">'16 út-híd'!$B$1:$E$33</definedName>
    <definedName name="_xlnm.Print_Area" localSheetId="16">'17 felhalm.bevétel '!$B$1:$F$58</definedName>
    <definedName name="_xlnm.Print_Area" localSheetId="17">'18 felhalm.kiadás'!$A$1:$E$121</definedName>
    <definedName name="_xlnm.Print_Area" localSheetId="18">'19 ei felh. terv bevétel'!$A$1:$N$11</definedName>
    <definedName name="_xlnm.Print_Area" localSheetId="19">'19 ei. felh.terv kiadás'!$A$1:$N$27</definedName>
    <definedName name="_xlnm.Print_Area" localSheetId="1">'2 mérleg'!$A$1:$K$58</definedName>
    <definedName name="_xlnm.Print_Area" localSheetId="2">'3 működési bevételek'!$B$1:$I$113</definedName>
    <definedName name="_xlnm.Print_Area" localSheetId="3">'4 intézményi bevétel'!$A$1:$AV$54</definedName>
    <definedName name="_xlnm.Print_Area" localSheetId="5">'6 intézményi kiadás'!$A$1:$AJ$54</definedName>
    <definedName name="_xlnm.Print_Area" localSheetId="6">'7 létszám'!$A$1:$O$54</definedName>
    <definedName name="_xlnm.Print_Area" localSheetId="7">'8 oktatás'!$B$1:$E$49</definedName>
    <definedName name="_xlnm.Print_Area" localSheetId="8">'9 kultúra'!$B$1:$E$131</definedName>
    <definedName name="polg">#REF!</definedName>
    <definedName name="polg.hiv.">#REF!</definedName>
    <definedName name="polg.hiv.2">#REF!</definedName>
    <definedName name="x" localSheetId="0">#REF!</definedName>
    <definedName name="x" localSheetId="6">#REF!</definedName>
    <definedName name="x">#REF!</definedName>
    <definedName name="Z_186732C5_520C_4E06_B066_B4F3F0A3E322_.wvu.PrintArea" localSheetId="9" hidden="1">'10 szociális'!$B$1:$B$32</definedName>
    <definedName name="Z_186732C5_520C_4E06_B066_B4F3F0A3E322_.wvu.PrintArea" localSheetId="10" hidden="1">'11 egészségügy'!$B$1:$B$26</definedName>
    <definedName name="Z_186732C5_520C_4E06_B066_B4F3F0A3E322_.wvu.PrintArea" localSheetId="11" hidden="1">'12 gyermek és ifj.véd.'!$B$1:$B$16</definedName>
    <definedName name="Z_186732C5_520C_4E06_B066_B4F3F0A3E322_.wvu.PrintArea" localSheetId="12" hidden="1">'13 egyéb'!$B$1:$B$88</definedName>
    <definedName name="Z_186732C5_520C_4E06_B066_B4F3F0A3E322_.wvu.PrintArea" localSheetId="13" hidden="1">'14 sport'!$B$1:$B$33</definedName>
    <definedName name="Z_186732C5_520C_4E06_B066_B4F3F0A3E322_.wvu.PrintArea" localSheetId="14" hidden="1">'15 város.ü.'!$B$1:$F$26</definedName>
    <definedName name="Z_186732C5_520C_4E06_B066_B4F3F0A3E322_.wvu.PrintArea" localSheetId="15" hidden="1">'16 út-híd'!$B$1:$B$30</definedName>
    <definedName name="Z_186732C5_520C_4E06_B066_B4F3F0A3E322_.wvu.PrintArea" localSheetId="16" hidden="1">'17 felhalm.bevétel '!$B$1:$C$59</definedName>
    <definedName name="Z_186732C5_520C_4E06_B066_B4F3F0A3E322_.wvu.PrintArea" localSheetId="17" hidden="1">'18 felhalm.kiadás'!$A$1:$B$121</definedName>
    <definedName name="Z_186732C5_520C_4E06_B066_B4F3F0A3E322_.wvu.PrintArea" localSheetId="1" hidden="1">'2 mérleg'!$A$2:$H$58</definedName>
    <definedName name="Z_186732C5_520C_4E06_B066_B4F3F0A3E322_.wvu.PrintArea" localSheetId="2" hidden="1">'3 működési bevételek'!$B$1:$F$112</definedName>
    <definedName name="Z_186732C5_520C_4E06_B066_B4F3F0A3E322_.wvu.PrintArea" localSheetId="7" hidden="1">'8 oktatás'!$B$1:$B$32</definedName>
    <definedName name="Z_186732C5_520C_4E06_B066_B4F3F0A3E322_.wvu.PrintArea" localSheetId="8" hidden="1">'9 kultúra'!$B$1:$B$93</definedName>
    <definedName name="Z_6D4B996F_8915_4E78_98C2_E7EAE9C4580C_.wvu.PrintArea" localSheetId="9" hidden="1">'10 szociális'!$B$1:$B$32</definedName>
    <definedName name="Z_6D4B996F_8915_4E78_98C2_E7EAE9C4580C_.wvu.PrintArea" localSheetId="10" hidden="1">'11 egészségügy'!$B$1:$B$26</definedName>
    <definedName name="Z_6D4B996F_8915_4E78_98C2_E7EAE9C4580C_.wvu.PrintArea" localSheetId="11" hidden="1">'12 gyermek és ifj.véd.'!$B$1:$B$16</definedName>
    <definedName name="Z_6D4B996F_8915_4E78_98C2_E7EAE9C4580C_.wvu.PrintArea" localSheetId="12" hidden="1">'13 egyéb'!$B$1:$B$88</definedName>
    <definedName name="Z_6D4B996F_8915_4E78_98C2_E7EAE9C4580C_.wvu.PrintArea" localSheetId="13" hidden="1">'14 sport'!$B$1:$B$33</definedName>
    <definedName name="Z_6D4B996F_8915_4E78_98C2_E7EAE9C4580C_.wvu.PrintArea" localSheetId="14" hidden="1">'15 város.ü.'!$B$1:$F$26</definedName>
    <definedName name="Z_6D4B996F_8915_4E78_98C2_E7EAE9C4580C_.wvu.PrintArea" localSheetId="15" hidden="1">'16 út-híd'!$B$1:$B$30</definedName>
    <definedName name="Z_6D4B996F_8915_4E78_98C2_E7EAE9C4580C_.wvu.PrintArea" localSheetId="16" hidden="1">'17 felhalm.bevétel '!$B$1:$C$59</definedName>
    <definedName name="Z_6D4B996F_8915_4E78_98C2_E7EAE9C4580C_.wvu.PrintArea" localSheetId="17" hidden="1">'18 felhalm.kiadás'!$A$1:$B$121</definedName>
    <definedName name="Z_6D4B996F_8915_4E78_98C2_E7EAE9C4580C_.wvu.PrintArea" localSheetId="1" hidden="1">'2 mérleg'!$A$2:$H$58</definedName>
    <definedName name="Z_6D4B996F_8915_4E78_98C2_E7EAE9C4580C_.wvu.PrintArea" localSheetId="2" hidden="1">'3 működési bevételek'!$B$1:$F$112</definedName>
    <definedName name="Z_6D4B996F_8915_4E78_98C2_E7EAE9C4580C_.wvu.PrintArea" localSheetId="7" hidden="1">'8 oktatás'!$B$1:$B$32</definedName>
    <definedName name="Z_6D4B996F_8915_4E78_98C2_E7EAE9C4580C_.wvu.PrintArea" localSheetId="8" hidden="1">'9 kultúra'!$B$1:$B$93</definedName>
    <definedName name="Z_F05CDCE5_D631_41F9_80C7_3F3E8464BF12_.wvu.PrintArea" localSheetId="6" hidden="1">'7 létszám'!$A$1:$M$54</definedName>
    <definedName name="Z_F05CDCE5_D631_41F9_80C7_3F3E8464BF12_.wvu.PrintTitles" localSheetId="6" hidden="1">'7 létszám'!$1:$7</definedName>
  </definedNames>
  <calcPr calcId="152511"/>
  <customWorkbookViews>
    <customWorkbookView name="Szakács Eszter - Egyéni látvány" guid="{186732C5-520C-4E06-B066-B4F3F0A3E322}" mergeInterval="0" personalView="1" maximized="1" windowWidth="1020" windowHeight="594" tabRatio="738" activeSheetId="20"/>
    <customWorkbookView name="Tóth László - Egyéni látvány" guid="{6D4B996F-8915-4E78-98C2-E7EAE9C4580C}" mergeInterval="0" personalView="1" maximized="1" windowWidth="1020" windowHeight="597" tabRatio="738" activeSheetId="8"/>
  </customWorkbookViews>
</workbook>
</file>

<file path=xl/calcChain.xml><?xml version="1.0" encoding="utf-8"?>
<calcChain xmlns="http://schemas.openxmlformats.org/spreadsheetml/2006/main">
  <c r="AL36" i="68" l="1"/>
  <c r="D52" i="71" l="1"/>
  <c r="D51" i="71"/>
  <c r="D50" i="71"/>
  <c r="C49" i="71"/>
  <c r="B49" i="71"/>
  <c r="D48" i="71"/>
  <c r="D47" i="71"/>
  <c r="D46" i="71"/>
  <c r="D49" i="71" s="1"/>
  <c r="C44" i="71"/>
  <c r="B44" i="71"/>
  <c r="D43" i="71"/>
  <c r="D42" i="71"/>
  <c r="D44" i="71" s="1"/>
  <c r="C40" i="71"/>
  <c r="B40" i="71"/>
  <c r="D38" i="71"/>
  <c r="D37" i="71"/>
  <c r="D36" i="71"/>
  <c r="D35" i="71"/>
  <c r="D34" i="71"/>
  <c r="D33" i="71"/>
  <c r="D32" i="71"/>
  <c r="D31" i="71"/>
  <c r="D30" i="71"/>
  <c r="D29" i="71"/>
  <c r="D40" i="71" s="1"/>
  <c r="D53" i="71" s="1"/>
  <c r="D28" i="71"/>
  <c r="D27" i="71"/>
  <c r="D25" i="71"/>
  <c r="C23" i="71"/>
  <c r="B23" i="71"/>
  <c r="D22" i="71"/>
  <c r="D21" i="71"/>
  <c r="D20" i="71"/>
  <c r="D19" i="71"/>
  <c r="D18" i="71"/>
  <c r="D17" i="71"/>
  <c r="D16" i="71"/>
  <c r="C13" i="71"/>
  <c r="B13" i="71"/>
  <c r="D12" i="71"/>
  <c r="D11" i="71"/>
  <c r="D13" i="71" s="1"/>
  <c r="B54" i="71" l="1"/>
  <c r="D54" i="71"/>
  <c r="B53" i="71"/>
  <c r="D23" i="71"/>
  <c r="C53" i="71"/>
  <c r="C54" i="71" s="1"/>
  <c r="O53" i="70" l="1"/>
  <c r="I53" i="70"/>
  <c r="H53" i="70"/>
  <c r="L53" i="70" s="1"/>
  <c r="C53" i="70"/>
  <c r="B53" i="70"/>
  <c r="F53" i="70" s="1"/>
  <c r="O52" i="70"/>
  <c r="L52" i="70"/>
  <c r="I52" i="70"/>
  <c r="H52" i="70"/>
  <c r="C52" i="70"/>
  <c r="B52" i="70"/>
  <c r="F52" i="70" s="1"/>
  <c r="N52" i="70" s="1"/>
  <c r="O51" i="70"/>
  <c r="I51" i="70"/>
  <c r="H51" i="70"/>
  <c r="L51" i="70" s="1"/>
  <c r="C51" i="70"/>
  <c r="B51" i="70"/>
  <c r="F51" i="70" s="1"/>
  <c r="M47" i="70"/>
  <c r="K47" i="70"/>
  <c r="J47" i="70"/>
  <c r="G47" i="70"/>
  <c r="E47" i="70"/>
  <c r="D47" i="70"/>
  <c r="O46" i="70"/>
  <c r="I46" i="70"/>
  <c r="H46" i="70"/>
  <c r="L46" i="70" s="1"/>
  <c r="C46" i="70"/>
  <c r="B46" i="70"/>
  <c r="F46" i="70" s="1"/>
  <c r="O45" i="70"/>
  <c r="O47" i="70" s="1"/>
  <c r="I45" i="70"/>
  <c r="H45" i="70"/>
  <c r="L45" i="70" s="1"/>
  <c r="L47" i="70" s="1"/>
  <c r="C45" i="70"/>
  <c r="B45" i="70"/>
  <c r="M43" i="70"/>
  <c r="K43" i="70"/>
  <c r="J43" i="70"/>
  <c r="H43" i="70"/>
  <c r="G43" i="70"/>
  <c r="E43" i="70"/>
  <c r="D43" i="70"/>
  <c r="O42" i="70"/>
  <c r="O43" i="70" s="1"/>
  <c r="I42" i="70"/>
  <c r="I43" i="70" s="1"/>
  <c r="H42" i="70"/>
  <c r="L42" i="70" s="1"/>
  <c r="L43" i="70" s="1"/>
  <c r="C42" i="70"/>
  <c r="C43" i="70" s="1"/>
  <c r="B42" i="70"/>
  <c r="B43" i="70" s="1"/>
  <c r="M40" i="70"/>
  <c r="K40" i="70"/>
  <c r="J40" i="70"/>
  <c r="G40" i="70"/>
  <c r="E40" i="70"/>
  <c r="D40" i="70"/>
  <c r="O39" i="70"/>
  <c r="O40" i="70" s="1"/>
  <c r="I39" i="70"/>
  <c r="I40" i="70" s="1"/>
  <c r="H39" i="70"/>
  <c r="C39" i="70"/>
  <c r="C40" i="70" s="1"/>
  <c r="B39" i="70"/>
  <c r="F39" i="70" s="1"/>
  <c r="M37" i="70"/>
  <c r="K37" i="70"/>
  <c r="J37" i="70"/>
  <c r="G37" i="70"/>
  <c r="E37" i="70"/>
  <c r="D37" i="70"/>
  <c r="O36" i="70"/>
  <c r="I36" i="70"/>
  <c r="H36" i="70"/>
  <c r="L36" i="70" s="1"/>
  <c r="C36" i="70"/>
  <c r="B36" i="70"/>
  <c r="F36" i="70" s="1"/>
  <c r="O35" i="70"/>
  <c r="I35" i="70"/>
  <c r="H35" i="70"/>
  <c r="L35" i="70" s="1"/>
  <c r="C35" i="70"/>
  <c r="B35" i="70"/>
  <c r="F35" i="70" s="1"/>
  <c r="N35" i="70" s="1"/>
  <c r="O34" i="70"/>
  <c r="I34" i="70"/>
  <c r="H34" i="70"/>
  <c r="L34" i="70" s="1"/>
  <c r="C34" i="70"/>
  <c r="B34" i="70"/>
  <c r="F34" i="70" s="1"/>
  <c r="O33" i="70"/>
  <c r="I33" i="70"/>
  <c r="H33" i="70"/>
  <c r="L33" i="70" s="1"/>
  <c r="C33" i="70"/>
  <c r="B33" i="70"/>
  <c r="F33" i="70" s="1"/>
  <c r="O32" i="70"/>
  <c r="I32" i="70"/>
  <c r="H32" i="70"/>
  <c r="L32" i="70" s="1"/>
  <c r="C32" i="70"/>
  <c r="B32" i="70"/>
  <c r="O28" i="70"/>
  <c r="I28" i="70"/>
  <c r="H28" i="70"/>
  <c r="C28" i="70"/>
  <c r="B28" i="70"/>
  <c r="F28" i="70" s="1"/>
  <c r="M27" i="70"/>
  <c r="M29" i="70" s="1"/>
  <c r="M49" i="70" s="1"/>
  <c r="K27" i="70"/>
  <c r="K29" i="70" s="1"/>
  <c r="K49" i="70" s="1"/>
  <c r="J27" i="70"/>
  <c r="J29" i="70" s="1"/>
  <c r="J49" i="70" s="1"/>
  <c r="G27" i="70"/>
  <c r="G29" i="70" s="1"/>
  <c r="G49" i="70" s="1"/>
  <c r="E27" i="70"/>
  <c r="E29" i="70" s="1"/>
  <c r="E49" i="70" s="1"/>
  <c r="D27" i="70"/>
  <c r="D29" i="70" s="1"/>
  <c r="D49" i="70" s="1"/>
  <c r="O26" i="70"/>
  <c r="I26" i="70"/>
  <c r="H26" i="70"/>
  <c r="L26" i="70" s="1"/>
  <c r="C26" i="70"/>
  <c r="B26" i="70"/>
  <c r="F26" i="70" s="1"/>
  <c r="O25" i="70"/>
  <c r="I25" i="70"/>
  <c r="H25" i="70"/>
  <c r="L25" i="70" s="1"/>
  <c r="C25" i="70"/>
  <c r="B25" i="70"/>
  <c r="F25" i="70" s="1"/>
  <c r="O24" i="70"/>
  <c r="I24" i="70"/>
  <c r="H24" i="70"/>
  <c r="L24" i="70" s="1"/>
  <c r="C24" i="70"/>
  <c r="B24" i="70"/>
  <c r="F24" i="70" s="1"/>
  <c r="O23" i="70"/>
  <c r="I23" i="70"/>
  <c r="H23" i="70"/>
  <c r="L23" i="70" s="1"/>
  <c r="C23" i="70"/>
  <c r="B23" i="70"/>
  <c r="F23" i="70" s="1"/>
  <c r="O22" i="70"/>
  <c r="I22" i="70"/>
  <c r="H22" i="70"/>
  <c r="L22" i="70" s="1"/>
  <c r="C22" i="70"/>
  <c r="B22" i="70"/>
  <c r="F22" i="70" s="1"/>
  <c r="O21" i="70"/>
  <c r="I21" i="70"/>
  <c r="H21" i="70"/>
  <c r="L21" i="70" s="1"/>
  <c r="C21" i="70"/>
  <c r="B21" i="70"/>
  <c r="F21" i="70" s="1"/>
  <c r="O20" i="70"/>
  <c r="I20" i="70"/>
  <c r="H20" i="70"/>
  <c r="L20" i="70" s="1"/>
  <c r="C20" i="70"/>
  <c r="B20" i="70"/>
  <c r="F20" i="70" s="1"/>
  <c r="O19" i="70"/>
  <c r="I19" i="70"/>
  <c r="H19" i="70"/>
  <c r="L19" i="70" s="1"/>
  <c r="C19" i="70"/>
  <c r="B19" i="70"/>
  <c r="F19" i="70" s="1"/>
  <c r="O18" i="70"/>
  <c r="I18" i="70"/>
  <c r="H18" i="70"/>
  <c r="L18" i="70" s="1"/>
  <c r="C18" i="70"/>
  <c r="B18" i="70"/>
  <c r="F18" i="70" s="1"/>
  <c r="O17" i="70"/>
  <c r="I17" i="70"/>
  <c r="H17" i="70"/>
  <c r="L17" i="70" s="1"/>
  <c r="C17" i="70"/>
  <c r="B17" i="70"/>
  <c r="F17" i="70" s="1"/>
  <c r="O16" i="70"/>
  <c r="I16" i="70"/>
  <c r="H16" i="70"/>
  <c r="L16" i="70" s="1"/>
  <c r="C16" i="70"/>
  <c r="B16" i="70"/>
  <c r="F16" i="70" s="1"/>
  <c r="O15" i="70"/>
  <c r="I15" i="70"/>
  <c r="H15" i="70"/>
  <c r="L15" i="70" s="1"/>
  <c r="C15" i="70"/>
  <c r="B15" i="70"/>
  <c r="F15" i="70" s="1"/>
  <c r="O14" i="70"/>
  <c r="I14" i="70"/>
  <c r="H14" i="70"/>
  <c r="L14" i="70" s="1"/>
  <c r="C14" i="70"/>
  <c r="B14" i="70"/>
  <c r="F14" i="70" s="1"/>
  <c r="O13" i="70"/>
  <c r="I13" i="70"/>
  <c r="H13" i="70"/>
  <c r="L13" i="70" s="1"/>
  <c r="C13" i="70"/>
  <c r="B13" i="70"/>
  <c r="F13" i="70" s="1"/>
  <c r="O12" i="70"/>
  <c r="I12" i="70"/>
  <c r="H12" i="70"/>
  <c r="L12" i="70" s="1"/>
  <c r="C12" i="70"/>
  <c r="B12" i="70"/>
  <c r="F12" i="70" s="1"/>
  <c r="O11" i="70"/>
  <c r="I11" i="70"/>
  <c r="H11" i="70"/>
  <c r="L11" i="70" s="1"/>
  <c r="C11" i="70"/>
  <c r="B11" i="70"/>
  <c r="F11" i="70" s="1"/>
  <c r="O10" i="70"/>
  <c r="I10" i="70"/>
  <c r="H10" i="70"/>
  <c r="L10" i="70" s="1"/>
  <c r="C10" i="70"/>
  <c r="B10" i="70"/>
  <c r="F10" i="70" s="1"/>
  <c r="O9" i="70"/>
  <c r="I9" i="70"/>
  <c r="H9" i="70"/>
  <c r="C9" i="70"/>
  <c r="B9" i="70"/>
  <c r="F9" i="70" s="1"/>
  <c r="AH56" i="69"/>
  <c r="AE56" i="69"/>
  <c r="AB56" i="69"/>
  <c r="Y56" i="69"/>
  <c r="V56" i="69"/>
  <c r="R56" i="69"/>
  <c r="O56" i="69"/>
  <c r="L56" i="69"/>
  <c r="H56" i="69"/>
  <c r="E56" i="69"/>
  <c r="B56" i="69"/>
  <c r="AB53" i="69"/>
  <c r="AD53" i="69" s="1"/>
  <c r="Y53" i="69"/>
  <c r="AA53" i="69" s="1"/>
  <c r="W53" i="69"/>
  <c r="AF53" i="69" s="1"/>
  <c r="V53" i="69"/>
  <c r="O53" i="69"/>
  <c r="Q53" i="69" s="1"/>
  <c r="L53" i="69"/>
  <c r="N53" i="69" s="1"/>
  <c r="I53" i="69"/>
  <c r="H53" i="69"/>
  <c r="F53" i="69"/>
  <c r="E53" i="69"/>
  <c r="G53" i="69" s="1"/>
  <c r="C53" i="69"/>
  <c r="B53" i="69"/>
  <c r="AF52" i="69"/>
  <c r="AB52" i="69"/>
  <c r="AD52" i="69" s="1"/>
  <c r="Y52" i="69"/>
  <c r="V52" i="69"/>
  <c r="X52" i="69" s="1"/>
  <c r="O52" i="69"/>
  <c r="Q52" i="69" s="1"/>
  <c r="L52" i="69"/>
  <c r="N52" i="69" s="1"/>
  <c r="H52" i="69"/>
  <c r="J52" i="69" s="1"/>
  <c r="F52" i="69"/>
  <c r="E52" i="69"/>
  <c r="C52" i="69"/>
  <c r="B52" i="69"/>
  <c r="AC48" i="69"/>
  <c r="Z48" i="69"/>
  <c r="W48" i="69"/>
  <c r="P48" i="69"/>
  <c r="M48" i="69"/>
  <c r="E48" i="69"/>
  <c r="AF47" i="69"/>
  <c r="AB47" i="69"/>
  <c r="AD47" i="69" s="1"/>
  <c r="Y47" i="69"/>
  <c r="V47" i="69"/>
  <c r="O47" i="69"/>
  <c r="Q47" i="69" s="1"/>
  <c r="L47" i="69"/>
  <c r="N47" i="69" s="1"/>
  <c r="I47" i="69"/>
  <c r="I48" i="69" s="1"/>
  <c r="H47" i="69"/>
  <c r="G47" i="69"/>
  <c r="F47" i="69"/>
  <c r="E47" i="69"/>
  <c r="C47" i="69"/>
  <c r="B47" i="69"/>
  <c r="AF46" i="69"/>
  <c r="AF48" i="69" s="1"/>
  <c r="AB46" i="69"/>
  <c r="AD46" i="69" s="1"/>
  <c r="Y46" i="69"/>
  <c r="AA46" i="69" s="1"/>
  <c r="V46" i="69"/>
  <c r="X46" i="69" s="1"/>
  <c r="O46" i="69"/>
  <c r="L46" i="69"/>
  <c r="N46" i="69" s="1"/>
  <c r="H46" i="69"/>
  <c r="J46" i="69" s="1"/>
  <c r="F46" i="69"/>
  <c r="F48" i="69" s="1"/>
  <c r="E46" i="69"/>
  <c r="C46" i="69"/>
  <c r="S46" i="69" s="1"/>
  <c r="B46" i="69"/>
  <c r="AM45" i="69"/>
  <c r="AL45" i="69"/>
  <c r="AK45" i="69"/>
  <c r="AC44" i="69"/>
  <c r="W44" i="69"/>
  <c r="P44" i="69"/>
  <c r="M44" i="69"/>
  <c r="AB43" i="69"/>
  <c r="AB44" i="69" s="1"/>
  <c r="Z43" i="69"/>
  <c r="Y43" i="69"/>
  <c r="V43" i="69"/>
  <c r="X43" i="69" s="1"/>
  <c r="O43" i="69"/>
  <c r="L43" i="69"/>
  <c r="I43" i="69"/>
  <c r="H43" i="69"/>
  <c r="H44" i="69" s="1"/>
  <c r="F43" i="69"/>
  <c r="F44" i="69" s="1"/>
  <c r="E43" i="69"/>
  <c r="C43" i="69"/>
  <c r="C44" i="69" s="1"/>
  <c r="B43" i="69"/>
  <c r="AM42" i="69"/>
  <c r="AL42" i="69"/>
  <c r="AK42" i="69"/>
  <c r="AC41" i="69"/>
  <c r="Z41" i="69"/>
  <c r="W41" i="69"/>
  <c r="P41" i="69"/>
  <c r="M41" i="69"/>
  <c r="I41" i="69"/>
  <c r="AF40" i="69"/>
  <c r="AF41" i="69" s="1"/>
  <c r="AB40" i="69"/>
  <c r="Y40" i="69"/>
  <c r="Y41" i="69" s="1"/>
  <c r="V40" i="69"/>
  <c r="O40" i="69"/>
  <c r="L40" i="69"/>
  <c r="H40" i="69"/>
  <c r="F40" i="69"/>
  <c r="F41" i="69" s="1"/>
  <c r="E40" i="69"/>
  <c r="C40" i="69"/>
  <c r="C41" i="69" s="1"/>
  <c r="B40" i="69"/>
  <c r="AM39" i="69"/>
  <c r="AL39" i="69"/>
  <c r="AK39" i="69"/>
  <c r="AC38" i="69"/>
  <c r="Z38" i="69"/>
  <c r="P38" i="69"/>
  <c r="M38" i="69"/>
  <c r="AB37" i="69"/>
  <c r="AD37" i="69" s="1"/>
  <c r="Y37" i="69"/>
  <c r="AA37" i="69" s="1"/>
  <c r="W37" i="69"/>
  <c r="AF37" i="69" s="1"/>
  <c r="V37" i="69"/>
  <c r="O37" i="69"/>
  <c r="Q37" i="69" s="1"/>
  <c r="L37" i="69"/>
  <c r="N37" i="69" s="1"/>
  <c r="I37" i="69"/>
  <c r="S37" i="69" s="1"/>
  <c r="AI37" i="69" s="1"/>
  <c r="H37" i="69"/>
  <c r="F37" i="69"/>
  <c r="E37" i="69"/>
  <c r="C37" i="69"/>
  <c r="B37" i="69"/>
  <c r="D37" i="69" s="1"/>
  <c r="AB36" i="69"/>
  <c r="AD36" i="69" s="1"/>
  <c r="Y36" i="69"/>
  <c r="AA36" i="69" s="1"/>
  <c r="W36" i="69"/>
  <c r="AF36" i="69" s="1"/>
  <c r="V36" i="69"/>
  <c r="O36" i="69"/>
  <c r="Q36" i="69" s="1"/>
  <c r="L36" i="69"/>
  <c r="N36" i="69" s="1"/>
  <c r="I36" i="69"/>
  <c r="H36" i="69"/>
  <c r="F36" i="69"/>
  <c r="E36" i="69"/>
  <c r="C36" i="69"/>
  <c r="B36" i="69"/>
  <c r="AF35" i="69"/>
  <c r="AB35" i="69"/>
  <c r="AD35" i="69" s="1"/>
  <c r="Y35" i="69"/>
  <c r="AA35" i="69" s="1"/>
  <c r="V35" i="69"/>
  <c r="X35" i="69" s="1"/>
  <c r="O35" i="69"/>
  <c r="Q35" i="69" s="1"/>
  <c r="L35" i="69"/>
  <c r="N35" i="69" s="1"/>
  <c r="I35" i="69"/>
  <c r="H35" i="69"/>
  <c r="F35" i="69"/>
  <c r="E35" i="69"/>
  <c r="C35" i="69"/>
  <c r="B35" i="69"/>
  <c r="AF34" i="69"/>
  <c r="AB34" i="69"/>
  <c r="AD34" i="69" s="1"/>
  <c r="Y34" i="69"/>
  <c r="AA34" i="69" s="1"/>
  <c r="V34" i="69"/>
  <c r="X34" i="69" s="1"/>
  <c r="AG34" i="69" s="1"/>
  <c r="O34" i="69"/>
  <c r="L34" i="69"/>
  <c r="N34" i="69" s="1"/>
  <c r="H34" i="69"/>
  <c r="J34" i="69" s="1"/>
  <c r="F34" i="69"/>
  <c r="E34" i="69"/>
  <c r="C34" i="69"/>
  <c r="B34" i="69"/>
  <c r="AB33" i="69"/>
  <c r="Y33" i="69"/>
  <c r="AA33" i="69" s="1"/>
  <c r="AA38" i="69" s="1"/>
  <c r="W33" i="69"/>
  <c r="W38" i="69" s="1"/>
  <c r="V33" i="69"/>
  <c r="O33" i="69"/>
  <c r="Q33" i="69" s="1"/>
  <c r="L33" i="69"/>
  <c r="I33" i="69"/>
  <c r="H33" i="69"/>
  <c r="J33" i="69" s="1"/>
  <c r="F33" i="69"/>
  <c r="E33" i="69"/>
  <c r="G33" i="69" s="1"/>
  <c r="C33" i="69"/>
  <c r="B33" i="69"/>
  <c r="AM32" i="69"/>
  <c r="AL32" i="69"/>
  <c r="AK32" i="69"/>
  <c r="AM31" i="69"/>
  <c r="AL31" i="69"/>
  <c r="AK31" i="69"/>
  <c r="P30" i="69"/>
  <c r="P50" i="69" s="1"/>
  <c r="AB29" i="69"/>
  <c r="AD29" i="69" s="1"/>
  <c r="Z29" i="69"/>
  <c r="Y29" i="69"/>
  <c r="W29" i="69"/>
  <c r="V29" i="69"/>
  <c r="X29" i="69" s="1"/>
  <c r="O29" i="69"/>
  <c r="Q29" i="69" s="1"/>
  <c r="L29" i="69"/>
  <c r="N29" i="69" s="1"/>
  <c r="I29" i="69"/>
  <c r="H29" i="69"/>
  <c r="J29" i="69" s="1"/>
  <c r="F29" i="69"/>
  <c r="S29" i="69" s="1"/>
  <c r="E29" i="69"/>
  <c r="C29" i="69"/>
  <c r="B29" i="69"/>
  <c r="AC28" i="69"/>
  <c r="AC30" i="69" s="1"/>
  <c r="AC50" i="69" s="1"/>
  <c r="Z28" i="69"/>
  <c r="P28" i="69"/>
  <c r="M28" i="69"/>
  <c r="M30" i="69" s="1"/>
  <c r="M50" i="69" s="1"/>
  <c r="AF27" i="69"/>
  <c r="AB27" i="69"/>
  <c r="AD27" i="69" s="1"/>
  <c r="Y27" i="69"/>
  <c r="AA27" i="69" s="1"/>
  <c r="W27" i="69"/>
  <c r="V27" i="69"/>
  <c r="O27" i="69"/>
  <c r="Q27" i="69" s="1"/>
  <c r="L27" i="69"/>
  <c r="N27" i="69" s="1"/>
  <c r="I27" i="69"/>
  <c r="S27" i="69" s="1"/>
  <c r="AI27" i="69" s="1"/>
  <c r="H27" i="69"/>
  <c r="F27" i="69"/>
  <c r="E27" i="69"/>
  <c r="C27" i="69"/>
  <c r="B27" i="69"/>
  <c r="R27" i="69" s="1"/>
  <c r="AB26" i="69"/>
  <c r="AD26" i="69" s="1"/>
  <c r="Y26" i="69"/>
  <c r="AA26" i="69" s="1"/>
  <c r="W26" i="69"/>
  <c r="AF26" i="69" s="1"/>
  <c r="V26" i="69"/>
  <c r="O26" i="69"/>
  <c r="Q26" i="69" s="1"/>
  <c r="L26" i="69"/>
  <c r="N26" i="69" s="1"/>
  <c r="I26" i="69"/>
  <c r="S26" i="69" s="1"/>
  <c r="H26" i="69"/>
  <c r="F26" i="69"/>
  <c r="E26" i="69"/>
  <c r="D26" i="69"/>
  <c r="C26" i="69"/>
  <c r="B26" i="69"/>
  <c r="AF25" i="69"/>
  <c r="AB25" i="69"/>
  <c r="AD25" i="69" s="1"/>
  <c r="Y25" i="69"/>
  <c r="AA25" i="69" s="1"/>
  <c r="W25" i="69"/>
  <c r="V25" i="69"/>
  <c r="O25" i="69"/>
  <c r="Q25" i="69" s="1"/>
  <c r="L25" i="69"/>
  <c r="N25" i="69" s="1"/>
  <c r="I25" i="69"/>
  <c r="H25" i="69"/>
  <c r="F25" i="69"/>
  <c r="E25" i="69"/>
  <c r="C25" i="69"/>
  <c r="B25" i="69"/>
  <c r="AB24" i="69"/>
  <c r="AD24" i="69" s="1"/>
  <c r="Y24" i="69"/>
  <c r="AA24" i="69" s="1"/>
  <c r="W24" i="69"/>
  <c r="V24" i="69"/>
  <c r="O24" i="69"/>
  <c r="Q24" i="69" s="1"/>
  <c r="L24" i="69"/>
  <c r="N24" i="69" s="1"/>
  <c r="I24" i="69"/>
  <c r="H24" i="69"/>
  <c r="F24" i="69"/>
  <c r="E24" i="69"/>
  <c r="C24" i="69"/>
  <c r="B24" i="69"/>
  <c r="D24" i="69" s="1"/>
  <c r="AF23" i="69"/>
  <c r="AB23" i="69"/>
  <c r="AD23" i="69" s="1"/>
  <c r="Y23" i="69"/>
  <c r="AA23" i="69" s="1"/>
  <c r="V23" i="69"/>
  <c r="X23" i="69" s="1"/>
  <c r="S23" i="69"/>
  <c r="O23" i="69"/>
  <c r="Q23" i="69" s="1"/>
  <c r="L23" i="69"/>
  <c r="N23" i="69" s="1"/>
  <c r="H23" i="69"/>
  <c r="J23" i="69" s="1"/>
  <c r="F23" i="69"/>
  <c r="E23" i="69"/>
  <c r="C23" i="69"/>
  <c r="B23" i="69"/>
  <c r="AB22" i="69"/>
  <c r="AD22" i="69" s="1"/>
  <c r="Y22" i="69"/>
  <c r="AA22" i="69" s="1"/>
  <c r="W22" i="69"/>
  <c r="AF22" i="69" s="1"/>
  <c r="V22" i="69"/>
  <c r="O22" i="69"/>
  <c r="Q22" i="69" s="1"/>
  <c r="L22" i="69"/>
  <c r="N22" i="69" s="1"/>
  <c r="I22" i="69"/>
  <c r="H22" i="69"/>
  <c r="J22" i="69" s="1"/>
  <c r="F22" i="69"/>
  <c r="E22" i="69"/>
  <c r="C22" i="69"/>
  <c r="S22" i="69" s="1"/>
  <c r="AI22" i="69" s="1"/>
  <c r="B22" i="69"/>
  <c r="AF21" i="69"/>
  <c r="AB21" i="69"/>
  <c r="AD21" i="69" s="1"/>
  <c r="Y21" i="69"/>
  <c r="AA21" i="69" s="1"/>
  <c r="V21" i="69"/>
  <c r="O21" i="69"/>
  <c r="Q21" i="69" s="1"/>
  <c r="L21" i="69"/>
  <c r="N21" i="69" s="1"/>
  <c r="I21" i="69"/>
  <c r="H21" i="69"/>
  <c r="J21" i="69" s="1"/>
  <c r="F21" i="69"/>
  <c r="E21" i="69"/>
  <c r="C21" i="69"/>
  <c r="B21" i="69"/>
  <c r="AF20" i="69"/>
  <c r="AB20" i="69"/>
  <c r="AD20" i="69" s="1"/>
  <c r="Y20" i="69"/>
  <c r="AA20" i="69" s="1"/>
  <c r="V20" i="69"/>
  <c r="X20" i="69" s="1"/>
  <c r="O20" i="69"/>
  <c r="Q20" i="69" s="1"/>
  <c r="L20" i="69"/>
  <c r="N20" i="69" s="1"/>
  <c r="I20" i="69"/>
  <c r="H20" i="69"/>
  <c r="F20" i="69"/>
  <c r="E20" i="69"/>
  <c r="C20" i="69"/>
  <c r="B20" i="69"/>
  <c r="AB19" i="69"/>
  <c r="AD19" i="69" s="1"/>
  <c r="Y19" i="69"/>
  <c r="AA19" i="69" s="1"/>
  <c r="W19" i="69"/>
  <c r="AF19" i="69" s="1"/>
  <c r="V19" i="69"/>
  <c r="X19" i="69" s="1"/>
  <c r="O19" i="69"/>
  <c r="Q19" i="69" s="1"/>
  <c r="L19" i="69"/>
  <c r="N19" i="69" s="1"/>
  <c r="I19" i="69"/>
  <c r="H19" i="69"/>
  <c r="F19" i="69"/>
  <c r="S19" i="69" s="1"/>
  <c r="AI19" i="69" s="1"/>
  <c r="E19" i="69"/>
  <c r="C19" i="69"/>
  <c r="B19" i="69"/>
  <c r="AF18" i="69"/>
  <c r="AB18" i="69"/>
  <c r="AD18" i="69" s="1"/>
  <c r="Y18" i="69"/>
  <c r="AA18" i="69" s="1"/>
  <c r="W18" i="69"/>
  <c r="V18" i="69"/>
  <c r="O18" i="69"/>
  <c r="Q18" i="69" s="1"/>
  <c r="L18" i="69"/>
  <c r="N18" i="69" s="1"/>
  <c r="I18" i="69"/>
  <c r="H18" i="69"/>
  <c r="J18" i="69" s="1"/>
  <c r="F18" i="69"/>
  <c r="S18" i="69" s="1"/>
  <c r="E18" i="69"/>
  <c r="C18" i="69"/>
  <c r="B18" i="69"/>
  <c r="AF17" i="69"/>
  <c r="AB17" i="69"/>
  <c r="AD17" i="69" s="1"/>
  <c r="Y17" i="69"/>
  <c r="V17" i="69"/>
  <c r="X17" i="69" s="1"/>
  <c r="O17" i="69"/>
  <c r="Q17" i="69" s="1"/>
  <c r="L17" i="69"/>
  <c r="N17" i="69" s="1"/>
  <c r="H17" i="69"/>
  <c r="J17" i="69" s="1"/>
  <c r="F17" i="69"/>
  <c r="E17" i="69"/>
  <c r="C17" i="69"/>
  <c r="B17" i="69"/>
  <c r="D17" i="69" s="1"/>
  <c r="AB16" i="69"/>
  <c r="AD16" i="69" s="1"/>
  <c r="Y16" i="69"/>
  <c r="AA16" i="69" s="1"/>
  <c r="W16" i="69"/>
  <c r="AF16" i="69" s="1"/>
  <c r="V16" i="69"/>
  <c r="O16" i="69"/>
  <c r="Q16" i="69" s="1"/>
  <c r="L16" i="69"/>
  <c r="N16" i="69" s="1"/>
  <c r="I16" i="69"/>
  <c r="H16" i="69"/>
  <c r="E16" i="69"/>
  <c r="G16" i="69" s="1"/>
  <c r="C16" i="69"/>
  <c r="S16" i="69" s="1"/>
  <c r="B16" i="69"/>
  <c r="AF15" i="69"/>
  <c r="AB15" i="69"/>
  <c r="Y15" i="69"/>
  <c r="AA15" i="69" s="1"/>
  <c r="V15" i="69"/>
  <c r="X15" i="69" s="1"/>
  <c r="O15" i="69"/>
  <c r="Q15" i="69" s="1"/>
  <c r="L15" i="69"/>
  <c r="N15" i="69" s="1"/>
  <c r="I15" i="69"/>
  <c r="H15" i="69"/>
  <c r="J15" i="69" s="1"/>
  <c r="F15" i="69"/>
  <c r="E15" i="69"/>
  <c r="C15" i="69"/>
  <c r="B15" i="69"/>
  <c r="AB14" i="69"/>
  <c r="AD14" i="69" s="1"/>
  <c r="Y14" i="69"/>
  <c r="AA14" i="69" s="1"/>
  <c r="W14" i="69"/>
  <c r="AF14" i="69" s="1"/>
  <c r="V14" i="69"/>
  <c r="O14" i="69"/>
  <c r="Q14" i="69" s="1"/>
  <c r="L14" i="69"/>
  <c r="N14" i="69" s="1"/>
  <c r="I14" i="69"/>
  <c r="H14" i="69"/>
  <c r="F14" i="69"/>
  <c r="E14" i="69"/>
  <c r="C14" i="69"/>
  <c r="S14" i="69" s="1"/>
  <c r="AI14" i="69" s="1"/>
  <c r="B14" i="69"/>
  <c r="AF13" i="69"/>
  <c r="AB13" i="69"/>
  <c r="AD13" i="69" s="1"/>
  <c r="Y13" i="69"/>
  <c r="AA13" i="69" s="1"/>
  <c r="V13" i="69"/>
  <c r="X13" i="69" s="1"/>
  <c r="O13" i="69"/>
  <c r="Q13" i="69" s="1"/>
  <c r="L13" i="69"/>
  <c r="N13" i="69" s="1"/>
  <c r="I13" i="69"/>
  <c r="H13" i="69"/>
  <c r="J13" i="69" s="1"/>
  <c r="F13" i="69"/>
  <c r="E13" i="69"/>
  <c r="G13" i="69" s="1"/>
  <c r="C13" i="69"/>
  <c r="B13" i="69"/>
  <c r="D13" i="69" s="1"/>
  <c r="AF12" i="69"/>
  <c r="AB12" i="69"/>
  <c r="AD12" i="69" s="1"/>
  <c r="Y12" i="69"/>
  <c r="AA12" i="69" s="1"/>
  <c r="V12" i="69"/>
  <c r="X12" i="69" s="1"/>
  <c r="O12" i="69"/>
  <c r="Q12" i="69" s="1"/>
  <c r="L12" i="69"/>
  <c r="N12" i="69" s="1"/>
  <c r="H12" i="69"/>
  <c r="J12" i="69" s="1"/>
  <c r="F12" i="69"/>
  <c r="E12" i="69"/>
  <c r="C12" i="69"/>
  <c r="B12" i="69"/>
  <c r="AB11" i="69"/>
  <c r="AD11" i="69" s="1"/>
  <c r="Y11" i="69"/>
  <c r="AA11" i="69" s="1"/>
  <c r="W11" i="69"/>
  <c r="AF11" i="69" s="1"/>
  <c r="V11" i="69"/>
  <c r="O11" i="69"/>
  <c r="Q11" i="69" s="1"/>
  <c r="L11" i="69"/>
  <c r="N11" i="69" s="1"/>
  <c r="I11" i="69"/>
  <c r="H11" i="69"/>
  <c r="J11" i="69" s="1"/>
  <c r="F11" i="69"/>
  <c r="E11" i="69"/>
  <c r="C11" i="69"/>
  <c r="B11" i="69"/>
  <c r="AB10" i="69"/>
  <c r="Y10" i="69"/>
  <c r="AA10" i="69" s="1"/>
  <c r="W10" i="69"/>
  <c r="V10" i="69"/>
  <c r="O10" i="69"/>
  <c r="Q10" i="69" s="1"/>
  <c r="L10" i="69"/>
  <c r="H10" i="69"/>
  <c r="J10" i="69" s="1"/>
  <c r="F10" i="69"/>
  <c r="E10" i="69"/>
  <c r="C10" i="69"/>
  <c r="B10" i="69"/>
  <c r="AO53" i="68"/>
  <c r="AN53" i="68"/>
  <c r="AL53" i="68"/>
  <c r="AK53" i="68"/>
  <c r="AJ53" i="68"/>
  <c r="X53" i="68"/>
  <c r="Z53" i="68" s="1"/>
  <c r="U53" i="68"/>
  <c r="W53" i="68" s="1"/>
  <c r="R53" i="68"/>
  <c r="O53" i="68"/>
  <c r="K53" i="68"/>
  <c r="M53" i="68" s="1"/>
  <c r="H53" i="68"/>
  <c r="J53" i="68" s="1"/>
  <c r="E53" i="68"/>
  <c r="G53" i="68" s="1"/>
  <c r="B53" i="68"/>
  <c r="D53" i="68" s="1"/>
  <c r="AN52" i="68"/>
  <c r="AP52" i="68" s="1"/>
  <c r="AL52" i="68"/>
  <c r="AR52" i="68" s="1"/>
  <c r="AK52" i="68"/>
  <c r="AJ52" i="68"/>
  <c r="X52" i="68"/>
  <c r="Z52" i="68" s="1"/>
  <c r="U52" i="68"/>
  <c r="W52" i="68" s="1"/>
  <c r="R52" i="68"/>
  <c r="T52" i="68" s="1"/>
  <c r="O52" i="68"/>
  <c r="AE52" i="68" s="1"/>
  <c r="K52" i="68"/>
  <c r="M52" i="68" s="1"/>
  <c r="H52" i="68"/>
  <c r="J52" i="68" s="1"/>
  <c r="E52" i="68"/>
  <c r="G52" i="68" s="1"/>
  <c r="B52" i="68"/>
  <c r="AO48" i="68"/>
  <c r="AI48" i="68"/>
  <c r="AH48" i="68"/>
  <c r="Y48" i="68"/>
  <c r="V48" i="68"/>
  <c r="S48" i="68"/>
  <c r="L48" i="68"/>
  <c r="I48" i="68"/>
  <c r="F48" i="68"/>
  <c r="C48" i="68"/>
  <c r="AN47" i="68"/>
  <c r="AL47" i="68"/>
  <c r="AR47" i="68" s="1"/>
  <c r="AK47" i="68"/>
  <c r="AJ47" i="68"/>
  <c r="AB47" i="68"/>
  <c r="X47" i="68"/>
  <c r="Z47" i="68" s="1"/>
  <c r="U47" i="68"/>
  <c r="R47" i="68"/>
  <c r="T47" i="68" s="1"/>
  <c r="O47" i="68"/>
  <c r="K47" i="68"/>
  <c r="M47" i="68" s="1"/>
  <c r="H47" i="68"/>
  <c r="J47" i="68" s="1"/>
  <c r="E47" i="68"/>
  <c r="G47" i="68" s="1"/>
  <c r="B47" i="68"/>
  <c r="D47" i="68" s="1"/>
  <c r="AN46" i="68"/>
  <c r="AP46" i="68" s="1"/>
  <c r="AL46" i="68"/>
  <c r="AK46" i="68"/>
  <c r="AK48" i="68" s="1"/>
  <c r="AJ46" i="68"/>
  <c r="AB46" i="68"/>
  <c r="X46" i="68"/>
  <c r="U46" i="68"/>
  <c r="W46" i="68" s="1"/>
  <c r="R46" i="68"/>
  <c r="T46" i="68" s="1"/>
  <c r="O46" i="68"/>
  <c r="K46" i="68"/>
  <c r="H46" i="68"/>
  <c r="J46" i="68" s="1"/>
  <c r="E46" i="68"/>
  <c r="B46" i="68"/>
  <c r="D46" i="68" s="1"/>
  <c r="AI44" i="68"/>
  <c r="AH44" i="68"/>
  <c r="Z44" i="68"/>
  <c r="Y44" i="68"/>
  <c r="V44" i="68"/>
  <c r="S44" i="68"/>
  <c r="L44" i="68"/>
  <c r="I44" i="68"/>
  <c r="F44" i="68"/>
  <c r="C44" i="68"/>
  <c r="AO43" i="68"/>
  <c r="AO44" i="68" s="1"/>
  <c r="AN43" i="68"/>
  <c r="AN44" i="68" s="1"/>
  <c r="AL43" i="68"/>
  <c r="AL44" i="68" s="1"/>
  <c r="AK43" i="68"/>
  <c r="AM43" i="68" s="1"/>
  <c r="AM44" i="68" s="1"/>
  <c r="AJ43" i="68"/>
  <c r="AJ44" i="68" s="1"/>
  <c r="AB43" i="68"/>
  <c r="AB44" i="68" s="1"/>
  <c r="X43" i="68"/>
  <c r="X44" i="68" s="1"/>
  <c r="U43" i="68"/>
  <c r="W43" i="68" s="1"/>
  <c r="W44" i="68" s="1"/>
  <c r="R43" i="68"/>
  <c r="O43" i="68"/>
  <c r="O44" i="68" s="1"/>
  <c r="K43" i="68"/>
  <c r="K44" i="68" s="1"/>
  <c r="H43" i="68"/>
  <c r="H44" i="68" s="1"/>
  <c r="E43" i="68"/>
  <c r="B43" i="68"/>
  <c r="D43" i="68" s="1"/>
  <c r="G42" i="68"/>
  <c r="AO41" i="68"/>
  <c r="AL41" i="68"/>
  <c r="AI41" i="68"/>
  <c r="AH41" i="68"/>
  <c r="Z41" i="68"/>
  <c r="Y41" i="68"/>
  <c r="V41" i="68"/>
  <c r="S41" i="68"/>
  <c r="L41" i="68"/>
  <c r="I41" i="68"/>
  <c r="F41" i="68"/>
  <c r="E41" i="68"/>
  <c r="C41" i="68"/>
  <c r="AR40" i="68"/>
  <c r="AR41" i="68" s="1"/>
  <c r="AN40" i="68"/>
  <c r="AK40" i="68"/>
  <c r="AM40" i="68" s="1"/>
  <c r="AJ40" i="68"/>
  <c r="AJ41" i="68" s="1"/>
  <c r="AB40" i="68"/>
  <c r="AB41" i="68" s="1"/>
  <c r="X40" i="68"/>
  <c r="X41" i="68" s="1"/>
  <c r="U40" i="68"/>
  <c r="R40" i="68"/>
  <c r="O40" i="68"/>
  <c r="O41" i="68" s="1"/>
  <c r="AE41" i="68" s="1"/>
  <c r="K40" i="68"/>
  <c r="M40" i="68" s="1"/>
  <c r="M41" i="68" s="1"/>
  <c r="H40" i="68"/>
  <c r="E40" i="68"/>
  <c r="G40" i="68" s="1"/>
  <c r="G41" i="68" s="1"/>
  <c r="B40" i="68"/>
  <c r="AI38" i="68"/>
  <c r="AH38" i="68"/>
  <c r="Y38" i="68"/>
  <c r="V38" i="68"/>
  <c r="S38" i="68"/>
  <c r="L38" i="68"/>
  <c r="I38" i="68"/>
  <c r="F38" i="68"/>
  <c r="C38" i="68"/>
  <c r="AO37" i="68"/>
  <c r="AN37" i="68"/>
  <c r="AL37" i="68"/>
  <c r="AK37" i="68"/>
  <c r="AJ37" i="68"/>
  <c r="AB37" i="68"/>
  <c r="X37" i="68"/>
  <c r="Z37" i="68" s="1"/>
  <c r="U37" i="68"/>
  <c r="R37" i="68"/>
  <c r="T37" i="68" s="1"/>
  <c r="O37" i="68"/>
  <c r="AE37" i="68" s="1"/>
  <c r="K37" i="68"/>
  <c r="M37" i="68" s="1"/>
  <c r="H37" i="68"/>
  <c r="J37" i="68" s="1"/>
  <c r="E37" i="68"/>
  <c r="G37" i="68" s="1"/>
  <c r="B37" i="68"/>
  <c r="D37" i="68" s="1"/>
  <c r="AO36" i="68"/>
  <c r="AN36" i="68"/>
  <c r="AR36" i="68"/>
  <c r="AK36" i="68"/>
  <c r="AJ36" i="68"/>
  <c r="AB36" i="68"/>
  <c r="X36" i="68"/>
  <c r="Z36" i="68" s="1"/>
  <c r="U36" i="68"/>
  <c r="W36" i="68" s="1"/>
  <c r="R36" i="68"/>
  <c r="O36" i="68"/>
  <c r="AE36" i="68" s="1"/>
  <c r="K36" i="68"/>
  <c r="M36" i="68" s="1"/>
  <c r="H36" i="68"/>
  <c r="J36" i="68" s="1"/>
  <c r="E36" i="68"/>
  <c r="G36" i="68" s="1"/>
  <c r="B36" i="68"/>
  <c r="AN35" i="68"/>
  <c r="AP35" i="68" s="1"/>
  <c r="AL35" i="68"/>
  <c r="AR35" i="68" s="1"/>
  <c r="AK35" i="68"/>
  <c r="AM35" i="68" s="1"/>
  <c r="AJ35" i="68"/>
  <c r="AB35" i="68"/>
  <c r="X35" i="68"/>
  <c r="Z35" i="68" s="1"/>
  <c r="U35" i="68"/>
  <c r="R35" i="68"/>
  <c r="T35" i="68" s="1"/>
  <c r="O35" i="68"/>
  <c r="AE35" i="68" s="1"/>
  <c r="K35" i="68"/>
  <c r="M35" i="68" s="1"/>
  <c r="H35" i="68"/>
  <c r="J35" i="68" s="1"/>
  <c r="E35" i="68"/>
  <c r="G35" i="68" s="1"/>
  <c r="B35" i="68"/>
  <c r="AN34" i="68"/>
  <c r="AP34" i="68" s="1"/>
  <c r="AL34" i="68"/>
  <c r="AK34" i="68"/>
  <c r="AJ34" i="68"/>
  <c r="AB34" i="68"/>
  <c r="X34" i="68"/>
  <c r="Z34" i="68" s="1"/>
  <c r="U34" i="68"/>
  <c r="W34" i="68" s="1"/>
  <c r="R34" i="68"/>
  <c r="T34" i="68" s="1"/>
  <c r="O34" i="68"/>
  <c r="AE34" i="68" s="1"/>
  <c r="K34" i="68"/>
  <c r="M34" i="68" s="1"/>
  <c r="H34" i="68"/>
  <c r="J34" i="68" s="1"/>
  <c r="E34" i="68"/>
  <c r="G34" i="68" s="1"/>
  <c r="B34" i="68"/>
  <c r="AO33" i="68"/>
  <c r="AO38" i="68" s="1"/>
  <c r="AN33" i="68"/>
  <c r="AL33" i="68"/>
  <c r="AK33" i="68"/>
  <c r="AJ33" i="68"/>
  <c r="AB33" i="68"/>
  <c r="X33" i="68"/>
  <c r="Z33" i="68" s="1"/>
  <c r="U33" i="68"/>
  <c r="R33" i="68"/>
  <c r="T33" i="68" s="1"/>
  <c r="O33" i="68"/>
  <c r="K33" i="68"/>
  <c r="M33" i="68" s="1"/>
  <c r="H33" i="68"/>
  <c r="E33" i="68"/>
  <c r="G33" i="68" s="1"/>
  <c r="B33" i="68"/>
  <c r="AO29" i="68"/>
  <c r="AN29" i="68"/>
  <c r="AL29" i="68"/>
  <c r="AR29" i="68" s="1"/>
  <c r="AK29" i="68"/>
  <c r="AJ29" i="68"/>
  <c r="AB29" i="68"/>
  <c r="X29" i="68"/>
  <c r="Z29" i="68" s="1"/>
  <c r="U29" i="68"/>
  <c r="W29" i="68" s="1"/>
  <c r="R29" i="68"/>
  <c r="O29" i="68"/>
  <c r="K29" i="68"/>
  <c r="M29" i="68" s="1"/>
  <c r="H29" i="68"/>
  <c r="J29" i="68" s="1"/>
  <c r="E29" i="68"/>
  <c r="G29" i="68" s="1"/>
  <c r="B29" i="68"/>
  <c r="AI28" i="68"/>
  <c r="AI30" i="68" s="1"/>
  <c r="AI50" i="68" s="1"/>
  <c r="AH28" i="68"/>
  <c r="AH30" i="68" s="1"/>
  <c r="AH50" i="68" s="1"/>
  <c r="Y28" i="68"/>
  <c r="Y30" i="68" s="1"/>
  <c r="Y50" i="68" s="1"/>
  <c r="V28" i="68"/>
  <c r="V30" i="68" s="1"/>
  <c r="V50" i="68" s="1"/>
  <c r="S28" i="68"/>
  <c r="S30" i="68" s="1"/>
  <c r="S50" i="68" s="1"/>
  <c r="L28" i="68"/>
  <c r="L30" i="68" s="1"/>
  <c r="L50" i="68" s="1"/>
  <c r="I28" i="68"/>
  <c r="I30" i="68" s="1"/>
  <c r="I50" i="68" s="1"/>
  <c r="F28" i="68"/>
  <c r="F30" i="68" s="1"/>
  <c r="F50" i="68" s="1"/>
  <c r="C28" i="68"/>
  <c r="C30" i="68" s="1"/>
  <c r="C50" i="68" s="1"/>
  <c r="AO27" i="68"/>
  <c r="AN27" i="68"/>
  <c r="AL27" i="68"/>
  <c r="AK27" i="68"/>
  <c r="AJ27" i="68"/>
  <c r="AB27" i="68"/>
  <c r="X27" i="68"/>
  <c r="Z27" i="68" s="1"/>
  <c r="U27" i="68"/>
  <c r="W27" i="68" s="1"/>
  <c r="R27" i="68"/>
  <c r="T27" i="68" s="1"/>
  <c r="O27" i="68"/>
  <c r="AE27" i="68" s="1"/>
  <c r="K27" i="68"/>
  <c r="M27" i="68" s="1"/>
  <c r="H27" i="68"/>
  <c r="J27" i="68" s="1"/>
  <c r="E27" i="68"/>
  <c r="G27" i="68" s="1"/>
  <c r="B27" i="68"/>
  <c r="D27" i="68" s="1"/>
  <c r="AO26" i="68"/>
  <c r="AN26" i="68"/>
  <c r="AL26" i="68"/>
  <c r="AK26" i="68"/>
  <c r="AJ26" i="68"/>
  <c r="AB26" i="68"/>
  <c r="X26" i="68"/>
  <c r="Z26" i="68" s="1"/>
  <c r="U26" i="68"/>
  <c r="W26" i="68" s="1"/>
  <c r="R26" i="68"/>
  <c r="O26" i="68"/>
  <c r="K26" i="68"/>
  <c r="M26" i="68" s="1"/>
  <c r="H26" i="68"/>
  <c r="J26" i="68" s="1"/>
  <c r="E26" i="68"/>
  <c r="G26" i="68" s="1"/>
  <c r="B26" i="68"/>
  <c r="D26" i="68" s="1"/>
  <c r="AO25" i="68"/>
  <c r="AN25" i="68"/>
  <c r="AL25" i="68"/>
  <c r="AK25" i="68"/>
  <c r="AJ25" i="68"/>
  <c r="AE25" i="68"/>
  <c r="AB25" i="68"/>
  <c r="X25" i="68"/>
  <c r="Z25" i="68" s="1"/>
  <c r="U25" i="68"/>
  <c r="W25" i="68" s="1"/>
  <c r="R25" i="68"/>
  <c r="T25" i="68" s="1"/>
  <c r="O25" i="68"/>
  <c r="K25" i="68"/>
  <c r="M25" i="68" s="1"/>
  <c r="H25" i="68"/>
  <c r="J25" i="68" s="1"/>
  <c r="E25" i="68"/>
  <c r="G25" i="68" s="1"/>
  <c r="B25" i="68"/>
  <c r="D25" i="68" s="1"/>
  <c r="AO24" i="68"/>
  <c r="AN24" i="68"/>
  <c r="AL24" i="68"/>
  <c r="AK24" i="68"/>
  <c r="AJ24" i="68"/>
  <c r="AB24" i="68"/>
  <c r="X24" i="68"/>
  <c r="Z24" i="68" s="1"/>
  <c r="U24" i="68"/>
  <c r="W24" i="68" s="1"/>
  <c r="R24" i="68"/>
  <c r="O24" i="68"/>
  <c r="K24" i="68"/>
  <c r="M24" i="68" s="1"/>
  <c r="H24" i="68"/>
  <c r="J24" i="68" s="1"/>
  <c r="E24" i="68"/>
  <c r="G24" i="68" s="1"/>
  <c r="B24" i="68"/>
  <c r="AN23" i="68"/>
  <c r="AP23" i="68" s="1"/>
  <c r="AL23" i="68"/>
  <c r="AR23" i="68" s="1"/>
  <c r="AK23" i="68"/>
  <c r="AJ23" i="68"/>
  <c r="AB23" i="68"/>
  <c r="X23" i="68"/>
  <c r="Z23" i="68" s="1"/>
  <c r="U23" i="68"/>
  <c r="W23" i="68" s="1"/>
  <c r="R23" i="68"/>
  <c r="T23" i="68" s="1"/>
  <c r="O23" i="68"/>
  <c r="K23" i="68"/>
  <c r="M23" i="68" s="1"/>
  <c r="H23" i="68"/>
  <c r="J23" i="68" s="1"/>
  <c r="E23" i="68"/>
  <c r="G23" i="68" s="1"/>
  <c r="B23" i="68"/>
  <c r="D23" i="68" s="1"/>
  <c r="AO22" i="68"/>
  <c r="AN22" i="68"/>
  <c r="AL22" i="68"/>
  <c r="AK22" i="68"/>
  <c r="AJ22" i="68"/>
  <c r="AB22" i="68"/>
  <c r="X22" i="68"/>
  <c r="Z22" i="68" s="1"/>
  <c r="U22" i="68"/>
  <c r="W22" i="68" s="1"/>
  <c r="R22" i="68"/>
  <c r="O22" i="68"/>
  <c r="AE22" i="68" s="1"/>
  <c r="K22" i="68"/>
  <c r="M22" i="68" s="1"/>
  <c r="H22" i="68"/>
  <c r="J22" i="68" s="1"/>
  <c r="E22" i="68"/>
  <c r="G22" i="68" s="1"/>
  <c r="B22" i="68"/>
  <c r="AO21" i="68"/>
  <c r="AN21" i="68"/>
  <c r="AL21" i="68"/>
  <c r="AK21" i="68"/>
  <c r="AJ21" i="68"/>
  <c r="AB21" i="68"/>
  <c r="AE21" i="68" s="1"/>
  <c r="X21" i="68"/>
  <c r="Z21" i="68" s="1"/>
  <c r="U21" i="68"/>
  <c r="W21" i="68" s="1"/>
  <c r="R21" i="68"/>
  <c r="T21" i="68" s="1"/>
  <c r="O21" i="68"/>
  <c r="K21" i="68"/>
  <c r="M21" i="68" s="1"/>
  <c r="H21" i="68"/>
  <c r="J21" i="68" s="1"/>
  <c r="E21" i="68"/>
  <c r="G21" i="68" s="1"/>
  <c r="B21" i="68"/>
  <c r="D21" i="68" s="1"/>
  <c r="AN20" i="68"/>
  <c r="AL20" i="68"/>
  <c r="AK20" i="68"/>
  <c r="AJ20" i="68"/>
  <c r="AB20" i="68"/>
  <c r="X20" i="68"/>
  <c r="Z20" i="68" s="1"/>
  <c r="U20" i="68"/>
  <c r="W20" i="68" s="1"/>
  <c r="R20" i="68"/>
  <c r="T20" i="68" s="1"/>
  <c r="O20" i="68"/>
  <c r="AE20" i="68" s="1"/>
  <c r="K20" i="68"/>
  <c r="M20" i="68" s="1"/>
  <c r="H20" i="68"/>
  <c r="J20" i="68" s="1"/>
  <c r="E20" i="68"/>
  <c r="G20" i="68" s="1"/>
  <c r="B20" i="68"/>
  <c r="N20" i="68" s="1"/>
  <c r="AO19" i="68"/>
  <c r="AN19" i="68"/>
  <c r="AL19" i="68"/>
  <c r="AK19" i="68"/>
  <c r="AJ19" i="68"/>
  <c r="AB19" i="68"/>
  <c r="X19" i="68"/>
  <c r="Z19" i="68" s="1"/>
  <c r="U19" i="68"/>
  <c r="W19" i="68" s="1"/>
  <c r="R19" i="68"/>
  <c r="T19" i="68" s="1"/>
  <c r="O19" i="68"/>
  <c r="K19" i="68"/>
  <c r="M19" i="68" s="1"/>
  <c r="H19" i="68"/>
  <c r="J19" i="68" s="1"/>
  <c r="E19" i="68"/>
  <c r="G19" i="68" s="1"/>
  <c r="B19" i="68"/>
  <c r="D19" i="68" s="1"/>
  <c r="AR18" i="68"/>
  <c r="AO18" i="68"/>
  <c r="AN18" i="68"/>
  <c r="AL18" i="68"/>
  <c r="AK18" i="68"/>
  <c r="AJ18" i="68"/>
  <c r="AB18" i="68"/>
  <c r="X18" i="68"/>
  <c r="Z18" i="68" s="1"/>
  <c r="U18" i="68"/>
  <c r="W18" i="68" s="1"/>
  <c r="R18" i="68"/>
  <c r="T18" i="68" s="1"/>
  <c r="O18" i="68"/>
  <c r="K18" i="68"/>
  <c r="M18" i="68" s="1"/>
  <c r="H18" i="68"/>
  <c r="J18" i="68" s="1"/>
  <c r="E18" i="68"/>
  <c r="G18" i="68" s="1"/>
  <c r="B18" i="68"/>
  <c r="D18" i="68" s="1"/>
  <c r="AO17" i="68"/>
  <c r="AN17" i="68"/>
  <c r="AL17" i="68"/>
  <c r="AK17" i="68"/>
  <c r="AJ17" i="68"/>
  <c r="AB17" i="68"/>
  <c r="X17" i="68"/>
  <c r="Z17" i="68" s="1"/>
  <c r="U17" i="68"/>
  <c r="W17" i="68" s="1"/>
  <c r="R17" i="68"/>
  <c r="T17" i="68" s="1"/>
  <c r="O17" i="68"/>
  <c r="AE17" i="68" s="1"/>
  <c r="K17" i="68"/>
  <c r="M17" i="68" s="1"/>
  <c r="H17" i="68"/>
  <c r="J17" i="68" s="1"/>
  <c r="E17" i="68"/>
  <c r="G17" i="68" s="1"/>
  <c r="B17" i="68"/>
  <c r="D17" i="68" s="1"/>
  <c r="AO16" i="68"/>
  <c r="AN16" i="68"/>
  <c r="AL16" i="68"/>
  <c r="AK16" i="68"/>
  <c r="AJ16" i="68"/>
  <c r="AB16" i="68"/>
  <c r="X16" i="68"/>
  <c r="Z16" i="68" s="1"/>
  <c r="U16" i="68"/>
  <c r="W16" i="68" s="1"/>
  <c r="R16" i="68"/>
  <c r="T16" i="68" s="1"/>
  <c r="O16" i="68"/>
  <c r="K16" i="68"/>
  <c r="M16" i="68" s="1"/>
  <c r="H16" i="68"/>
  <c r="J16" i="68" s="1"/>
  <c r="E16" i="68"/>
  <c r="G16" i="68" s="1"/>
  <c r="B16" i="68"/>
  <c r="D16" i="68" s="1"/>
  <c r="AO15" i="68"/>
  <c r="AN15" i="68"/>
  <c r="AL15" i="68"/>
  <c r="AK15" i="68"/>
  <c r="AJ15" i="68"/>
  <c r="AB15" i="68"/>
  <c r="X15" i="68"/>
  <c r="Z15" i="68" s="1"/>
  <c r="U15" i="68"/>
  <c r="W15" i="68" s="1"/>
  <c r="R15" i="68"/>
  <c r="O15" i="68"/>
  <c r="K15" i="68"/>
  <c r="M15" i="68" s="1"/>
  <c r="H15" i="68"/>
  <c r="J15" i="68" s="1"/>
  <c r="E15" i="68"/>
  <c r="G15" i="68" s="1"/>
  <c r="B15" i="68"/>
  <c r="D15" i="68" s="1"/>
  <c r="AO14" i="68"/>
  <c r="AN14" i="68"/>
  <c r="AL14" i="68"/>
  <c r="AK14" i="68"/>
  <c r="AJ14" i="68"/>
  <c r="AB14" i="68"/>
  <c r="X14" i="68"/>
  <c r="Z14" i="68" s="1"/>
  <c r="U14" i="68"/>
  <c r="W14" i="68" s="1"/>
  <c r="R14" i="68"/>
  <c r="T14" i="68" s="1"/>
  <c r="O14" i="68"/>
  <c r="K14" i="68"/>
  <c r="M14" i="68" s="1"/>
  <c r="H14" i="68"/>
  <c r="J14" i="68" s="1"/>
  <c r="E14" i="68"/>
  <c r="G14" i="68" s="1"/>
  <c r="B14" i="68"/>
  <c r="D14" i="68" s="1"/>
  <c r="AN13" i="68"/>
  <c r="AP13" i="68" s="1"/>
  <c r="AL13" i="68"/>
  <c r="AR13" i="68" s="1"/>
  <c r="AK13" i="68"/>
  <c r="AM13" i="68" s="1"/>
  <c r="AJ13" i="68"/>
  <c r="AB13" i="68"/>
  <c r="X13" i="68"/>
  <c r="Z13" i="68" s="1"/>
  <c r="U13" i="68"/>
  <c r="W13" i="68" s="1"/>
  <c r="R13" i="68"/>
  <c r="O13" i="68"/>
  <c r="K13" i="68"/>
  <c r="M13" i="68" s="1"/>
  <c r="H13" i="68"/>
  <c r="J13" i="68" s="1"/>
  <c r="E13" i="68"/>
  <c r="G13" i="68" s="1"/>
  <c r="B13" i="68"/>
  <c r="AN12" i="68"/>
  <c r="AP12" i="68" s="1"/>
  <c r="AL12" i="68"/>
  <c r="AR12" i="68" s="1"/>
  <c r="AK12" i="68"/>
  <c r="AM12" i="68" s="1"/>
  <c r="AJ12" i="68"/>
  <c r="AB12" i="68"/>
  <c r="X12" i="68"/>
  <c r="Z12" i="68" s="1"/>
  <c r="U12" i="68"/>
  <c r="W12" i="68" s="1"/>
  <c r="R12" i="68"/>
  <c r="O12" i="68"/>
  <c r="K12" i="68"/>
  <c r="M12" i="68" s="1"/>
  <c r="H12" i="68"/>
  <c r="J12" i="68" s="1"/>
  <c r="E12" i="68"/>
  <c r="G12" i="68" s="1"/>
  <c r="B12" i="68"/>
  <c r="D12" i="68" s="1"/>
  <c r="AO11" i="68"/>
  <c r="AN11" i="68"/>
  <c r="AL11" i="68"/>
  <c r="AK11" i="68"/>
  <c r="AJ11" i="68"/>
  <c r="AB11" i="68"/>
  <c r="X11" i="68"/>
  <c r="Z11" i="68" s="1"/>
  <c r="U11" i="68"/>
  <c r="W11" i="68" s="1"/>
  <c r="R11" i="68"/>
  <c r="T11" i="68" s="1"/>
  <c r="O11" i="68"/>
  <c r="AE11" i="68" s="1"/>
  <c r="K11" i="68"/>
  <c r="M11" i="68" s="1"/>
  <c r="H11" i="68"/>
  <c r="J11" i="68" s="1"/>
  <c r="E11" i="68"/>
  <c r="G11" i="68" s="1"/>
  <c r="B11" i="68"/>
  <c r="D11" i="68" s="1"/>
  <c r="AN10" i="68"/>
  <c r="AP10" i="68" s="1"/>
  <c r="AL10" i="68"/>
  <c r="AR10" i="68" s="1"/>
  <c r="AK10" i="68"/>
  <c r="AJ10" i="68"/>
  <c r="AB10" i="68"/>
  <c r="X10" i="68"/>
  <c r="Z10" i="68" s="1"/>
  <c r="U10" i="68"/>
  <c r="W10" i="68" s="1"/>
  <c r="R10" i="68"/>
  <c r="O10" i="68"/>
  <c r="K10" i="68"/>
  <c r="H10" i="68"/>
  <c r="E10" i="68"/>
  <c r="G10" i="68" s="1"/>
  <c r="B10" i="68"/>
  <c r="K12" i="65"/>
  <c r="K13" i="65" s="1"/>
  <c r="J10" i="65"/>
  <c r="D19" i="7"/>
  <c r="N7" i="64"/>
  <c r="M7" i="64"/>
  <c r="L7" i="64"/>
  <c r="K7" i="64"/>
  <c r="J8" i="64"/>
  <c r="I8" i="64"/>
  <c r="H8" i="64"/>
  <c r="N7" i="63"/>
  <c r="L7" i="63"/>
  <c r="M7" i="63"/>
  <c r="J7" i="63"/>
  <c r="N8" i="63"/>
  <c r="E48" i="2"/>
  <c r="F48" i="2" s="1"/>
  <c r="F55" i="2" s="1"/>
  <c r="E49" i="2"/>
  <c r="F49" i="2" s="1"/>
  <c r="D115" i="7"/>
  <c r="D31" i="7"/>
  <c r="D29" i="7"/>
  <c r="D99" i="7"/>
  <c r="D98" i="7"/>
  <c r="D10" i="7"/>
  <c r="D9" i="7"/>
  <c r="H11" i="52"/>
  <c r="I11" i="52" s="1"/>
  <c r="D7" i="10"/>
  <c r="D89" i="7"/>
  <c r="J17" i="2"/>
  <c r="J23" i="2" s="1"/>
  <c r="D39" i="6"/>
  <c r="D40" i="6" s="1"/>
  <c r="D49" i="6"/>
  <c r="D19" i="11"/>
  <c r="D33" i="7"/>
  <c r="D24" i="7"/>
  <c r="D13" i="7"/>
  <c r="D18" i="7"/>
  <c r="D128" i="7"/>
  <c r="E9" i="7"/>
  <c r="D7" i="8"/>
  <c r="D106" i="7"/>
  <c r="D109" i="7" s="1"/>
  <c r="D38" i="6"/>
  <c r="D8" i="6"/>
  <c r="D7" i="6"/>
  <c r="D48" i="6"/>
  <c r="D7" i="11"/>
  <c r="L10" i="65"/>
  <c r="D73" i="23"/>
  <c r="H64" i="52"/>
  <c r="E50" i="2"/>
  <c r="F50" i="2" s="1"/>
  <c r="E31" i="14"/>
  <c r="D94" i="11"/>
  <c r="D46" i="23"/>
  <c r="D32" i="9"/>
  <c r="D35" i="9"/>
  <c r="J33" i="2" s="1"/>
  <c r="C96" i="11"/>
  <c r="I35" i="2"/>
  <c r="D23" i="10"/>
  <c r="C23" i="10"/>
  <c r="C35" i="9"/>
  <c r="D40" i="8"/>
  <c r="J32" i="2" s="1"/>
  <c r="C40" i="8"/>
  <c r="J30" i="2"/>
  <c r="C40" i="6"/>
  <c r="F51" i="2"/>
  <c r="F52" i="2"/>
  <c r="F53" i="2"/>
  <c r="F54" i="2"/>
  <c r="K18" i="2"/>
  <c r="K19" i="2"/>
  <c r="K20" i="2"/>
  <c r="K21" i="2"/>
  <c r="K22" i="2"/>
  <c r="J43" i="2"/>
  <c r="J34" i="2"/>
  <c r="D7" i="9"/>
  <c r="E87" i="23"/>
  <c r="D91" i="23"/>
  <c r="E91" i="23"/>
  <c r="H30" i="16"/>
  <c r="D16" i="6"/>
  <c r="D27" i="8"/>
  <c r="D67" i="23"/>
  <c r="E67" i="23" s="1"/>
  <c r="D70" i="11"/>
  <c r="D63" i="11"/>
  <c r="E63" i="11"/>
  <c r="D31" i="6"/>
  <c r="D34" i="23"/>
  <c r="E34" i="23"/>
  <c r="D51" i="11"/>
  <c r="E51" i="11" s="1"/>
  <c r="D96" i="23"/>
  <c r="E96" i="23"/>
  <c r="E18" i="54"/>
  <c r="F18" i="54" s="1"/>
  <c r="I84" i="52"/>
  <c r="H83" i="52"/>
  <c r="D58" i="23"/>
  <c r="E58" i="23" s="1"/>
  <c r="D11" i="23"/>
  <c r="D12" i="23"/>
  <c r="E57" i="23"/>
  <c r="D30" i="54"/>
  <c r="F29" i="54"/>
  <c r="E24" i="9"/>
  <c r="D33" i="14"/>
  <c r="J13" i="2"/>
  <c r="C33" i="14"/>
  <c r="I13" i="2" s="1"/>
  <c r="E32" i="14"/>
  <c r="I44" i="52"/>
  <c r="I45" i="52"/>
  <c r="D8" i="11"/>
  <c r="D106" i="11"/>
  <c r="E7" i="10"/>
  <c r="D6" i="11"/>
  <c r="I9" i="52"/>
  <c r="E111" i="7"/>
  <c r="C117" i="7"/>
  <c r="D113" i="7"/>
  <c r="C113" i="7"/>
  <c r="C109" i="7"/>
  <c r="D105" i="7"/>
  <c r="C105" i="7"/>
  <c r="C101" i="7"/>
  <c r="C127" i="7" s="1"/>
  <c r="E24" i="7"/>
  <c r="I29" i="52"/>
  <c r="E108" i="7"/>
  <c r="E60" i="11"/>
  <c r="E59" i="11"/>
  <c r="E42" i="11"/>
  <c r="E97" i="23"/>
  <c r="K49" i="2"/>
  <c r="K50" i="2"/>
  <c r="K48" i="2"/>
  <c r="E63" i="7"/>
  <c r="E120" i="23"/>
  <c r="K43" i="2"/>
  <c r="E117" i="23"/>
  <c r="E116" i="23"/>
  <c r="E113" i="23"/>
  <c r="E112" i="23"/>
  <c r="E111" i="23"/>
  <c r="E110" i="23"/>
  <c r="E109" i="23"/>
  <c r="E108" i="23"/>
  <c r="E107" i="23"/>
  <c r="E106" i="23"/>
  <c r="E105" i="23"/>
  <c r="E104" i="23"/>
  <c r="E103" i="23"/>
  <c r="E102" i="23"/>
  <c r="E101" i="23"/>
  <c r="E100" i="23"/>
  <c r="E99" i="23"/>
  <c r="E98" i="23"/>
  <c r="E95" i="23"/>
  <c r="E94" i="23"/>
  <c r="E93" i="23"/>
  <c r="E92" i="23"/>
  <c r="E90" i="23"/>
  <c r="E89" i="23"/>
  <c r="E88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2" i="23"/>
  <c r="E71" i="23"/>
  <c r="E70" i="23"/>
  <c r="E68" i="23"/>
  <c r="E66" i="23"/>
  <c r="E65" i="23"/>
  <c r="E64" i="23"/>
  <c r="E63" i="23"/>
  <c r="E61" i="23"/>
  <c r="E60" i="23"/>
  <c r="E56" i="23"/>
  <c r="E55" i="23"/>
  <c r="E54" i="23"/>
  <c r="E53" i="23"/>
  <c r="E52" i="23"/>
  <c r="E51" i="23"/>
  <c r="E50" i="23"/>
  <c r="E46" i="23"/>
  <c r="E44" i="23"/>
  <c r="E43" i="23"/>
  <c r="E42" i="23"/>
  <c r="E41" i="23"/>
  <c r="E40" i="23"/>
  <c r="E39" i="23"/>
  <c r="E38" i="23"/>
  <c r="E37" i="23"/>
  <c r="E36" i="23"/>
  <c r="E35" i="23"/>
  <c r="E32" i="23"/>
  <c r="E31" i="23"/>
  <c r="E30" i="23"/>
  <c r="E29" i="23"/>
  <c r="E28" i="23"/>
  <c r="E24" i="23"/>
  <c r="E23" i="23"/>
  <c r="E22" i="23"/>
  <c r="E21" i="23"/>
  <c r="E18" i="23"/>
  <c r="E17" i="23"/>
  <c r="E14" i="23"/>
  <c r="E11" i="23"/>
  <c r="E10" i="23"/>
  <c r="E9" i="23"/>
  <c r="E8" i="23"/>
  <c r="E7" i="23"/>
  <c r="C15" i="23"/>
  <c r="I38" i="2" s="1"/>
  <c r="C19" i="23"/>
  <c r="I39" i="2" s="1"/>
  <c r="F56" i="54"/>
  <c r="F55" i="54"/>
  <c r="F53" i="54"/>
  <c r="F52" i="54"/>
  <c r="F51" i="54"/>
  <c r="F50" i="54"/>
  <c r="F49" i="54"/>
  <c r="F48" i="54"/>
  <c r="F47" i="54"/>
  <c r="F46" i="54"/>
  <c r="F45" i="54"/>
  <c r="F44" i="54"/>
  <c r="F43" i="54"/>
  <c r="F54" i="54" s="1"/>
  <c r="F57" i="54" s="1"/>
  <c r="F32" i="2" s="1"/>
  <c r="F40" i="54"/>
  <c r="F38" i="54"/>
  <c r="F37" i="54"/>
  <c r="F33" i="54"/>
  <c r="F12" i="54"/>
  <c r="F13" i="54"/>
  <c r="F14" i="54"/>
  <c r="F15" i="54"/>
  <c r="F16" i="54"/>
  <c r="F17" i="54"/>
  <c r="F19" i="54"/>
  <c r="F20" i="54"/>
  <c r="F21" i="54"/>
  <c r="F22" i="54"/>
  <c r="F23" i="54"/>
  <c r="F24" i="54"/>
  <c r="F25" i="54"/>
  <c r="F26" i="54"/>
  <c r="F27" i="54"/>
  <c r="F28" i="54"/>
  <c r="F11" i="54"/>
  <c r="F6" i="54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I30" i="16"/>
  <c r="I29" i="16"/>
  <c r="I28" i="16"/>
  <c r="I27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9" i="16"/>
  <c r="I8" i="16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95" i="11"/>
  <c r="E94" i="11"/>
  <c r="E93" i="11"/>
  <c r="E81" i="11"/>
  <c r="E82" i="11"/>
  <c r="E83" i="11"/>
  <c r="E84" i="11"/>
  <c r="E85" i="11"/>
  <c r="E78" i="11"/>
  <c r="E77" i="11"/>
  <c r="E75" i="11"/>
  <c r="E73" i="11"/>
  <c r="E72" i="11"/>
  <c r="E71" i="11"/>
  <c r="E70" i="11"/>
  <c r="E69" i="11"/>
  <c r="E68" i="11"/>
  <c r="E67" i="11"/>
  <c r="E66" i="11"/>
  <c r="E65" i="11"/>
  <c r="E64" i="11"/>
  <c r="E62" i="11"/>
  <c r="E58" i="11"/>
  <c r="E57" i="11"/>
  <c r="E56" i="11"/>
  <c r="E55" i="11"/>
  <c r="E54" i="11"/>
  <c r="E53" i="11"/>
  <c r="E52" i="11"/>
  <c r="E50" i="11"/>
  <c r="E48" i="11"/>
  <c r="E47" i="11"/>
  <c r="E46" i="11"/>
  <c r="E45" i="11"/>
  <c r="E44" i="11"/>
  <c r="E43" i="11"/>
  <c r="E41" i="11"/>
  <c r="E40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5" i="11"/>
  <c r="E14" i="11"/>
  <c r="E13" i="11"/>
  <c r="E12" i="11"/>
  <c r="E11" i="11"/>
  <c r="E7" i="11"/>
  <c r="E22" i="10"/>
  <c r="E20" i="10"/>
  <c r="E21" i="10"/>
  <c r="E13" i="10"/>
  <c r="E12" i="10"/>
  <c r="E11" i="10"/>
  <c r="E9" i="10"/>
  <c r="E8" i="10"/>
  <c r="E34" i="9"/>
  <c r="E32" i="9"/>
  <c r="E33" i="9"/>
  <c r="E12" i="9"/>
  <c r="E13" i="9"/>
  <c r="E14" i="9"/>
  <c r="E15" i="9"/>
  <c r="E16" i="9"/>
  <c r="E17" i="9"/>
  <c r="E18" i="9"/>
  <c r="E19" i="9"/>
  <c r="E20" i="9"/>
  <c r="E21" i="9"/>
  <c r="E22" i="9"/>
  <c r="E23" i="9"/>
  <c r="E11" i="9"/>
  <c r="E8" i="9"/>
  <c r="E9" i="9"/>
  <c r="E37" i="8"/>
  <c r="E39" i="8"/>
  <c r="E38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15" i="8"/>
  <c r="E12" i="8"/>
  <c r="E8" i="8"/>
  <c r="E9" i="8"/>
  <c r="E7" i="8"/>
  <c r="E99" i="7"/>
  <c r="E100" i="7"/>
  <c r="E103" i="7"/>
  <c r="E104" i="7"/>
  <c r="E102" i="7"/>
  <c r="E106" i="7"/>
  <c r="E107" i="7"/>
  <c r="E114" i="7"/>
  <c r="E116" i="7"/>
  <c r="E110" i="7"/>
  <c r="E112" i="7"/>
  <c r="E98" i="7"/>
  <c r="E60" i="7"/>
  <c r="E88" i="7"/>
  <c r="E89" i="7"/>
  <c r="E90" i="7" s="1"/>
  <c r="E91" i="7" s="1"/>
  <c r="E87" i="7"/>
  <c r="E83" i="7"/>
  <c r="E82" i="7"/>
  <c r="E73" i="7"/>
  <c r="E74" i="7"/>
  <c r="E75" i="7"/>
  <c r="E76" i="7"/>
  <c r="E77" i="7"/>
  <c r="E78" i="7"/>
  <c r="E79" i="7"/>
  <c r="E72" i="7"/>
  <c r="E67" i="7"/>
  <c r="E66" i="7"/>
  <c r="E68" i="7" s="1"/>
  <c r="E69" i="7" s="1"/>
  <c r="E65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41" i="7"/>
  <c r="E56" i="7" s="1"/>
  <c r="E37" i="7"/>
  <c r="E36" i="7"/>
  <c r="E35" i="7"/>
  <c r="E25" i="7"/>
  <c r="E26" i="7"/>
  <c r="E27" i="7"/>
  <c r="E30" i="7"/>
  <c r="E32" i="7"/>
  <c r="E31" i="7"/>
  <c r="E29" i="7"/>
  <c r="E20" i="7"/>
  <c r="E21" i="7"/>
  <c r="E22" i="7"/>
  <c r="E14" i="7"/>
  <c r="E15" i="7"/>
  <c r="E16" i="7"/>
  <c r="E17" i="7"/>
  <c r="E10" i="7"/>
  <c r="E11" i="7"/>
  <c r="E38" i="6"/>
  <c r="E11" i="6"/>
  <c r="E12" i="6"/>
  <c r="E13" i="6"/>
  <c r="E14" i="6"/>
  <c r="E15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10" i="6"/>
  <c r="E32" i="6" s="1"/>
  <c r="E33" i="6" s="1"/>
  <c r="E8" i="6"/>
  <c r="I111" i="52"/>
  <c r="I110" i="52"/>
  <c r="I99" i="52"/>
  <c r="I100" i="52"/>
  <c r="I101" i="52"/>
  <c r="I102" i="52"/>
  <c r="I109" i="52" s="1"/>
  <c r="I103" i="52"/>
  <c r="I104" i="52"/>
  <c r="I105" i="52"/>
  <c r="I106" i="52"/>
  <c r="I107" i="52"/>
  <c r="I108" i="52"/>
  <c r="I98" i="52"/>
  <c r="I95" i="52"/>
  <c r="I96" i="52" s="1"/>
  <c r="F10" i="2" s="1"/>
  <c r="I93" i="52"/>
  <c r="I92" i="52"/>
  <c r="I65" i="52"/>
  <c r="I66" i="52"/>
  <c r="I89" i="52" s="1"/>
  <c r="I67" i="52"/>
  <c r="I68" i="52"/>
  <c r="I69" i="52"/>
  <c r="I70" i="52"/>
  <c r="I71" i="52"/>
  <c r="I72" i="52"/>
  <c r="I73" i="52"/>
  <c r="I74" i="52"/>
  <c r="I75" i="52"/>
  <c r="I76" i="52"/>
  <c r="I78" i="52"/>
  <c r="I79" i="52"/>
  <c r="I80" i="52"/>
  <c r="I81" i="52"/>
  <c r="I82" i="52"/>
  <c r="I83" i="52"/>
  <c r="I86" i="52"/>
  <c r="I88" i="52"/>
  <c r="I64" i="52"/>
  <c r="I60" i="52"/>
  <c r="I59" i="52"/>
  <c r="I58" i="52"/>
  <c r="I56" i="52"/>
  <c r="I55" i="52"/>
  <c r="I61" i="52" s="1"/>
  <c r="F8" i="2" s="1"/>
  <c r="I54" i="52"/>
  <c r="I52" i="52"/>
  <c r="I50" i="52"/>
  <c r="I43" i="52"/>
  <c r="I42" i="52"/>
  <c r="I41" i="52"/>
  <c r="I40" i="52"/>
  <c r="I39" i="52"/>
  <c r="I46" i="52" s="1"/>
  <c r="I38" i="52"/>
  <c r="I33" i="52"/>
  <c r="I34" i="52"/>
  <c r="I30" i="52"/>
  <c r="I28" i="52"/>
  <c r="I18" i="52"/>
  <c r="I19" i="52"/>
  <c r="I20" i="52"/>
  <c r="I21" i="52"/>
  <c r="I22" i="52"/>
  <c r="I23" i="52"/>
  <c r="I24" i="52"/>
  <c r="I25" i="52"/>
  <c r="I17" i="52"/>
  <c r="I15" i="52"/>
  <c r="I13" i="52"/>
  <c r="I14" i="52"/>
  <c r="G10" i="52"/>
  <c r="I8" i="52"/>
  <c r="I35" i="52" s="1"/>
  <c r="I47" i="52" s="1"/>
  <c r="F7" i="2" s="1"/>
  <c r="F7" i="64"/>
  <c r="F9" i="64" s="1"/>
  <c r="F11" i="64" s="1"/>
  <c r="D18" i="64" s="1"/>
  <c r="H9" i="63"/>
  <c r="H11" i="63" s="1"/>
  <c r="C20" i="64"/>
  <c r="M8" i="64"/>
  <c r="L8" i="64"/>
  <c r="K8" i="64"/>
  <c r="E8" i="64"/>
  <c r="E9" i="64" s="1"/>
  <c r="K9" i="64"/>
  <c r="K11" i="64"/>
  <c r="D23" i="64" s="1"/>
  <c r="G9" i="63"/>
  <c r="G11" i="63"/>
  <c r="C19" i="64"/>
  <c r="K9" i="63"/>
  <c r="K11" i="63" s="1"/>
  <c r="C23" i="64"/>
  <c r="G9" i="64"/>
  <c r="G11" i="64"/>
  <c r="D19" i="64" s="1"/>
  <c r="D56" i="7"/>
  <c r="C56" i="7"/>
  <c r="D84" i="7"/>
  <c r="C32" i="6"/>
  <c r="E9" i="54"/>
  <c r="E31" i="54" s="1"/>
  <c r="F9" i="54"/>
  <c r="D9" i="54"/>
  <c r="E7" i="54"/>
  <c r="D7" i="54"/>
  <c r="D31" i="54" s="1"/>
  <c r="H46" i="52"/>
  <c r="H37" i="52"/>
  <c r="I37" i="52"/>
  <c r="G37" i="52"/>
  <c r="H34" i="52"/>
  <c r="G34" i="52"/>
  <c r="H31" i="52"/>
  <c r="H35" i="52" s="1"/>
  <c r="H47" i="52" s="1"/>
  <c r="G31" i="52"/>
  <c r="H26" i="52"/>
  <c r="D34" i="54"/>
  <c r="D30" i="2"/>
  <c r="C16" i="11"/>
  <c r="C68" i="7"/>
  <c r="C69" i="7"/>
  <c r="C84" i="7"/>
  <c r="C12" i="23"/>
  <c r="C114" i="23"/>
  <c r="I41" i="2"/>
  <c r="C119" i="23"/>
  <c r="I42" i="2" s="1"/>
  <c r="D119" i="23"/>
  <c r="J42" i="2"/>
  <c r="C86" i="11"/>
  <c r="C90" i="7"/>
  <c r="C91" i="7" s="1"/>
  <c r="I25" i="16"/>
  <c r="I10" i="16"/>
  <c r="I26" i="16" s="1"/>
  <c r="I31" i="16" s="1"/>
  <c r="K14" i="2" s="1"/>
  <c r="E34" i="54"/>
  <c r="E30" i="2"/>
  <c r="D16" i="11"/>
  <c r="D68" i="7"/>
  <c r="D69" i="7" s="1"/>
  <c r="D92" i="7" s="1"/>
  <c r="H61" i="52"/>
  <c r="E8" i="2"/>
  <c r="D13" i="65"/>
  <c r="F9" i="63"/>
  <c r="F11" i="63"/>
  <c r="C18" i="64" s="1"/>
  <c r="J9" i="63"/>
  <c r="J11" i="63"/>
  <c r="C22" i="64" s="1"/>
  <c r="N9" i="63"/>
  <c r="N11" i="63"/>
  <c r="C9" i="63"/>
  <c r="C11" i="63" s="1"/>
  <c r="C15" i="64" s="1"/>
  <c r="E15" i="64" s="1"/>
  <c r="E16" i="64" s="1"/>
  <c r="E17" i="64" s="1"/>
  <c r="E18" i="64" s="1"/>
  <c r="E19" i="64" s="1"/>
  <c r="E20" i="64" s="1"/>
  <c r="E21" i="64" s="1"/>
  <c r="E22" i="64" s="1"/>
  <c r="E23" i="64" s="1"/>
  <c r="D9" i="63"/>
  <c r="D11" i="63" s="1"/>
  <c r="C16" i="64" s="1"/>
  <c r="E9" i="63"/>
  <c r="E11" i="63"/>
  <c r="C17" i="64" s="1"/>
  <c r="I9" i="63"/>
  <c r="I11" i="63" s="1"/>
  <c r="C21" i="64" s="1"/>
  <c r="L9" i="63"/>
  <c r="L11" i="63" s="1"/>
  <c r="C24" i="64" s="1"/>
  <c r="M9" i="63"/>
  <c r="M11" i="63" s="1"/>
  <c r="C25" i="64" s="1"/>
  <c r="D86" i="11"/>
  <c r="D30" i="8"/>
  <c r="G109" i="52"/>
  <c r="G112" i="52"/>
  <c r="D11" i="2" s="1"/>
  <c r="G89" i="52"/>
  <c r="D9" i="2"/>
  <c r="G61" i="52"/>
  <c r="D8" i="2" s="1"/>
  <c r="G46" i="52"/>
  <c r="G26" i="52"/>
  <c r="G35" i="52" s="1"/>
  <c r="G47" i="52" s="1"/>
  <c r="C48" i="6"/>
  <c r="C50" i="6" s="1"/>
  <c r="C49" i="6"/>
  <c r="C9" i="6"/>
  <c r="C80" i="7"/>
  <c r="C85" i="7"/>
  <c r="C38" i="7"/>
  <c r="C28" i="7"/>
  <c r="C130" i="7" s="1"/>
  <c r="C33" i="7"/>
  <c r="C131" i="7" s="1"/>
  <c r="C23" i="7"/>
  <c r="C129" i="7"/>
  <c r="C18" i="7"/>
  <c r="C12" i="7"/>
  <c r="C30" i="8"/>
  <c r="H9" i="64"/>
  <c r="H11" i="64" s="1"/>
  <c r="D20" i="64"/>
  <c r="C9" i="64"/>
  <c r="C11" i="64"/>
  <c r="D15" i="64" s="1"/>
  <c r="M19" i="65"/>
  <c r="N19" i="65" s="1"/>
  <c r="B10" i="64" s="1"/>
  <c r="P10" i="64" s="1"/>
  <c r="F19" i="65"/>
  <c r="G19" i="65" s="1"/>
  <c r="B10" i="63" s="1"/>
  <c r="P10" i="63" s="1"/>
  <c r="L17" i="65"/>
  <c r="K17" i="65"/>
  <c r="J17" i="65"/>
  <c r="E17" i="65"/>
  <c r="D17" i="65"/>
  <c r="C17" i="65"/>
  <c r="M16" i="65"/>
  <c r="N16" i="65" s="1"/>
  <c r="F16" i="65"/>
  <c r="G16" i="65" s="1"/>
  <c r="M15" i="65"/>
  <c r="N15" i="65" s="1"/>
  <c r="F15" i="65"/>
  <c r="G15" i="65" s="1"/>
  <c r="M14" i="65"/>
  <c r="F14" i="65"/>
  <c r="G14" i="65" s="1"/>
  <c r="L13" i="65"/>
  <c r="J13" i="65"/>
  <c r="E13" i="65"/>
  <c r="C13" i="65"/>
  <c r="C18" i="65"/>
  <c r="C20" i="65" s="1"/>
  <c r="F12" i="65"/>
  <c r="G12" i="65" s="1"/>
  <c r="M11" i="65"/>
  <c r="N11" i="65" s="1"/>
  <c r="F11" i="65"/>
  <c r="G11" i="65"/>
  <c r="F10" i="65"/>
  <c r="G10" i="65" s="1"/>
  <c r="M9" i="65"/>
  <c r="M13" i="65" s="1"/>
  <c r="N9" i="65"/>
  <c r="F9" i="65"/>
  <c r="G9" i="65" s="1"/>
  <c r="M8" i="65"/>
  <c r="N8" i="65"/>
  <c r="N9" i="64"/>
  <c r="N11" i="64" s="1"/>
  <c r="D26" i="64" s="1"/>
  <c r="M9" i="64"/>
  <c r="M11" i="64" s="1"/>
  <c r="D25" i="64" s="1"/>
  <c r="J9" i="64"/>
  <c r="J11" i="64" s="1"/>
  <c r="D22" i="64"/>
  <c r="I9" i="64"/>
  <c r="I11" i="64"/>
  <c r="D21" i="64" s="1"/>
  <c r="D9" i="64"/>
  <c r="D11" i="64"/>
  <c r="D16" i="64" s="1"/>
  <c r="E11" i="64"/>
  <c r="D17" i="64" s="1"/>
  <c r="I23" i="2"/>
  <c r="D55" i="2"/>
  <c r="I55" i="2"/>
  <c r="I43" i="2"/>
  <c r="C10" i="10"/>
  <c r="C15" i="10" s="1"/>
  <c r="C14" i="10"/>
  <c r="C25" i="23"/>
  <c r="D54" i="54"/>
  <c r="D57" i="54"/>
  <c r="D32" i="2" s="1"/>
  <c r="D41" i="54"/>
  <c r="D31" i="2" s="1"/>
  <c r="C30" i="17"/>
  <c r="I15" i="2"/>
  <c r="G10" i="16"/>
  <c r="G25" i="16"/>
  <c r="C104" i="11"/>
  <c r="C105" i="11"/>
  <c r="C106" i="11"/>
  <c r="C9" i="11"/>
  <c r="C79" i="11"/>
  <c r="C87" i="11" s="1"/>
  <c r="I34" i="2"/>
  <c r="C10" i="9"/>
  <c r="C25" i="9"/>
  <c r="C10" i="8"/>
  <c r="C51" i="8" s="1"/>
  <c r="I32" i="2"/>
  <c r="C13" i="8"/>
  <c r="G96" i="52"/>
  <c r="D10" i="2" s="1"/>
  <c r="D80" i="7"/>
  <c r="D28" i="7"/>
  <c r="D38" i="7"/>
  <c r="D10" i="8"/>
  <c r="J55" i="2"/>
  <c r="E41" i="54"/>
  <c r="E31" i="2" s="1"/>
  <c r="E54" i="54"/>
  <c r="E57" i="54" s="1"/>
  <c r="E32" i="2" s="1"/>
  <c r="D15" i="23"/>
  <c r="J38" i="2"/>
  <c r="D19" i="23"/>
  <c r="J39" i="2"/>
  <c r="D13" i="8"/>
  <c r="D31" i="8"/>
  <c r="D32" i="8" s="1"/>
  <c r="D25" i="9"/>
  <c r="D14" i="10"/>
  <c r="H10" i="16"/>
  <c r="H25" i="16"/>
  <c r="H26" i="16" s="1"/>
  <c r="D30" i="17"/>
  <c r="J15" i="2"/>
  <c r="H89" i="52"/>
  <c r="E9" i="2"/>
  <c r="H96" i="52"/>
  <c r="E10" i="2"/>
  <c r="H109" i="52"/>
  <c r="H112" i="52"/>
  <c r="I30" i="2"/>
  <c r="D25" i="23"/>
  <c r="F8" i="65"/>
  <c r="G8" i="65" s="1"/>
  <c r="F7" i="54"/>
  <c r="G26" i="16"/>
  <c r="G31" i="16" s="1"/>
  <c r="I14" i="2"/>
  <c r="I10" i="52"/>
  <c r="D10" i="10"/>
  <c r="D15" i="10" s="1"/>
  <c r="J11" i="2" s="1"/>
  <c r="I11" i="2"/>
  <c r="C45" i="9"/>
  <c r="D85" i="7"/>
  <c r="D23" i="7"/>
  <c r="E38" i="7"/>
  <c r="E33" i="7"/>
  <c r="K17" i="2"/>
  <c r="M12" i="65"/>
  <c r="N12" i="65" s="1"/>
  <c r="E18" i="65"/>
  <c r="E20" i="65" s="1"/>
  <c r="M10" i="65"/>
  <c r="I37" i="2"/>
  <c r="C121" i="23"/>
  <c r="J37" i="2"/>
  <c r="E30" i="54"/>
  <c r="F34" i="54"/>
  <c r="F30" i="2" s="1"/>
  <c r="F41" i="54"/>
  <c r="F31" i="2" s="1"/>
  <c r="E33" i="14"/>
  <c r="K13" i="2"/>
  <c r="E8" i="11"/>
  <c r="E106" i="11"/>
  <c r="D104" i="11"/>
  <c r="E6" i="11"/>
  <c r="E104" i="11"/>
  <c r="E96" i="11"/>
  <c r="K35" i="2" s="1"/>
  <c r="E79" i="11"/>
  <c r="E9" i="11"/>
  <c r="D79" i="11"/>
  <c r="D105" i="11"/>
  <c r="E25" i="9"/>
  <c r="D10" i="9"/>
  <c r="D26" i="9" s="1"/>
  <c r="E7" i="9"/>
  <c r="E10" i="9"/>
  <c r="I33" i="2"/>
  <c r="C26" i="9"/>
  <c r="C92" i="7"/>
  <c r="C128" i="7"/>
  <c r="E113" i="7"/>
  <c r="C118" i="7"/>
  <c r="I31" i="2" s="1"/>
  <c r="E13" i="7"/>
  <c r="D12" i="7"/>
  <c r="D34" i="7" s="1"/>
  <c r="D39" i="7" s="1"/>
  <c r="E109" i="7"/>
  <c r="E105" i="7"/>
  <c r="D50" i="6"/>
  <c r="C33" i="6"/>
  <c r="I7" i="2"/>
  <c r="E16" i="6"/>
  <c r="D9" i="6"/>
  <c r="E39" i="6"/>
  <c r="E7" i="6"/>
  <c r="E48" i="6" s="1"/>
  <c r="I31" i="52"/>
  <c r="I26" i="52"/>
  <c r="D90" i="7"/>
  <c r="D91" i="7"/>
  <c r="D130" i="7"/>
  <c r="D32" i="10"/>
  <c r="E119" i="23"/>
  <c r="K42" i="2" s="1"/>
  <c r="I40" i="2"/>
  <c r="E19" i="23"/>
  <c r="K39" i="2"/>
  <c r="E15" i="23"/>
  <c r="K38" i="2"/>
  <c r="E25" i="23"/>
  <c r="K40" i="2" s="1"/>
  <c r="D129" i="7"/>
  <c r="E11" i="2"/>
  <c r="D9" i="11"/>
  <c r="E105" i="11"/>
  <c r="I10" i="2"/>
  <c r="C37" i="9"/>
  <c r="E26" i="9"/>
  <c r="D45" i="9"/>
  <c r="E18" i="7"/>
  <c r="E9" i="6"/>
  <c r="K10" i="2"/>
  <c r="E128" i="7"/>
  <c r="D25" i="10"/>
  <c r="N14" i="65"/>
  <c r="J18" i="65"/>
  <c r="J20" i="65" s="1"/>
  <c r="C26" i="64"/>
  <c r="G11" i="69" l="1"/>
  <c r="AE36" i="69"/>
  <c r="AP27" i="68"/>
  <c r="J14" i="69"/>
  <c r="AE24" i="69"/>
  <c r="AE25" i="69"/>
  <c r="AH25" i="69" s="1"/>
  <c r="AA40" i="69"/>
  <c r="AA41" i="69" s="1"/>
  <c r="AQ27" i="68"/>
  <c r="AQ53" i="68"/>
  <c r="O48" i="69"/>
  <c r="J53" i="69"/>
  <c r="K23" i="2"/>
  <c r="E55" i="2"/>
  <c r="K18" i="65"/>
  <c r="K20" i="65" s="1"/>
  <c r="G13" i="65"/>
  <c r="N17" i="65"/>
  <c r="B8" i="64" s="1"/>
  <c r="P8" i="64" s="1"/>
  <c r="G17" i="65"/>
  <c r="B8" i="63" s="1"/>
  <c r="P8" i="63" s="1"/>
  <c r="L18" i="65"/>
  <c r="L20" i="65" s="1"/>
  <c r="AC18" i="68"/>
  <c r="AS35" i="68"/>
  <c r="G22" i="69"/>
  <c r="X25" i="69"/>
  <c r="AG25" i="69" s="1"/>
  <c r="D27" i="69"/>
  <c r="R35" i="69"/>
  <c r="X36" i="69"/>
  <c r="V44" i="69"/>
  <c r="D47" i="69"/>
  <c r="N36" i="70"/>
  <c r="N24" i="68"/>
  <c r="T13" i="69"/>
  <c r="AE26" i="69"/>
  <c r="Q46" i="69"/>
  <c r="Q48" i="69" s="1"/>
  <c r="AD48" i="69"/>
  <c r="O37" i="70"/>
  <c r="O48" i="70" s="1"/>
  <c r="O50" i="70" s="1"/>
  <c r="O54" i="70" s="1"/>
  <c r="N33" i="70"/>
  <c r="I47" i="70"/>
  <c r="C37" i="70"/>
  <c r="G48" i="70"/>
  <c r="G50" i="70" s="1"/>
  <c r="G54" i="70" s="1"/>
  <c r="N34" i="70"/>
  <c r="F42" i="70"/>
  <c r="F43" i="70" s="1"/>
  <c r="B47" i="70"/>
  <c r="AP17" i="68"/>
  <c r="P27" i="68"/>
  <c r="U44" i="68"/>
  <c r="AS13" i="68"/>
  <c r="AA15" i="68"/>
  <c r="AA24" i="68"/>
  <c r="AC34" i="68"/>
  <c r="AC11" i="68"/>
  <c r="AF11" i="68" s="1"/>
  <c r="AP11" i="68"/>
  <c r="AR14" i="68"/>
  <c r="AU14" i="68" s="1"/>
  <c r="AL14" i="69" s="1"/>
  <c r="AM20" i="68"/>
  <c r="AP26" i="68"/>
  <c r="AP37" i="68"/>
  <c r="X48" i="68"/>
  <c r="AC14" i="68"/>
  <c r="AU23" i="68"/>
  <c r="V49" i="68"/>
  <c r="V51" i="68" s="1"/>
  <c r="V54" i="68" s="1"/>
  <c r="B48" i="68"/>
  <c r="AA19" i="68"/>
  <c r="AA22" i="68"/>
  <c r="AR22" i="68"/>
  <c r="P26" i="68"/>
  <c r="S49" i="68"/>
  <c r="AK41" i="68"/>
  <c r="M43" i="68"/>
  <c r="M44" i="68" s="1"/>
  <c r="AE44" i="68"/>
  <c r="T15" i="68"/>
  <c r="AC15" i="68" s="1"/>
  <c r="D24" i="68"/>
  <c r="P24" i="68" s="1"/>
  <c r="AB38" i="68"/>
  <c r="P11" i="68"/>
  <c r="N16" i="68"/>
  <c r="D20" i="68"/>
  <c r="P20" i="68" s="1"/>
  <c r="K41" i="68"/>
  <c r="Z46" i="68"/>
  <c r="Z48" i="68" s="1"/>
  <c r="AA47" i="68"/>
  <c r="G18" i="65"/>
  <c r="B7" i="63"/>
  <c r="I36" i="2"/>
  <c r="H31" i="16"/>
  <c r="J9" i="2"/>
  <c r="D42" i="8"/>
  <c r="C88" i="11"/>
  <c r="D57" i="7"/>
  <c r="D93" i="7" s="1"/>
  <c r="J8" i="2" s="1"/>
  <c r="K7" i="2"/>
  <c r="D29" i="2"/>
  <c r="D45" i="2" s="1"/>
  <c r="D58" i="54"/>
  <c r="E29" i="2"/>
  <c r="E45" i="2" s="1"/>
  <c r="E58" i="54"/>
  <c r="F9" i="2"/>
  <c r="I112" i="52"/>
  <c r="F11" i="2" s="1"/>
  <c r="F24" i="2" s="1"/>
  <c r="G113" i="52"/>
  <c r="D7" i="2"/>
  <c r="D24" i="2" s="1"/>
  <c r="J10" i="2"/>
  <c r="D37" i="9"/>
  <c r="E45" i="9"/>
  <c r="D121" i="23"/>
  <c r="C27" i="64"/>
  <c r="E7" i="2"/>
  <c r="E24" i="2" s="1"/>
  <c r="H113" i="52"/>
  <c r="D127" i="7"/>
  <c r="E40" i="6"/>
  <c r="E84" i="7"/>
  <c r="E13" i="8"/>
  <c r="E31" i="8" s="1"/>
  <c r="AM16" i="68"/>
  <c r="AR16" i="68"/>
  <c r="AU16" i="68" s="1"/>
  <c r="AL16" i="69" s="1"/>
  <c r="AU35" i="68"/>
  <c r="G43" i="68"/>
  <c r="G44" i="68" s="1"/>
  <c r="E44" i="68"/>
  <c r="AH49" i="68"/>
  <c r="AH51" i="68" s="1"/>
  <c r="AH54" i="68" s="1"/>
  <c r="K48" i="68"/>
  <c r="M46" i="68"/>
  <c r="M48" i="68" s="1"/>
  <c r="AE27" i="69"/>
  <c r="AH27" i="69" s="1"/>
  <c r="X27" i="69"/>
  <c r="AG27" i="69" s="1"/>
  <c r="L9" i="70"/>
  <c r="L27" i="70" s="1"/>
  <c r="H27" i="70"/>
  <c r="H29" i="70" s="1"/>
  <c r="H49" i="70" s="1"/>
  <c r="B37" i="70"/>
  <c r="F32" i="70"/>
  <c r="N32" i="70" s="1"/>
  <c r="E101" i="7"/>
  <c r="E12" i="23"/>
  <c r="E28" i="7"/>
  <c r="E80" i="7"/>
  <c r="E12" i="7"/>
  <c r="D87" i="11"/>
  <c r="D88" i="11" s="1"/>
  <c r="E86" i="11"/>
  <c r="E30" i="17"/>
  <c r="K15" i="2" s="1"/>
  <c r="E10" i="8"/>
  <c r="C32" i="10"/>
  <c r="C25" i="10"/>
  <c r="J40" i="2"/>
  <c r="D51" i="8"/>
  <c r="C31" i="8"/>
  <c r="K55" i="2"/>
  <c r="D101" i="7"/>
  <c r="D117" i="7"/>
  <c r="E115" i="7"/>
  <c r="L9" i="64"/>
  <c r="L11" i="64" s="1"/>
  <c r="D24" i="64" s="1"/>
  <c r="D27" i="64" s="1"/>
  <c r="N10" i="65"/>
  <c r="N13" i="65" s="1"/>
  <c r="AU13" i="68"/>
  <c r="AL13" i="69" s="1"/>
  <c r="AQ29" i="68"/>
  <c r="AM29" i="68"/>
  <c r="E40" i="8"/>
  <c r="F30" i="54"/>
  <c r="F31" i="54" s="1"/>
  <c r="F29" i="2" s="1"/>
  <c r="F45" i="2" s="1"/>
  <c r="E10" i="10"/>
  <c r="N35" i="68"/>
  <c r="D35" i="68"/>
  <c r="P35" i="68" s="1"/>
  <c r="Z38" i="68"/>
  <c r="Z49" i="68" s="1"/>
  <c r="J40" i="68"/>
  <c r="J41" i="68" s="1"/>
  <c r="H41" i="68"/>
  <c r="D23" i="69"/>
  <c r="T23" i="69" s="1"/>
  <c r="AJ23" i="69" s="1"/>
  <c r="R23" i="69"/>
  <c r="F13" i="65"/>
  <c r="M17" i="65"/>
  <c r="M18" i="65" s="1"/>
  <c r="M20" i="65" s="1"/>
  <c r="I44" i="2"/>
  <c r="E49" i="6"/>
  <c r="E50" i="6" s="1"/>
  <c r="E114" i="23"/>
  <c r="K41" i="2" s="1"/>
  <c r="C42" i="6"/>
  <c r="C34" i="7"/>
  <c r="E16" i="11"/>
  <c r="E87" i="11" s="1"/>
  <c r="E88" i="11" s="1"/>
  <c r="D114" i="23"/>
  <c r="E30" i="8"/>
  <c r="F17" i="65"/>
  <c r="D18" i="65"/>
  <c r="D20" i="65" s="1"/>
  <c r="G20" i="65" s="1"/>
  <c r="E35" i="9"/>
  <c r="K33" i="2" s="1"/>
  <c r="E14" i="10"/>
  <c r="E23" i="10"/>
  <c r="D96" i="11"/>
  <c r="AA29" i="68"/>
  <c r="T29" i="68"/>
  <c r="AC29" i="68" s="1"/>
  <c r="H38" i="68"/>
  <c r="AJ38" i="68"/>
  <c r="AO49" i="68"/>
  <c r="AA47" i="69"/>
  <c r="AA48" i="69" s="1"/>
  <c r="Y48" i="69"/>
  <c r="E19" i="7"/>
  <c r="E23" i="7" s="1"/>
  <c r="E129" i="7" s="1"/>
  <c r="AA10" i="68"/>
  <c r="AM14" i="68"/>
  <c r="AU22" i="68"/>
  <c r="AL22" i="69" s="1"/>
  <c r="P25" i="68"/>
  <c r="N36" i="68"/>
  <c r="D36" i="68"/>
  <c r="P36" i="68" s="1"/>
  <c r="AQ37" i="68"/>
  <c r="AL48" i="68"/>
  <c r="AR46" i="68"/>
  <c r="AR48" i="68" s="1"/>
  <c r="W49" i="69"/>
  <c r="AF33" i="69"/>
  <c r="AF38" i="69" s="1"/>
  <c r="AF49" i="69" s="1"/>
  <c r="AF51" i="69" s="1"/>
  <c r="AF54" i="69" s="1"/>
  <c r="AF57" i="69" s="1"/>
  <c r="Q34" i="69"/>
  <c r="R34" i="69"/>
  <c r="AA52" i="69"/>
  <c r="AG52" i="69" s="1"/>
  <c r="AE52" i="69"/>
  <c r="E73" i="23"/>
  <c r="P12" i="68"/>
  <c r="AA13" i="68"/>
  <c r="T13" i="68"/>
  <c r="AC13" i="68" s="1"/>
  <c r="AM18" i="68"/>
  <c r="AC25" i="68"/>
  <c r="AP25" i="68"/>
  <c r="B38" i="68"/>
  <c r="N34" i="68"/>
  <c r="D34" i="68"/>
  <c r="P34" i="68" s="1"/>
  <c r="AA40" i="68"/>
  <c r="AA41" i="68" s="1"/>
  <c r="R44" i="68"/>
  <c r="T43" i="68"/>
  <c r="T44" i="68" s="1"/>
  <c r="AA53" i="68"/>
  <c r="T53" i="68"/>
  <c r="AC53" i="68" s="1"/>
  <c r="AI23" i="69"/>
  <c r="R25" i="69"/>
  <c r="D25" i="69"/>
  <c r="AF43" i="69"/>
  <c r="AF44" i="69" s="1"/>
  <c r="Z44" i="69"/>
  <c r="Z49" i="69" s="1"/>
  <c r="Z51" i="69" s="1"/>
  <c r="Z54" i="69" s="1"/>
  <c r="Z57" i="69" s="1"/>
  <c r="I37" i="70"/>
  <c r="K48" i="70"/>
  <c r="K50" i="70" s="1"/>
  <c r="K54" i="70" s="1"/>
  <c r="H40" i="70"/>
  <c r="L39" i="70"/>
  <c r="L40" i="70" s="1"/>
  <c r="AQ11" i="68"/>
  <c r="AQ12" i="68"/>
  <c r="AE15" i="68"/>
  <c r="AE19" i="68"/>
  <c r="AR24" i="68"/>
  <c r="AQ25" i="68"/>
  <c r="AK44" i="68"/>
  <c r="AQ43" i="68"/>
  <c r="AQ44" i="68" s="1"/>
  <c r="AJ48" i="68"/>
  <c r="O48" i="68"/>
  <c r="AE48" i="68" s="1"/>
  <c r="AR53" i="68"/>
  <c r="AU53" i="68" s="1"/>
  <c r="AL53" i="69" s="1"/>
  <c r="AM53" i="68"/>
  <c r="AI18" i="69"/>
  <c r="AG23" i="69"/>
  <c r="S25" i="69"/>
  <c r="AI25" i="69" s="1"/>
  <c r="H38" i="69"/>
  <c r="M49" i="69"/>
  <c r="M51" i="69" s="1"/>
  <c r="M54" i="69" s="1"/>
  <c r="M57" i="69" s="1"/>
  <c r="C47" i="70"/>
  <c r="N51" i="70"/>
  <c r="N53" i="70"/>
  <c r="D32" i="6"/>
  <c r="N12" i="68"/>
  <c r="AS12" i="68"/>
  <c r="D13" i="68"/>
  <c r="P13" i="68" s="1"/>
  <c r="N13" i="68"/>
  <c r="AR15" i="68"/>
  <c r="AU15" i="68" s="1"/>
  <c r="AL15" i="69" s="1"/>
  <c r="AA17" i="68"/>
  <c r="AR17" i="68"/>
  <c r="AU17" i="68" s="1"/>
  <c r="P18" i="68"/>
  <c r="AF18" i="68" s="1"/>
  <c r="AR19" i="68"/>
  <c r="AE23" i="68"/>
  <c r="AP24" i="68"/>
  <c r="N26" i="68"/>
  <c r="AP33" i="68"/>
  <c r="AC52" i="68"/>
  <c r="AQ52" i="68"/>
  <c r="S15" i="69"/>
  <c r="AI15" i="69" s="1"/>
  <c r="AD15" i="69"/>
  <c r="AG15" i="69" s="1"/>
  <c r="AE15" i="69"/>
  <c r="AE17" i="69"/>
  <c r="AA17" i="69"/>
  <c r="AF24" i="69"/>
  <c r="X24" i="69"/>
  <c r="AG24" i="69" s="1"/>
  <c r="N40" i="69"/>
  <c r="N41" i="69" s="1"/>
  <c r="L41" i="69"/>
  <c r="B44" i="69"/>
  <c r="D43" i="69"/>
  <c r="D44" i="69" s="1"/>
  <c r="C27" i="70"/>
  <c r="C29" i="70" s="1"/>
  <c r="C49" i="70" s="1"/>
  <c r="O27" i="70"/>
  <c r="O29" i="70" s="1"/>
  <c r="O49" i="70" s="1"/>
  <c r="D48" i="70"/>
  <c r="D50" i="70" s="1"/>
  <c r="D54" i="70" s="1"/>
  <c r="N14" i="68"/>
  <c r="AB28" i="68"/>
  <c r="AB30" i="68" s="1"/>
  <c r="AB50" i="68" s="1"/>
  <c r="AP15" i="68"/>
  <c r="AC16" i="68"/>
  <c r="N18" i="68"/>
  <c r="AP19" i="68"/>
  <c r="AC20" i="68"/>
  <c r="AP21" i="68"/>
  <c r="AR26" i="68"/>
  <c r="AU26" i="68" s="1"/>
  <c r="AL26" i="69" s="1"/>
  <c r="AP36" i="68"/>
  <c r="F49" i="68"/>
  <c r="F51" i="68" s="1"/>
  <c r="F54" i="68" s="1"/>
  <c r="AI49" i="68"/>
  <c r="AI51" i="68" s="1"/>
  <c r="AI54" i="68" s="1"/>
  <c r="D48" i="68"/>
  <c r="AM46" i="68"/>
  <c r="AS46" i="68" s="1"/>
  <c r="AB48" i="68"/>
  <c r="H48" i="68"/>
  <c r="N52" i="68"/>
  <c r="S11" i="69"/>
  <c r="AI11" i="69" s="1"/>
  <c r="S13" i="69"/>
  <c r="AI13" i="69" s="1"/>
  <c r="G14" i="69"/>
  <c r="G15" i="69"/>
  <c r="T15" i="69" s="1"/>
  <c r="J19" i="69"/>
  <c r="S21" i="69"/>
  <c r="AI21" i="69" s="1"/>
  <c r="AE23" i="69"/>
  <c r="S24" i="69"/>
  <c r="R26" i="69"/>
  <c r="X26" i="69"/>
  <c r="AG26" i="69" s="1"/>
  <c r="Z30" i="69"/>
  <c r="Z50" i="69" s="1"/>
  <c r="AF29" i="69"/>
  <c r="AI29" i="69" s="1"/>
  <c r="V38" i="69"/>
  <c r="AE34" i="69"/>
  <c r="G35" i="69"/>
  <c r="R36" i="69"/>
  <c r="D36" i="69"/>
  <c r="AC49" i="69"/>
  <c r="AC51" i="69" s="1"/>
  <c r="AC54" i="69" s="1"/>
  <c r="AC57" i="69" s="1"/>
  <c r="H41" i="69"/>
  <c r="J40" i="69"/>
  <c r="J41" i="69" s="1"/>
  <c r="B48" i="69"/>
  <c r="R46" i="69"/>
  <c r="D46" i="69"/>
  <c r="AE46" i="69"/>
  <c r="G52" i="69"/>
  <c r="F27" i="70"/>
  <c r="F29" i="70" s="1"/>
  <c r="F49" i="70" s="1"/>
  <c r="H37" i="70"/>
  <c r="H48" i="70" s="1"/>
  <c r="M48" i="70"/>
  <c r="L49" i="68"/>
  <c r="L51" i="68" s="1"/>
  <c r="L54" i="68" s="1"/>
  <c r="Y49" i="68"/>
  <c r="Y51" i="68" s="1"/>
  <c r="Y54" i="68" s="1"/>
  <c r="J48" i="68"/>
  <c r="AM47" i="68"/>
  <c r="AA52" i="68"/>
  <c r="D15" i="69"/>
  <c r="G17" i="69"/>
  <c r="T17" i="69" s="1"/>
  <c r="S17" i="69"/>
  <c r="J20" i="69"/>
  <c r="G21" i="69"/>
  <c r="G23" i="69"/>
  <c r="R24" i="69"/>
  <c r="AI26" i="69"/>
  <c r="X37" i="69"/>
  <c r="G46" i="69"/>
  <c r="G48" i="69" s="1"/>
  <c r="I27" i="70"/>
  <c r="I29" i="70" s="1"/>
  <c r="I49" i="70" s="1"/>
  <c r="L28" i="70"/>
  <c r="N28" i="70" s="1"/>
  <c r="AM52" i="68"/>
  <c r="AS52" i="68" s="1"/>
  <c r="P53" i="68"/>
  <c r="AF53" i="68" s="1"/>
  <c r="N53" i="68"/>
  <c r="AP53" i="68"/>
  <c r="G12" i="69"/>
  <c r="AG13" i="69"/>
  <c r="J16" i="69"/>
  <c r="X18" i="69"/>
  <c r="AG18" i="69" s="1"/>
  <c r="S20" i="69"/>
  <c r="AI20" i="69" s="1"/>
  <c r="AA29" i="69"/>
  <c r="AG29" i="69" s="1"/>
  <c r="D35" i="69"/>
  <c r="I38" i="69"/>
  <c r="S36" i="69"/>
  <c r="AI36" i="69" s="1"/>
  <c r="R37" i="69"/>
  <c r="AH37" i="69" s="1"/>
  <c r="B27" i="70"/>
  <c r="B29" i="70" s="1"/>
  <c r="B49" i="70" s="1"/>
  <c r="L37" i="70"/>
  <c r="E48" i="70"/>
  <c r="E50" i="70" s="1"/>
  <c r="E54" i="70" s="1"/>
  <c r="J48" i="70"/>
  <c r="J50" i="70" s="1"/>
  <c r="J54" i="70" s="1"/>
  <c r="H47" i="70"/>
  <c r="N46" i="70"/>
  <c r="N11" i="70"/>
  <c r="N13" i="70"/>
  <c r="N15" i="70"/>
  <c r="N17" i="70"/>
  <c r="N19" i="70"/>
  <c r="N21" i="70"/>
  <c r="N23" i="70"/>
  <c r="N25" i="70"/>
  <c r="M50" i="70"/>
  <c r="M54" i="70" s="1"/>
  <c r="F40" i="70"/>
  <c r="N10" i="70"/>
  <c r="N12" i="70"/>
  <c r="N14" i="70"/>
  <c r="N16" i="70"/>
  <c r="N18" i="70"/>
  <c r="N20" i="70"/>
  <c r="N22" i="70"/>
  <c r="N24" i="70"/>
  <c r="N26" i="70"/>
  <c r="B40" i="70"/>
  <c r="F45" i="70"/>
  <c r="AR11" i="68"/>
  <c r="AM11" i="68"/>
  <c r="AS11" i="68" s="1"/>
  <c r="AV11" i="68" s="1"/>
  <c r="AP20" i="68"/>
  <c r="AQ20" i="68"/>
  <c r="AU24" i="68"/>
  <c r="AE24" i="68"/>
  <c r="AR25" i="68"/>
  <c r="AU25" i="68" s="1"/>
  <c r="AL25" i="69" s="1"/>
  <c r="AM25" i="68"/>
  <c r="AS25" i="68" s="1"/>
  <c r="AM34" i="68"/>
  <c r="AS34" i="68" s="1"/>
  <c r="AR34" i="68"/>
  <c r="AU34" i="68" s="1"/>
  <c r="W35" i="68"/>
  <c r="AC35" i="68" s="1"/>
  <c r="AA35" i="68"/>
  <c r="K28" i="68"/>
  <c r="K30" i="68" s="1"/>
  <c r="K50" i="68" s="1"/>
  <c r="M10" i="68"/>
  <c r="M28" i="68" s="1"/>
  <c r="M30" i="68" s="1"/>
  <c r="M50" i="68" s="1"/>
  <c r="AQ14" i="68"/>
  <c r="AP14" i="68"/>
  <c r="P15" i="68"/>
  <c r="AQ21" i="68"/>
  <c r="AM21" i="68"/>
  <c r="P23" i="68"/>
  <c r="AQ26" i="68"/>
  <c r="AM26" i="68"/>
  <c r="AR37" i="68"/>
  <c r="AU37" i="68" s="1"/>
  <c r="AL37" i="69" s="1"/>
  <c r="AM37" i="68"/>
  <c r="I49" i="68"/>
  <c r="I51" i="68" s="1"/>
  <c r="I54" i="68" s="1"/>
  <c r="R41" i="68"/>
  <c r="T40" i="68"/>
  <c r="E48" i="68"/>
  <c r="N46" i="68"/>
  <c r="G46" i="68"/>
  <c r="G48" i="68" s="1"/>
  <c r="D10" i="68"/>
  <c r="B28" i="68"/>
  <c r="B30" i="68" s="1"/>
  <c r="B50" i="68" s="1"/>
  <c r="N10" i="68"/>
  <c r="W28" i="68"/>
  <c r="W30" i="68" s="1"/>
  <c r="W50" i="68" s="1"/>
  <c r="AJ28" i="68"/>
  <c r="AJ30" i="68" s="1"/>
  <c r="AJ50" i="68" s="1"/>
  <c r="AU12" i="68"/>
  <c r="O28" i="68"/>
  <c r="AE12" i="68"/>
  <c r="P14" i="68"/>
  <c r="AQ16" i="68"/>
  <c r="AP16" i="68"/>
  <c r="P17" i="68"/>
  <c r="AC17" i="68"/>
  <c r="D22" i="68"/>
  <c r="P22" i="68" s="1"/>
  <c r="N22" i="68"/>
  <c r="AE26" i="68"/>
  <c r="AR27" i="68"/>
  <c r="AU27" i="68" s="1"/>
  <c r="AL27" i="69" s="1"/>
  <c r="AM27" i="68"/>
  <c r="AS27" i="68" s="1"/>
  <c r="M38" i="68"/>
  <c r="AQ33" i="68"/>
  <c r="AM33" i="68"/>
  <c r="AK38" i="68"/>
  <c r="P37" i="68"/>
  <c r="B41" i="68"/>
  <c r="D40" i="68"/>
  <c r="N40" i="68"/>
  <c r="D44" i="68"/>
  <c r="AP47" i="68"/>
  <c r="AQ47" i="68"/>
  <c r="G28" i="68"/>
  <c r="G30" i="68" s="1"/>
  <c r="G50" i="68" s="1"/>
  <c r="Z28" i="68"/>
  <c r="Z30" i="68" s="1"/>
  <c r="Z50" i="68" s="1"/>
  <c r="AQ10" i="68"/>
  <c r="AK28" i="68"/>
  <c r="AK30" i="68" s="1"/>
  <c r="AK50" i="68" s="1"/>
  <c r="AM10" i="68"/>
  <c r="AA12" i="68"/>
  <c r="AO28" i="68"/>
  <c r="AO30" i="68" s="1"/>
  <c r="AO50" i="68" s="1"/>
  <c r="AO51" i="68" s="1"/>
  <c r="AO54" i="68" s="1"/>
  <c r="P16" i="68"/>
  <c r="AU18" i="68"/>
  <c r="AQ18" i="68"/>
  <c r="AP18" i="68"/>
  <c r="P19" i="68"/>
  <c r="AC19" i="68"/>
  <c r="P21" i="68"/>
  <c r="AM22" i="68"/>
  <c r="AQ22" i="68"/>
  <c r="AM23" i="68"/>
  <c r="AS23" i="68" s="1"/>
  <c r="AQ23" i="68"/>
  <c r="AQ24" i="68"/>
  <c r="AM24" i="68"/>
  <c r="AA26" i="68"/>
  <c r="AC27" i="68"/>
  <c r="X28" i="68"/>
  <c r="X30" i="68" s="1"/>
  <c r="X50" i="68" s="1"/>
  <c r="N29" i="68"/>
  <c r="AE29" i="68"/>
  <c r="AU29" i="68"/>
  <c r="G38" i="68"/>
  <c r="AA36" i="68"/>
  <c r="T36" i="68"/>
  <c r="AC36" i="68" s="1"/>
  <c r="W37" i="68"/>
  <c r="AC37" i="68" s="1"/>
  <c r="AA37" i="68"/>
  <c r="S51" i="68"/>
  <c r="S54" i="68" s="1"/>
  <c r="AC46" i="68"/>
  <c r="T48" i="68"/>
  <c r="AA28" i="69"/>
  <c r="AA30" i="69" s="1"/>
  <c r="AA50" i="69" s="1"/>
  <c r="G10" i="69"/>
  <c r="R10" i="69"/>
  <c r="W28" i="69"/>
  <c r="W30" i="69" s="1"/>
  <c r="W50" i="69" s="1"/>
  <c r="AF10" i="69"/>
  <c r="AF28" i="69" s="1"/>
  <c r="AF30" i="69" s="1"/>
  <c r="AF50" i="69" s="1"/>
  <c r="R20" i="69"/>
  <c r="D20" i="69"/>
  <c r="E28" i="69"/>
  <c r="E30" i="69" s="1"/>
  <c r="E50" i="69" s="1"/>
  <c r="AE29" i="69"/>
  <c r="D33" i="69"/>
  <c r="B38" i="69"/>
  <c r="N33" i="69"/>
  <c r="N38" i="69" s="1"/>
  <c r="L38" i="69"/>
  <c r="E44" i="69"/>
  <c r="G43" i="69"/>
  <c r="G44" i="69" s="1"/>
  <c r="R43" i="69"/>
  <c r="L44" i="69"/>
  <c r="N43" i="69"/>
  <c r="N44" i="69" s="1"/>
  <c r="AG46" i="69"/>
  <c r="AL28" i="68"/>
  <c r="AL30" i="68" s="1"/>
  <c r="AL50" i="68" s="1"/>
  <c r="AA11" i="68"/>
  <c r="N15" i="68"/>
  <c r="N17" i="68"/>
  <c r="N19" i="68"/>
  <c r="N21" i="68"/>
  <c r="AC21" i="68"/>
  <c r="AR21" i="68"/>
  <c r="AU21" i="68" s="1"/>
  <c r="N23" i="68"/>
  <c r="AC23" i="68"/>
  <c r="AA25" i="68"/>
  <c r="AA27" i="68"/>
  <c r="E28" i="68"/>
  <c r="E30" i="68" s="1"/>
  <c r="E50" i="68" s="1"/>
  <c r="AN28" i="68"/>
  <c r="AN30" i="68" s="1"/>
  <c r="AN50" i="68" s="1"/>
  <c r="N33" i="68"/>
  <c r="U38" i="68"/>
  <c r="W33" i="68"/>
  <c r="AC33" i="68" s="1"/>
  <c r="AN38" i="68"/>
  <c r="AM41" i="68"/>
  <c r="AU40" i="68"/>
  <c r="AE11" i="69"/>
  <c r="X11" i="69"/>
  <c r="AG11" i="69" s="1"/>
  <c r="R12" i="69"/>
  <c r="D12" i="69"/>
  <c r="S12" i="69"/>
  <c r="AI12" i="69" s="1"/>
  <c r="AE12" i="69"/>
  <c r="X14" i="69"/>
  <c r="AG14" i="69" s="1"/>
  <c r="AE14" i="69"/>
  <c r="D16" i="69"/>
  <c r="R16" i="69"/>
  <c r="R19" i="69"/>
  <c r="D19" i="69"/>
  <c r="AE19" i="69"/>
  <c r="H28" i="69"/>
  <c r="H30" i="69" s="1"/>
  <c r="H50" i="69" s="1"/>
  <c r="R29" i="69"/>
  <c r="D29" i="69"/>
  <c r="S35" i="69"/>
  <c r="AI35" i="69" s="1"/>
  <c r="AG36" i="69"/>
  <c r="Q40" i="69"/>
  <c r="Q41" i="69" s="1"/>
  <c r="O41" i="69"/>
  <c r="D53" i="69"/>
  <c r="T53" i="69" s="1"/>
  <c r="R53" i="69"/>
  <c r="T10" i="68"/>
  <c r="T12" i="68"/>
  <c r="AC12" i="68" s="1"/>
  <c r="AQ13" i="68"/>
  <c r="AT13" i="68" s="1"/>
  <c r="AE14" i="68"/>
  <c r="AQ15" i="68"/>
  <c r="AM15" i="68"/>
  <c r="AS15" i="68" s="1"/>
  <c r="AE16" i="68"/>
  <c r="AQ17" i="68"/>
  <c r="AM17" i="68"/>
  <c r="AE18" i="68"/>
  <c r="AU19" i="68"/>
  <c r="AL19" i="69" s="1"/>
  <c r="AQ19" i="68"/>
  <c r="AM19" i="68"/>
  <c r="AR20" i="68"/>
  <c r="AU20" i="68" s="1"/>
  <c r="AL20" i="69" s="1"/>
  <c r="AA21" i="68"/>
  <c r="T22" i="68"/>
  <c r="AC22" i="68" s="1"/>
  <c r="AA23" i="68"/>
  <c r="T24" i="68"/>
  <c r="AC24" i="68" s="1"/>
  <c r="T26" i="68"/>
  <c r="AC26" i="68" s="1"/>
  <c r="D29" i="68"/>
  <c r="P29" i="68" s="1"/>
  <c r="D33" i="68"/>
  <c r="J33" i="68"/>
  <c r="J38" i="68" s="1"/>
  <c r="AE33" i="68"/>
  <c r="AQ34" i="68"/>
  <c r="AQ35" i="68"/>
  <c r="C49" i="68"/>
  <c r="C51" i="68" s="1"/>
  <c r="C54" i="68" s="1"/>
  <c r="W40" i="68"/>
  <c r="W41" i="68" s="1"/>
  <c r="U41" i="68"/>
  <c r="AP40" i="68"/>
  <c r="AP41" i="68" s="1"/>
  <c r="AN41" i="68"/>
  <c r="P47" i="68"/>
  <c r="AU47" i="68"/>
  <c r="D52" i="68"/>
  <c r="P52" i="68" s="1"/>
  <c r="AE53" i="68"/>
  <c r="Q28" i="69"/>
  <c r="Q30" i="69" s="1"/>
  <c r="Q50" i="69" s="1"/>
  <c r="AI16" i="69"/>
  <c r="AE16" i="69"/>
  <c r="X16" i="69"/>
  <c r="AG16" i="69" s="1"/>
  <c r="R17" i="69"/>
  <c r="AH17" i="69" s="1"/>
  <c r="R18" i="69"/>
  <c r="D18" i="69"/>
  <c r="AE18" i="69"/>
  <c r="AG20" i="69"/>
  <c r="AE20" i="69"/>
  <c r="AE22" i="69"/>
  <c r="X22" i="69"/>
  <c r="AG22" i="69" s="1"/>
  <c r="Q38" i="69"/>
  <c r="R40" i="69"/>
  <c r="B41" i="69"/>
  <c r="D40" i="69"/>
  <c r="AD40" i="69"/>
  <c r="AD41" i="69" s="1"/>
  <c r="AB41" i="69"/>
  <c r="J47" i="69"/>
  <c r="T47" i="69" s="1"/>
  <c r="R47" i="69"/>
  <c r="X53" i="69"/>
  <c r="AG53" i="69" s="1"/>
  <c r="AE53" i="69"/>
  <c r="H28" i="68"/>
  <c r="H30" i="68" s="1"/>
  <c r="H50" i="68" s="1"/>
  <c r="J10" i="68"/>
  <c r="J28" i="68" s="1"/>
  <c r="J30" i="68" s="1"/>
  <c r="J50" i="68" s="1"/>
  <c r="AU10" i="68"/>
  <c r="U28" i="68"/>
  <c r="U30" i="68" s="1"/>
  <c r="U50" i="68" s="1"/>
  <c r="N11" i="68"/>
  <c r="AA14" i="68"/>
  <c r="AA16" i="68"/>
  <c r="AA18" i="68"/>
  <c r="AA20" i="68"/>
  <c r="AT20" i="68" s="1"/>
  <c r="AP22" i="68"/>
  <c r="N25" i="68"/>
  <c r="N27" i="68"/>
  <c r="R28" i="68"/>
  <c r="R30" i="68" s="1"/>
  <c r="R50" i="68" s="1"/>
  <c r="R38" i="68"/>
  <c r="AA33" i="68"/>
  <c r="AU36" i="68"/>
  <c r="AL36" i="69" s="1"/>
  <c r="AQ36" i="68"/>
  <c r="AM36" i="68"/>
  <c r="E38" i="68"/>
  <c r="K38" i="68"/>
  <c r="O38" i="68"/>
  <c r="X38" i="68"/>
  <c r="AQ40" i="68"/>
  <c r="AQ41" i="68" s="1"/>
  <c r="AA43" i="68"/>
  <c r="AA44" i="68" s="1"/>
  <c r="P46" i="68"/>
  <c r="R48" i="68"/>
  <c r="AA46" i="68"/>
  <c r="U48" i="68"/>
  <c r="W47" i="68"/>
  <c r="W48" i="68" s="1"/>
  <c r="AU52" i="68"/>
  <c r="C28" i="69"/>
  <c r="C30" i="69" s="1"/>
  <c r="C50" i="69" s="1"/>
  <c r="S10" i="69"/>
  <c r="AE10" i="69"/>
  <c r="V28" i="69"/>
  <c r="V30" i="69" s="1"/>
  <c r="V50" i="69" s="1"/>
  <c r="X10" i="69"/>
  <c r="AB28" i="69"/>
  <c r="AB30" i="69" s="1"/>
  <c r="AB50" i="69" s="1"/>
  <c r="AD10" i="69"/>
  <c r="AD28" i="69" s="1"/>
  <c r="AD30" i="69" s="1"/>
  <c r="AD50" i="69" s="1"/>
  <c r="D11" i="69"/>
  <c r="T11" i="69" s="1"/>
  <c r="AJ11" i="69" s="1"/>
  <c r="B28" i="69"/>
  <c r="B30" i="69" s="1"/>
  <c r="B50" i="69" s="1"/>
  <c r="R11" i="69"/>
  <c r="I28" i="69"/>
  <c r="I30" i="69" s="1"/>
  <c r="I50" i="69" s="1"/>
  <c r="AE13" i="69"/>
  <c r="D14" i="69"/>
  <c r="R14" i="69"/>
  <c r="AH14" i="69" s="1"/>
  <c r="AI17" i="69"/>
  <c r="AG19" i="69"/>
  <c r="R21" i="69"/>
  <c r="R22" i="69"/>
  <c r="D22" i="69"/>
  <c r="T22" i="69" s="1"/>
  <c r="F38" i="69"/>
  <c r="F49" i="69" s="1"/>
  <c r="R33" i="69"/>
  <c r="Y38" i="69"/>
  <c r="AE33" i="69"/>
  <c r="AG35" i="69"/>
  <c r="AE35" i="69"/>
  <c r="AG37" i="69"/>
  <c r="AE37" i="69"/>
  <c r="E38" i="69"/>
  <c r="I44" i="69"/>
  <c r="I49" i="69" s="1"/>
  <c r="S43" i="69"/>
  <c r="X44" i="69"/>
  <c r="AD43" i="69"/>
  <c r="AD44" i="69" s="1"/>
  <c r="N43" i="68"/>
  <c r="B44" i="68"/>
  <c r="AU46" i="68"/>
  <c r="N47" i="68"/>
  <c r="AN48" i="68"/>
  <c r="F28" i="69"/>
  <c r="F30" i="69" s="1"/>
  <c r="F50" i="69" s="1"/>
  <c r="L28" i="69"/>
  <c r="L30" i="69" s="1"/>
  <c r="L50" i="69" s="1"/>
  <c r="AH24" i="69"/>
  <c r="AH26" i="69"/>
  <c r="O28" i="69"/>
  <c r="O30" i="69" s="1"/>
  <c r="O50" i="69" s="1"/>
  <c r="S34" i="69"/>
  <c r="AI34" i="69" s="1"/>
  <c r="P49" i="69"/>
  <c r="P51" i="69" s="1"/>
  <c r="P54" i="69" s="1"/>
  <c r="P57" i="69" s="1"/>
  <c r="AE40" i="69"/>
  <c r="AE41" i="69" s="1"/>
  <c r="X40" i="69"/>
  <c r="V41" i="69"/>
  <c r="O44" i="69"/>
  <c r="Q43" i="69"/>
  <c r="Q44" i="69" s="1"/>
  <c r="AE47" i="69"/>
  <c r="X47" i="69"/>
  <c r="AG47" i="69" s="1"/>
  <c r="V48" i="69"/>
  <c r="AE10" i="68"/>
  <c r="AE13" i="68"/>
  <c r="AP29" i="68"/>
  <c r="AL38" i="68"/>
  <c r="AL49" i="68" s="1"/>
  <c r="AL51" i="68" s="1"/>
  <c r="AL54" i="68" s="1"/>
  <c r="AR33" i="68"/>
  <c r="AA34" i="68"/>
  <c r="N37" i="68"/>
  <c r="AE40" i="68"/>
  <c r="J43" i="68"/>
  <c r="J44" i="68" s="1"/>
  <c r="AE43" i="68"/>
  <c r="AR43" i="68"/>
  <c r="AR44" i="68" s="1"/>
  <c r="AP43" i="68"/>
  <c r="AP44" i="68" s="1"/>
  <c r="AQ46" i="68"/>
  <c r="AE47" i="68"/>
  <c r="D10" i="69"/>
  <c r="N10" i="69"/>
  <c r="N28" i="69" s="1"/>
  <c r="N30" i="69" s="1"/>
  <c r="N50" i="69" s="1"/>
  <c r="AG12" i="69"/>
  <c r="R13" i="69"/>
  <c r="AG17" i="69"/>
  <c r="D21" i="69"/>
  <c r="AE21" i="69"/>
  <c r="X21" i="69"/>
  <c r="AG21" i="69" s="1"/>
  <c r="J24" i="69"/>
  <c r="J25" i="69"/>
  <c r="J26" i="69"/>
  <c r="J27" i="69"/>
  <c r="G29" i="69"/>
  <c r="G34" i="69"/>
  <c r="J36" i="69"/>
  <c r="J37" i="69"/>
  <c r="E41" i="69"/>
  <c r="G40" i="69"/>
  <c r="G41" i="69" s="1"/>
  <c r="C48" i="69"/>
  <c r="S47" i="69"/>
  <c r="AI47" i="69" s="1"/>
  <c r="S52" i="69"/>
  <c r="AI52" i="69" s="1"/>
  <c r="D52" i="69"/>
  <c r="T52" i="69" s="1"/>
  <c r="AE46" i="68"/>
  <c r="Y28" i="69"/>
  <c r="Y30" i="69" s="1"/>
  <c r="Y50" i="69" s="1"/>
  <c r="R15" i="69"/>
  <c r="G18" i="69"/>
  <c r="G19" i="69"/>
  <c r="G20" i="69"/>
  <c r="G24" i="69"/>
  <c r="G25" i="69"/>
  <c r="G26" i="69"/>
  <c r="T26" i="69" s="1"/>
  <c r="G27" i="69"/>
  <c r="T27" i="69" s="1"/>
  <c r="AJ27" i="69" s="1"/>
  <c r="C38" i="69"/>
  <c r="C49" i="69" s="1"/>
  <c r="C51" i="69" s="1"/>
  <c r="C54" i="69" s="1"/>
  <c r="C57" i="69" s="1"/>
  <c r="S33" i="69"/>
  <c r="O38" i="69"/>
  <c r="X33" i="69"/>
  <c r="AB38" i="69"/>
  <c r="AD33" i="69"/>
  <c r="AD38" i="69" s="1"/>
  <c r="D34" i="69"/>
  <c r="J35" i="69"/>
  <c r="G36" i="69"/>
  <c r="G37" i="69"/>
  <c r="J43" i="69"/>
  <c r="J44" i="69" s="1"/>
  <c r="AA43" i="69"/>
  <c r="AA44" i="69" s="1"/>
  <c r="AA49" i="69" s="1"/>
  <c r="AA51" i="69" s="1"/>
  <c r="AA54" i="69" s="1"/>
  <c r="AA57" i="69" s="1"/>
  <c r="Y44" i="69"/>
  <c r="AE43" i="69"/>
  <c r="AE44" i="69" s="1"/>
  <c r="AI46" i="69"/>
  <c r="H48" i="69"/>
  <c r="S40" i="69"/>
  <c r="N48" i="69"/>
  <c r="L48" i="69"/>
  <c r="S53" i="69"/>
  <c r="AI53" i="69" s="1"/>
  <c r="AB48" i="69"/>
  <c r="R52" i="69"/>
  <c r="J28" i="69" l="1"/>
  <c r="J30" i="69" s="1"/>
  <c r="J50" i="69" s="1"/>
  <c r="AH35" i="69"/>
  <c r="AD36" i="68"/>
  <c r="AS24" i="68"/>
  <c r="F37" i="70"/>
  <c r="AH34" i="69"/>
  <c r="AD13" i="68"/>
  <c r="AF25" i="68"/>
  <c r="AH23" i="69"/>
  <c r="AJ13" i="69"/>
  <c r="AT53" i="68"/>
  <c r="AE48" i="69"/>
  <c r="AH36" i="69"/>
  <c r="AJ15" i="69"/>
  <c r="AF20" i="68"/>
  <c r="AF24" i="68"/>
  <c r="AS37" i="68"/>
  <c r="AV37" i="68" s="1"/>
  <c r="AV25" i="68"/>
  <c r="B48" i="70"/>
  <c r="B50" i="70" s="1"/>
  <c r="B54" i="70" s="1"/>
  <c r="T46" i="69"/>
  <c r="T48" i="69" s="1"/>
  <c r="J48" i="69"/>
  <c r="AQ48" i="68"/>
  <c r="AH11" i="69"/>
  <c r="AD18" i="68"/>
  <c r="T12" i="69"/>
  <c r="AS47" i="68"/>
  <c r="AH46" i="69"/>
  <c r="T36" i="69"/>
  <c r="AJ36" i="69" s="1"/>
  <c r="AB49" i="69"/>
  <c r="AB51" i="69" s="1"/>
  <c r="AB54" i="69" s="1"/>
  <c r="AB57" i="69" s="1"/>
  <c r="T24" i="69"/>
  <c r="AJ24" i="69" s="1"/>
  <c r="AH15" i="69"/>
  <c r="AA48" i="68"/>
  <c r="AS17" i="68"/>
  <c r="AV17" i="68" s="1"/>
  <c r="AH29" i="69"/>
  <c r="AH19" i="69"/>
  <c r="AH12" i="69"/>
  <c r="X48" i="69"/>
  <c r="B49" i="69"/>
  <c r="B51" i="69" s="1"/>
  <c r="B54" i="69" s="1"/>
  <c r="B57" i="69" s="1"/>
  <c r="AD12" i="68"/>
  <c r="AS16" i="68"/>
  <c r="AV16" i="68" s="1"/>
  <c r="AS26" i="68"/>
  <c r="AV26" i="68" s="1"/>
  <c r="AS20" i="68"/>
  <c r="I50" i="70"/>
  <c r="I54" i="70" s="1"/>
  <c r="AD52" i="68"/>
  <c r="AP38" i="68"/>
  <c r="I48" i="70"/>
  <c r="AF34" i="68"/>
  <c r="AV12" i="68"/>
  <c r="N37" i="70"/>
  <c r="AD24" i="68"/>
  <c r="L48" i="70"/>
  <c r="C48" i="70"/>
  <c r="C50" i="70" s="1"/>
  <c r="C54" i="70" s="1"/>
  <c r="N42" i="70"/>
  <c r="N43" i="70" s="1"/>
  <c r="N9" i="70"/>
  <c r="N27" i="70" s="1"/>
  <c r="N29" i="70" s="1"/>
  <c r="N49" i="70" s="1"/>
  <c r="AD35" i="68"/>
  <c r="X49" i="68"/>
  <c r="X51" i="68" s="1"/>
  <c r="X54" i="68" s="1"/>
  <c r="AT36" i="68"/>
  <c r="AK36" i="69" s="1"/>
  <c r="AF12" i="68"/>
  <c r="AD53" i="68"/>
  <c r="Z51" i="68"/>
  <c r="Z54" i="68" s="1"/>
  <c r="AT52" i="68"/>
  <c r="AT18" i="68"/>
  <c r="AT24" i="68"/>
  <c r="AK24" i="69" s="1"/>
  <c r="AV34" i="68"/>
  <c r="AT12" i="68"/>
  <c r="AL23" i="69"/>
  <c r="AD34" i="68"/>
  <c r="AS18" i="68"/>
  <c r="AV18" i="68" s="1"/>
  <c r="H49" i="68"/>
  <c r="AF36" i="68"/>
  <c r="AT26" i="68"/>
  <c r="AK26" i="69" s="1"/>
  <c r="M49" i="68"/>
  <c r="M51" i="68" s="1"/>
  <c r="M54" i="68" s="1"/>
  <c r="AB49" i="68"/>
  <c r="AB51" i="68" s="1"/>
  <c r="AB54" i="68" s="1"/>
  <c r="AJ49" i="68"/>
  <c r="AS36" i="68"/>
  <c r="AV36" i="68" s="1"/>
  <c r="AM36" i="69" s="1"/>
  <c r="AL35" i="69"/>
  <c r="AC43" i="68"/>
  <c r="AC44" i="68" s="1"/>
  <c r="AP48" i="68"/>
  <c r="AR38" i="68"/>
  <c r="AR49" i="68" s="1"/>
  <c r="K49" i="68"/>
  <c r="K51" i="68" s="1"/>
  <c r="K54" i="68" s="1"/>
  <c r="AT16" i="68"/>
  <c r="AS19" i="68"/>
  <c r="AV19" i="68" s="1"/>
  <c r="AV27" i="68"/>
  <c r="AM27" i="69" s="1"/>
  <c r="AS29" i="68"/>
  <c r="AV29" i="68" s="1"/>
  <c r="H50" i="70"/>
  <c r="H54" i="70" s="1"/>
  <c r="D98" i="11"/>
  <c r="J12" i="2"/>
  <c r="AM11" i="69"/>
  <c r="L29" i="70"/>
  <c r="L49" i="70" s="1"/>
  <c r="J35" i="2"/>
  <c r="F18" i="65"/>
  <c r="F20" i="65" s="1"/>
  <c r="D118" i="7"/>
  <c r="C32" i="8"/>
  <c r="E58" i="2"/>
  <c r="F58" i="2"/>
  <c r="C98" i="11"/>
  <c r="I12" i="2"/>
  <c r="E37" i="9"/>
  <c r="AH52" i="69"/>
  <c r="AI48" i="69"/>
  <c r="D48" i="69"/>
  <c r="AT34" i="68"/>
  <c r="AK34" i="69" s="1"/>
  <c r="B49" i="68"/>
  <c r="B51" i="68" s="1"/>
  <c r="B54" i="68" s="1"/>
  <c r="R49" i="68"/>
  <c r="R51" i="68" s="1"/>
  <c r="R54" i="68" s="1"/>
  <c r="T18" i="69"/>
  <c r="AJ18" i="69" s="1"/>
  <c r="T16" i="69"/>
  <c r="AJ16" i="69" s="1"/>
  <c r="AD20" i="68"/>
  <c r="T20" i="69"/>
  <c r="AJ20" i="69" s="1"/>
  <c r="W51" i="69"/>
  <c r="W54" i="69" s="1"/>
  <c r="W57" i="69" s="1"/>
  <c r="G49" i="68"/>
  <c r="G51" i="68" s="1"/>
  <c r="G54" i="68" s="1"/>
  <c r="AF26" i="68"/>
  <c r="AV20" i="68"/>
  <c r="AM20" i="69" s="1"/>
  <c r="AK49" i="68"/>
  <c r="AK51" i="68" s="1"/>
  <c r="AK54" i="68" s="1"/>
  <c r="AD26" i="68"/>
  <c r="AJ51" i="68"/>
  <c r="AJ54" i="68" s="1"/>
  <c r="AS48" i="68"/>
  <c r="AS21" i="68"/>
  <c r="AV21" i="68" s="1"/>
  <c r="AS14" i="68"/>
  <c r="AV14" i="68" s="1"/>
  <c r="AM48" i="68"/>
  <c r="K34" i="2"/>
  <c r="J41" i="2"/>
  <c r="I45" i="2"/>
  <c r="K32" i="2"/>
  <c r="E117" i="7"/>
  <c r="E131" i="7" s="1"/>
  <c r="E85" i="7"/>
  <c r="K37" i="2"/>
  <c r="E121" i="23"/>
  <c r="K30" i="2"/>
  <c r="E42" i="6"/>
  <c r="J14" i="2"/>
  <c r="E24" i="64"/>
  <c r="E25" i="64" s="1"/>
  <c r="E26" i="64" s="1"/>
  <c r="AL29" i="69"/>
  <c r="AJ26" i="69"/>
  <c r="AL24" i="69"/>
  <c r="B7" i="64"/>
  <c r="N18" i="65"/>
  <c r="N20" i="65" s="1"/>
  <c r="E27" i="64"/>
  <c r="H49" i="69"/>
  <c r="H51" i="69" s="1"/>
  <c r="H54" i="69" s="1"/>
  <c r="H57" i="69" s="1"/>
  <c r="T35" i="69"/>
  <c r="AJ35" i="69" s="1"/>
  <c r="V49" i="69"/>
  <c r="V51" i="69" s="1"/>
  <c r="V54" i="69" s="1"/>
  <c r="V57" i="69" s="1"/>
  <c r="AC47" i="68"/>
  <c r="AF47" i="68" s="1"/>
  <c r="C39" i="7"/>
  <c r="E34" i="7"/>
  <c r="E39" i="7" s="1"/>
  <c r="E127" i="7"/>
  <c r="F58" i="54"/>
  <c r="T37" i="69"/>
  <c r="AJ37" i="69" s="1"/>
  <c r="G38" i="69"/>
  <c r="G49" i="69" s="1"/>
  <c r="T25" i="69"/>
  <c r="AJ25" i="69" s="1"/>
  <c r="AM25" i="69" s="1"/>
  <c r="T21" i="69"/>
  <c r="AJ21" i="69" s="1"/>
  <c r="AU43" i="68"/>
  <c r="AU44" i="68" s="1"/>
  <c r="T14" i="69"/>
  <c r="AJ14" i="69" s="1"/>
  <c r="E49" i="68"/>
  <c r="E51" i="68" s="1"/>
  <c r="E54" i="68" s="1"/>
  <c r="AD14" i="68"/>
  <c r="AH47" i="69"/>
  <c r="AL21" i="69"/>
  <c r="AH20" i="69"/>
  <c r="AK20" i="69" s="1"/>
  <c r="AL18" i="69"/>
  <c r="AT35" i="68"/>
  <c r="AK35" i="69" s="1"/>
  <c r="N39" i="70"/>
  <c r="N40" i="70" s="1"/>
  <c r="AI24" i="69"/>
  <c r="D33" i="6"/>
  <c r="D42" i="6"/>
  <c r="J7" i="2"/>
  <c r="AS53" i="68"/>
  <c r="AV53" i="68" s="1"/>
  <c r="K12" i="2"/>
  <c r="E98" i="11"/>
  <c r="E15" i="10"/>
  <c r="E32" i="10"/>
  <c r="D131" i="7"/>
  <c r="E51" i="8"/>
  <c r="E32" i="8"/>
  <c r="K9" i="2" s="1"/>
  <c r="E130" i="7"/>
  <c r="E118" i="7"/>
  <c r="I113" i="52"/>
  <c r="D58" i="2"/>
  <c r="P7" i="63"/>
  <c r="B9" i="63"/>
  <c r="N45" i="70"/>
  <c r="N47" i="70" s="1"/>
  <c r="F47" i="70"/>
  <c r="F48" i="70" s="1"/>
  <c r="F50" i="70" s="1"/>
  <c r="F54" i="70" s="1"/>
  <c r="AV35" i="68"/>
  <c r="AF35" i="68"/>
  <c r="AT29" i="68"/>
  <c r="AK29" i="69" s="1"/>
  <c r="AD29" i="68"/>
  <c r="AT10" i="68"/>
  <c r="N28" i="68"/>
  <c r="AD10" i="68"/>
  <c r="AC38" i="68"/>
  <c r="X38" i="69"/>
  <c r="AG33" i="69"/>
  <c r="T10" i="69"/>
  <c r="D28" i="69"/>
  <c r="D30" i="69" s="1"/>
  <c r="D50" i="69" s="1"/>
  <c r="AT47" i="68"/>
  <c r="AD47" i="68"/>
  <c r="S44" i="69"/>
  <c r="AI43" i="69"/>
  <c r="AI44" i="69" s="1"/>
  <c r="J38" i="69"/>
  <c r="J49" i="69" s="1"/>
  <c r="J51" i="69" s="1"/>
  <c r="J54" i="69" s="1"/>
  <c r="J57" i="69" s="1"/>
  <c r="AE28" i="69"/>
  <c r="AE30" i="69" s="1"/>
  <c r="AE50" i="69" s="1"/>
  <c r="Q49" i="69"/>
  <c r="Q51" i="69" s="1"/>
  <c r="Q54" i="69" s="1"/>
  <c r="Q57" i="69" s="1"/>
  <c r="AF29" i="68"/>
  <c r="I51" i="69"/>
  <c r="I54" i="69" s="1"/>
  <c r="I57" i="69" s="1"/>
  <c r="AH16" i="69"/>
  <c r="AU41" i="68"/>
  <c r="AD33" i="68"/>
  <c r="N38" i="68"/>
  <c r="AT33" i="68"/>
  <c r="AT23" i="68"/>
  <c r="AK23" i="69" s="1"/>
  <c r="AD23" i="68"/>
  <c r="AD15" i="68"/>
  <c r="AT15" i="68"/>
  <c r="R28" i="69"/>
  <c r="R30" i="69" s="1"/>
  <c r="R50" i="69" s="1"/>
  <c r="AH10" i="69"/>
  <c r="AF37" i="68"/>
  <c r="O30" i="68"/>
  <c r="AE28" i="68"/>
  <c r="AS43" i="68"/>
  <c r="AS44" i="68" s="1"/>
  <c r="T38" i="68"/>
  <c r="AL34" i="69"/>
  <c r="AI40" i="69"/>
  <c r="AI41" i="69" s="1"/>
  <c r="S41" i="69"/>
  <c r="S48" i="69"/>
  <c r="T34" i="69"/>
  <c r="AJ34" i="69" s="1"/>
  <c r="O49" i="69"/>
  <c r="O51" i="69" s="1"/>
  <c r="O54" i="69" s="1"/>
  <c r="O57" i="69" s="1"/>
  <c r="AH13" i="69"/>
  <c r="AK13" i="69" s="1"/>
  <c r="AD37" i="68"/>
  <c r="AT37" i="68"/>
  <c r="AK37" i="69" s="1"/>
  <c r="AU48" i="68"/>
  <c r="AL48" i="69" s="1"/>
  <c r="AL46" i="69"/>
  <c r="AE38" i="69"/>
  <c r="F51" i="69"/>
  <c r="F54" i="69" s="1"/>
  <c r="F57" i="69" s="1"/>
  <c r="AH22" i="69"/>
  <c r="AV46" i="68"/>
  <c r="AF46" i="68"/>
  <c r="P48" i="68"/>
  <c r="O49" i="68"/>
  <c r="AE38" i="68"/>
  <c r="AD11" i="68"/>
  <c r="AT11" i="68"/>
  <c r="D41" i="69"/>
  <c r="T40" i="69"/>
  <c r="AH18" i="69"/>
  <c r="AF52" i="68"/>
  <c r="AV52" i="68"/>
  <c r="AU33" i="68"/>
  <c r="AL17" i="69"/>
  <c r="T28" i="68"/>
  <c r="T30" i="68" s="1"/>
  <c r="T50" i="68" s="1"/>
  <c r="AC10" i="68"/>
  <c r="AC28" i="68" s="1"/>
  <c r="AC30" i="68" s="1"/>
  <c r="AC50" i="68" s="1"/>
  <c r="T29" i="69"/>
  <c r="AJ29" i="69" s="1"/>
  <c r="AS40" i="68"/>
  <c r="AS41" i="68" s="1"/>
  <c r="H51" i="68"/>
  <c r="H54" i="68" s="1"/>
  <c r="AD17" i="68"/>
  <c r="AT17" i="68"/>
  <c r="AK17" i="69" s="1"/>
  <c r="AT14" i="68"/>
  <c r="AK14" i="69" s="1"/>
  <c r="L49" i="69"/>
  <c r="L51" i="69" s="1"/>
  <c r="L54" i="69" s="1"/>
  <c r="L57" i="69" s="1"/>
  <c r="D38" i="69"/>
  <c r="T33" i="69"/>
  <c r="G28" i="69"/>
  <c r="G30" i="69" s="1"/>
  <c r="G50" i="69" s="1"/>
  <c r="AS22" i="68"/>
  <c r="AV22" i="68" s="1"/>
  <c r="AF19" i="68"/>
  <c r="AF16" i="68"/>
  <c r="P40" i="68"/>
  <c r="D41" i="68"/>
  <c r="AQ38" i="68"/>
  <c r="AQ49" i="68" s="1"/>
  <c r="AT22" i="68"/>
  <c r="AD22" i="68"/>
  <c r="AF17" i="68"/>
  <c r="AF14" i="68"/>
  <c r="AL12" i="69"/>
  <c r="AP28" i="68"/>
  <c r="AP30" i="68" s="1"/>
  <c r="AP50" i="68" s="1"/>
  <c r="D28" i="68"/>
  <c r="D30" i="68" s="1"/>
  <c r="D50" i="68" s="1"/>
  <c r="P10" i="68"/>
  <c r="AC40" i="68"/>
  <c r="AC41" i="68" s="1"/>
  <c r="T41" i="68"/>
  <c r="AF27" i="68"/>
  <c r="AT43" i="68"/>
  <c r="AD43" i="68"/>
  <c r="N44" i="68"/>
  <c r="AD44" i="68" s="1"/>
  <c r="T43" i="69"/>
  <c r="R38" i="69"/>
  <c r="AH33" i="69"/>
  <c r="AH38" i="69" s="1"/>
  <c r="AD25" i="68"/>
  <c r="AT25" i="68"/>
  <c r="AK25" i="69" s="1"/>
  <c r="AL10" i="69"/>
  <c r="R41" i="69"/>
  <c r="AH40" i="69"/>
  <c r="AH41" i="69" s="1"/>
  <c r="D38" i="68"/>
  <c r="P33" i="68"/>
  <c r="AJ53" i="69"/>
  <c r="AN49" i="68"/>
  <c r="AN51" i="68" s="1"/>
  <c r="AN54" i="68" s="1"/>
  <c r="U49" i="68"/>
  <c r="U51" i="68" s="1"/>
  <c r="U54" i="68" s="1"/>
  <c r="AD21" i="68"/>
  <c r="AT21" i="68"/>
  <c r="AD16" i="68"/>
  <c r="AA28" i="68"/>
  <c r="AA30" i="68" s="1"/>
  <c r="AA50" i="68" s="1"/>
  <c r="E49" i="69"/>
  <c r="E51" i="69" s="1"/>
  <c r="E54" i="69" s="1"/>
  <c r="E57" i="69" s="1"/>
  <c r="AJ22" i="69"/>
  <c r="AL52" i="69"/>
  <c r="AV47" i="68"/>
  <c r="AS10" i="68"/>
  <c r="AM28" i="68"/>
  <c r="AM30" i="68" s="1"/>
  <c r="AM50" i="68" s="1"/>
  <c r="AT40" i="68"/>
  <c r="AD40" i="68"/>
  <c r="N41" i="68"/>
  <c r="AD41" i="68" s="1"/>
  <c r="AS33" i="68"/>
  <c r="AM38" i="68"/>
  <c r="AM49" i="68" s="1"/>
  <c r="AF23" i="68"/>
  <c r="AV23" i="68"/>
  <c r="AM23" i="69" s="1"/>
  <c r="AR28" i="68"/>
  <c r="AR30" i="68" s="1"/>
  <c r="AR50" i="68" s="1"/>
  <c r="AU11" i="68"/>
  <c r="AL11" i="69" s="1"/>
  <c r="AD49" i="69"/>
  <c r="AD51" i="69" s="1"/>
  <c r="AD54" i="69" s="1"/>
  <c r="AD57" i="69" s="1"/>
  <c r="S38" i="69"/>
  <c r="AI33" i="69"/>
  <c r="AI38" i="69" s="1"/>
  <c r="AJ52" i="69"/>
  <c r="R48" i="69"/>
  <c r="X41" i="69"/>
  <c r="AG40" i="69"/>
  <c r="AG43" i="69"/>
  <c r="Y49" i="69"/>
  <c r="Y51" i="69" s="1"/>
  <c r="Y54" i="69" s="1"/>
  <c r="Y57" i="69" s="1"/>
  <c r="AH21" i="69"/>
  <c r="X28" i="69"/>
  <c r="X30" i="69" s="1"/>
  <c r="X50" i="69" s="1"/>
  <c r="AG10" i="69"/>
  <c r="AI10" i="69"/>
  <c r="AI28" i="69" s="1"/>
  <c r="AI30" i="69" s="1"/>
  <c r="AI50" i="69" s="1"/>
  <c r="S28" i="69"/>
  <c r="S30" i="69" s="1"/>
  <c r="S50" i="69" s="1"/>
  <c r="AA38" i="68"/>
  <c r="AD27" i="68"/>
  <c r="AT27" i="68"/>
  <c r="AK27" i="69" s="1"/>
  <c r="AJ47" i="69"/>
  <c r="AL47" i="69"/>
  <c r="J49" i="68"/>
  <c r="J51" i="68" s="1"/>
  <c r="J54" i="68" s="1"/>
  <c r="AV24" i="68"/>
  <c r="AM24" i="69" s="1"/>
  <c r="AH53" i="69"/>
  <c r="AK53" i="69" s="1"/>
  <c r="T19" i="69"/>
  <c r="AJ19" i="69" s="1"/>
  <c r="AJ12" i="69"/>
  <c r="AK52" i="69"/>
  <c r="W38" i="68"/>
  <c r="W49" i="68" s="1"/>
  <c r="W51" i="68" s="1"/>
  <c r="W54" i="68" s="1"/>
  <c r="AD19" i="68"/>
  <c r="AT19" i="68"/>
  <c r="AK19" i="69" s="1"/>
  <c r="AG48" i="69"/>
  <c r="R44" i="69"/>
  <c r="AH43" i="69"/>
  <c r="AH44" i="69" s="1"/>
  <c r="N49" i="69"/>
  <c r="N51" i="69" s="1"/>
  <c r="N54" i="69" s="1"/>
  <c r="N57" i="69" s="1"/>
  <c r="AC48" i="68"/>
  <c r="AF21" i="68"/>
  <c r="AQ28" i="68"/>
  <c r="AQ30" i="68" s="1"/>
  <c r="AQ50" i="68" s="1"/>
  <c r="P43" i="68"/>
  <c r="AF22" i="68"/>
  <c r="AV13" i="68"/>
  <c r="AM13" i="69" s="1"/>
  <c r="AF13" i="68"/>
  <c r="AJ17" i="69"/>
  <c r="N48" i="68"/>
  <c r="AD48" i="68" s="1"/>
  <c r="AT46" i="68"/>
  <c r="AD46" i="68"/>
  <c r="AF15" i="68"/>
  <c r="AV15" i="68"/>
  <c r="AM15" i="69" s="1"/>
  <c r="AE49" i="69" l="1"/>
  <c r="AK15" i="69"/>
  <c r="AM21" i="69"/>
  <c r="AP49" i="68"/>
  <c r="AK18" i="69"/>
  <c r="AK12" i="69"/>
  <c r="J44" i="2"/>
  <c r="AM18" i="69"/>
  <c r="AM12" i="69"/>
  <c r="R49" i="69"/>
  <c r="R51" i="69" s="1"/>
  <c r="R54" i="69" s="1"/>
  <c r="R57" i="69" s="1"/>
  <c r="AJ46" i="69"/>
  <c r="AA49" i="68"/>
  <c r="AA51" i="68" s="1"/>
  <c r="AA54" i="68" s="1"/>
  <c r="AK11" i="69"/>
  <c r="AH48" i="69"/>
  <c r="AH49" i="69" s="1"/>
  <c r="L50" i="70"/>
  <c r="L54" i="70" s="1"/>
  <c r="AS38" i="68"/>
  <c r="AM35" i="69"/>
  <c r="AM26" i="69"/>
  <c r="N48" i="70"/>
  <c r="N50" i="70" s="1"/>
  <c r="N54" i="70" s="1"/>
  <c r="AM34" i="69"/>
  <c r="D49" i="68"/>
  <c r="D51" i="68" s="1"/>
  <c r="D54" i="68" s="1"/>
  <c r="AR51" i="68"/>
  <c r="AR54" i="68" s="1"/>
  <c r="AS28" i="68"/>
  <c r="AS30" i="68" s="1"/>
  <c r="AS50" i="68" s="1"/>
  <c r="AK16" i="69"/>
  <c r="AQ51" i="68"/>
  <c r="AQ54" i="68" s="1"/>
  <c r="E120" i="7"/>
  <c r="K31" i="2"/>
  <c r="K36" i="2" s="1"/>
  <c r="E57" i="7"/>
  <c r="E93" i="7" s="1"/>
  <c r="K8" i="2" s="1"/>
  <c r="K44" i="2"/>
  <c r="J31" i="2"/>
  <c r="D120" i="7"/>
  <c r="S49" i="69"/>
  <c r="G51" i="69"/>
  <c r="G54" i="69" s="1"/>
  <c r="G57" i="69" s="1"/>
  <c r="E25" i="10"/>
  <c r="K11" i="2"/>
  <c r="B9" i="64"/>
  <c r="P7" i="64"/>
  <c r="I9" i="2"/>
  <c r="C42" i="8"/>
  <c r="AP51" i="68"/>
  <c r="AP54" i="68" s="1"/>
  <c r="AL41" i="69"/>
  <c r="AK47" i="69"/>
  <c r="X49" i="69"/>
  <c r="X51" i="69" s="1"/>
  <c r="X54" i="69" s="1"/>
  <c r="X57" i="69" s="1"/>
  <c r="J24" i="2"/>
  <c r="E92" i="7"/>
  <c r="E42" i="8"/>
  <c r="AM16" i="69"/>
  <c r="B11" i="63"/>
  <c r="P9" i="63"/>
  <c r="AM51" i="68"/>
  <c r="AM54" i="68" s="1"/>
  <c r="AM53" i="69"/>
  <c r="AK22" i="69"/>
  <c r="AM22" i="69"/>
  <c r="D49" i="69"/>
  <c r="D51" i="69" s="1"/>
  <c r="D54" i="69" s="1"/>
  <c r="D57" i="69" s="1"/>
  <c r="AE51" i="69"/>
  <c r="AE54" i="69" s="1"/>
  <c r="AE57" i="69" s="1"/>
  <c r="AM37" i="69"/>
  <c r="AC49" i="68"/>
  <c r="AC51" i="68" s="1"/>
  <c r="AC54" i="68" s="1"/>
  <c r="P20" i="65"/>
  <c r="C57" i="7"/>
  <c r="S51" i="69"/>
  <c r="S54" i="69" s="1"/>
  <c r="S57" i="69" s="1"/>
  <c r="AK43" i="69"/>
  <c r="AT44" i="68"/>
  <c r="AK44" i="69" s="1"/>
  <c r="AM14" i="69"/>
  <c r="AG44" i="69"/>
  <c r="AK21" i="69"/>
  <c r="AL33" i="69"/>
  <c r="AU38" i="68"/>
  <c r="T28" i="69"/>
  <c r="T30" i="69" s="1"/>
  <c r="T50" i="69" s="1"/>
  <c r="AJ10" i="69"/>
  <c r="AJ28" i="69" s="1"/>
  <c r="AJ30" i="69" s="1"/>
  <c r="AJ50" i="69" s="1"/>
  <c r="AT38" i="68"/>
  <c r="AK33" i="69"/>
  <c r="AM29" i="69"/>
  <c r="AK10" i="69"/>
  <c r="AT28" i="68"/>
  <c r="AJ43" i="69"/>
  <c r="AJ44" i="69" s="1"/>
  <c r="T44" i="69"/>
  <c r="AM17" i="69"/>
  <c r="AJ40" i="69"/>
  <c r="AJ41" i="69" s="1"/>
  <c r="T41" i="69"/>
  <c r="AM46" i="69"/>
  <c r="AV48" i="68"/>
  <c r="N49" i="68"/>
  <c r="AD38" i="68"/>
  <c r="AT48" i="68"/>
  <c r="AK48" i="69" s="1"/>
  <c r="AK46" i="69"/>
  <c r="AV43" i="68"/>
  <c r="AF43" i="68"/>
  <c r="P44" i="68"/>
  <c r="AF44" i="68" s="1"/>
  <c r="AG28" i="69"/>
  <c r="AG30" i="69" s="1"/>
  <c r="AG50" i="69" s="1"/>
  <c r="AG41" i="69"/>
  <c r="AK40" i="69"/>
  <c r="AT41" i="68"/>
  <c r="AK41" i="69" s="1"/>
  <c r="AM47" i="69"/>
  <c r="AL44" i="69"/>
  <c r="AM19" i="69"/>
  <c r="AM52" i="69"/>
  <c r="AE49" i="68"/>
  <c r="AH28" i="69"/>
  <c r="AH30" i="69" s="1"/>
  <c r="AH50" i="69" s="1"/>
  <c r="AI49" i="69"/>
  <c r="AI51" i="69" s="1"/>
  <c r="AI54" i="69" s="1"/>
  <c r="AI57" i="69" s="1"/>
  <c r="AS49" i="68"/>
  <c r="P38" i="68"/>
  <c r="AF33" i="68"/>
  <c r="AV33" i="68"/>
  <c r="AU28" i="68"/>
  <c r="AL43" i="69"/>
  <c r="P28" i="68"/>
  <c r="AF10" i="68"/>
  <c r="AV10" i="68"/>
  <c r="AF40" i="68"/>
  <c r="P41" i="68"/>
  <c r="AF41" i="68" s="1"/>
  <c r="AV40" i="68"/>
  <c r="T38" i="69"/>
  <c r="AJ33" i="69"/>
  <c r="AJ38" i="69" s="1"/>
  <c r="AF48" i="68"/>
  <c r="AJ48" i="69"/>
  <c r="T49" i="68"/>
  <c r="T51" i="68" s="1"/>
  <c r="T54" i="68" s="1"/>
  <c r="O50" i="68"/>
  <c r="AE50" i="68" s="1"/>
  <c r="AE30" i="68"/>
  <c r="AL40" i="69"/>
  <c r="AG38" i="69"/>
  <c r="N30" i="68"/>
  <c r="AD28" i="68"/>
  <c r="AH51" i="69" l="1"/>
  <c r="AH54" i="69" s="1"/>
  <c r="AH57" i="69" s="1"/>
  <c r="AS51" i="68"/>
  <c r="AS54" i="68" s="1"/>
  <c r="J36" i="2"/>
  <c r="K45" i="2"/>
  <c r="K24" i="2"/>
  <c r="B13" i="63"/>
  <c r="P11" i="63"/>
  <c r="C93" i="7"/>
  <c r="P9" i="64"/>
  <c r="B11" i="64"/>
  <c r="AD30" i="68"/>
  <c r="N50" i="68"/>
  <c r="AD50" i="68" s="1"/>
  <c r="AF28" i="68"/>
  <c r="P30" i="68"/>
  <c r="AV38" i="68"/>
  <c r="AM33" i="69"/>
  <c r="AD49" i="68"/>
  <c r="AK28" i="69"/>
  <c r="AT30" i="68"/>
  <c r="AK38" i="69"/>
  <c r="AT49" i="68"/>
  <c r="AG49" i="69"/>
  <c r="AG51" i="69" s="1"/>
  <c r="AG54" i="69" s="1"/>
  <c r="AG57" i="69" s="1"/>
  <c r="AM48" i="69"/>
  <c r="T49" i="69"/>
  <c r="T51" i="69" s="1"/>
  <c r="T54" i="69" s="1"/>
  <c r="T57" i="69" s="1"/>
  <c r="AM10" i="69"/>
  <c r="AV28" i="68"/>
  <c r="AF38" i="68"/>
  <c r="P49" i="68"/>
  <c r="AJ49" i="69"/>
  <c r="AJ51" i="69" s="1"/>
  <c r="AJ54" i="69" s="1"/>
  <c r="AJ57" i="69" s="1"/>
  <c r="AM40" i="69"/>
  <c r="AV41" i="68"/>
  <c r="AM41" i="69" s="1"/>
  <c r="AL28" i="69"/>
  <c r="AU30" i="68"/>
  <c r="O51" i="68"/>
  <c r="AM43" i="69"/>
  <c r="AV44" i="68"/>
  <c r="AM44" i="69" s="1"/>
  <c r="AL38" i="69"/>
  <c r="AU49" i="68"/>
  <c r="N51" i="68" l="1"/>
  <c r="AD51" i="68" s="1"/>
  <c r="B30" i="64"/>
  <c r="P11" i="64"/>
  <c r="K58" i="2"/>
  <c r="J45" i="2"/>
  <c r="I8" i="2"/>
  <c r="C120" i="7"/>
  <c r="AL49" i="69"/>
  <c r="AM28" i="69"/>
  <c r="AV30" i="68"/>
  <c r="AV49" i="68"/>
  <c r="AM38" i="69"/>
  <c r="AK49" i="69"/>
  <c r="N54" i="68"/>
  <c r="P50" i="68"/>
  <c r="AF50" i="68" s="1"/>
  <c r="AF30" i="68"/>
  <c r="AE51" i="68"/>
  <c r="O54" i="68"/>
  <c r="P51" i="68"/>
  <c r="AF49" i="68"/>
  <c r="AL30" i="69"/>
  <c r="AU50" i="68"/>
  <c r="AL50" i="69" s="1"/>
  <c r="AT50" i="68"/>
  <c r="AK50" i="69" s="1"/>
  <c r="AK30" i="69"/>
  <c r="I24" i="2" l="1"/>
  <c r="J58" i="2"/>
  <c r="AE54" i="68"/>
  <c r="AM30" i="69"/>
  <c r="AV50" i="68"/>
  <c r="AM50" i="69" s="1"/>
  <c r="AD54" i="68"/>
  <c r="AM49" i="69"/>
  <c r="AT51" i="68"/>
  <c r="AU51" i="68"/>
  <c r="P54" i="68"/>
  <c r="AF51" i="68"/>
  <c r="AV51" i="68" l="1"/>
  <c r="AV54" i="68" s="1"/>
  <c r="I58" i="2"/>
  <c r="AF54" i="68"/>
  <c r="AT54" i="68"/>
  <c r="AK51" i="69"/>
  <c r="AL51" i="69"/>
  <c r="AU54" i="68"/>
  <c r="AM51" i="69" l="1"/>
  <c r="AM54" i="69"/>
  <c r="AK54" i="69"/>
  <c r="AL54" i="69"/>
</calcChain>
</file>

<file path=xl/sharedStrings.xml><?xml version="1.0" encoding="utf-8"?>
<sst xmlns="http://schemas.openxmlformats.org/spreadsheetml/2006/main" count="1697" uniqueCount="896">
  <si>
    <t>Lakás bérleti díj támogatás</t>
  </si>
  <si>
    <t>Könyv, film</t>
  </si>
  <si>
    <t>Szombathelyi Médiaközpont Nonprofit Kft. támogatása</t>
  </si>
  <si>
    <t>Csapadékvízelv. és fürdőüzemeltetés</t>
  </si>
  <si>
    <t>Vásárcsarnok átadott pénzeszköze</t>
  </si>
  <si>
    <t>Kátyuzás</t>
  </si>
  <si>
    <t>Hézagkiöntés</t>
  </si>
  <si>
    <t>Közvilágítás</t>
  </si>
  <si>
    <t>Hídfenntartás</t>
  </si>
  <si>
    <t>Idegenforgalmi adó</t>
  </si>
  <si>
    <t>Polgármesteri Hivatal</t>
  </si>
  <si>
    <t>Gépjárműadó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</si>
  <si>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</si>
  <si>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</si>
  <si>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</si>
  <si>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</si>
  <si>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Önkormányzat egyéb kiadásai (Városüzemeltetési kiadások)</t>
  </si>
  <si>
    <t>Informatikai fejlesztések</t>
  </si>
  <si>
    <t>SZMJV Településfejlesztési koncepciójának és programjának elkészítése</t>
  </si>
  <si>
    <t>Környezetvédelmi birság</t>
  </si>
  <si>
    <t>Tartalékok</t>
  </si>
  <si>
    <t xml:space="preserve"> </t>
  </si>
  <si>
    <t>Nyugat Magyarországi Egyetem közösségi szolgálat támogatás</t>
  </si>
  <si>
    <t>Egyesített Bölcsődei Intézmény</t>
  </si>
  <si>
    <t>Támogatás kulturális pályázatokhoz, egyéb szervezetek, társaságok támogatása</t>
  </si>
  <si>
    <t>Önkormányzati bevételekkel fedezett kiadások összesen intézményi kiadások nélkül</t>
  </si>
  <si>
    <t>MŰKÖDÉSI BEVÉTELEK</t>
  </si>
  <si>
    <t>MŰKÖDÉSI KIADÁSOK</t>
  </si>
  <si>
    <t xml:space="preserve">Külföldi  kapcsolatok, kiküldetés </t>
  </si>
  <si>
    <t>Egyéb fejlesztések</t>
  </si>
  <si>
    <t>Egyéb adó és bírságok, pótlékok</t>
  </si>
  <si>
    <t>Szociális hét</t>
  </si>
  <si>
    <t>Nagyrendezvények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</si>
  <si>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</si>
  <si>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</si>
  <si>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</si>
  <si>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</si>
  <si>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</si>
  <si>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</si>
  <si>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</si>
  <si>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Helyi önkormányzatok működésének általános támogatása</t>
  </si>
  <si>
    <t>Települési önkormányzatok egyes köznevelési feladatainak támogatása</t>
  </si>
  <si>
    <t>Települési önkormányzatok kulturális feladatainak támogatása</t>
  </si>
  <si>
    <t>Kiszámlázott általános forgalmi adó és áfa visszatérítése</t>
  </si>
  <si>
    <t>Kamatbevételek</t>
  </si>
  <si>
    <t xml:space="preserve">Felhalmozási célú önkormányzati támogatások </t>
  </si>
  <si>
    <t>Egyéb felhalmozási célú támogatások bevételei államháztartáson belülről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</si>
  <si>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</si>
  <si>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</si>
  <si>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</si>
  <si>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</si>
  <si>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</si>
  <si>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</si>
  <si>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</si>
  <si>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Egységes ügyiratkezelő szoftver az önk. által mük. intézményekben</t>
  </si>
  <si>
    <t>Állami és önkormányzati adatbázisok használati, továbbvezetési, karbantartási és szolgáltatási díja</t>
  </si>
  <si>
    <t>Működési kiadások</t>
  </si>
  <si>
    <t>Kulturális ágazat kiadásai mindösszesen</t>
  </si>
  <si>
    <t xml:space="preserve">Pálos Károly Szociális Szolgáltató Központ és Gyermekjóléti Szolgálat </t>
  </si>
  <si>
    <t>Tartalékok össszesen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</si>
  <si>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</si>
  <si>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</si>
  <si>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</si>
  <si>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</si>
  <si>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</si>
  <si>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Vásárok, rendezvények, karácsonyi díszkivilágítás</t>
  </si>
  <si>
    <t xml:space="preserve">Önkormányzati oktatási kiadások összesen </t>
  </si>
  <si>
    <t xml:space="preserve">Oktatási működési kiadások összesen </t>
  </si>
  <si>
    <t>EPCOS telephely városfejlesztési akcióterv</t>
  </si>
  <si>
    <t>ISPA szennyvízrendszer fejlesztése (ISPA, állami tám., önerő, ÁFA,egyéb kiadások)</t>
  </si>
  <si>
    <t>1. Város és községgazd. szolg.</t>
  </si>
  <si>
    <t>Közvilágitás</t>
  </si>
  <si>
    <t>Egyéb feladatok</t>
  </si>
  <si>
    <t>Kátyúkár - önerő biztosítása</t>
  </si>
  <si>
    <t>2014-2020 évekre szóló projektek előkészítése</t>
  </si>
  <si>
    <t>EGYÉB MŰKÖDÉSI CÉLÚ TÁMOGATÁSOK BEVÉTELEI ÁLLAMHÁZTARTÁSON BELÜLRŐL</t>
  </si>
  <si>
    <t>ELVONÁSOK ÉS BEFIZETÉSEK BEVÉTELEI</t>
  </si>
  <si>
    <t xml:space="preserve">Összesen:                    </t>
  </si>
  <si>
    <t>Sportszervezetek támogatása</t>
  </si>
  <si>
    <t>Fejlesztési céltartalék összesen</t>
  </si>
  <si>
    <t>OMSZ részére Orvosi Ügyelet ellátására</t>
  </si>
  <si>
    <t>Külterületi utak fenntartása</t>
  </si>
  <si>
    <t>Internet alapú városi hálózat</t>
  </si>
  <si>
    <t>Drogellenes stratégiai feladatok</t>
  </si>
  <si>
    <t>Bursa Hungarica felsőokt.ösztöndíj</t>
  </si>
  <si>
    <t>Csapadékvízelvezetés fejlesztése</t>
  </si>
  <si>
    <t>Szombathelyi Egyházmegyei Karitász - Hársfa-ház Pszichiátriai- és Szenvedélybetegek Nappali Ellátója és Átmeneti Otthona, RÉV Szenvedélybeteg-segítő Szolgálta és Közösségi Gondozó</t>
  </si>
  <si>
    <t>Szombathelyi Sportközpont és Sportiskola Nonprofit Kft.  támogatása</t>
  </si>
  <si>
    <t>Gyermek és ifjúsági sport támogatása</t>
  </si>
  <si>
    <t>Szombathelyi Szabadidősport Szövetség támogatása</t>
  </si>
  <si>
    <t>Közösségi és szabadidős sportrendezvények támogatása</t>
  </si>
  <si>
    <t>FALCO KC Kft. támogatása</t>
  </si>
  <si>
    <t xml:space="preserve">Dobó SE támogatása </t>
  </si>
  <si>
    <t>Önkormányzati sport kitüntetések</t>
  </si>
  <si>
    <t>Víziközmű és szennyvízközmű használati díjbevételhez kapcsolódó áfa visszaigénylés</t>
  </si>
  <si>
    <t>Önk.tulajdonú területek kaszálása</t>
  </si>
  <si>
    <t>Vas Megyei Tudományos Ismeretterjesztő Egyesület közművelődési megállapodás</t>
  </si>
  <si>
    <t xml:space="preserve">Települési önkormányzatok szociális, gyermekjóléti és gyermekétkeztetési  feladatainak támogatása </t>
  </si>
  <si>
    <t>Működési célú költségvetési támogatások és kiegészítő támogatások</t>
  </si>
  <si>
    <t>Prémium évek program</t>
  </si>
  <si>
    <t>Savaria Fórum</t>
  </si>
  <si>
    <t>Egyéb pénzügyi műveletek bevétele</t>
  </si>
  <si>
    <t>Térfigyelő kamerarendszer üzemeltetése</t>
  </si>
  <si>
    <t>Felhalmozási célú visszatérítendő támogatások, kölcsönök visszatérülése államháztartáson belülről</t>
  </si>
  <si>
    <t>Sugár úti Sportcentrum üzemeltetéséhez kapacitás lekötés</t>
  </si>
  <si>
    <t>Tömbbelső felújítás</t>
  </si>
  <si>
    <r>
      <t xml:space="preserve">Agora Szombathelyi Kulturális Központ </t>
    </r>
    <r>
      <rPr>
        <b/>
        <i/>
        <sz val="12"/>
        <rFont val="Arial CE"/>
        <charset val="238"/>
      </rPr>
      <t>önkormányzati támogatásból fedezett kiadás</t>
    </r>
  </si>
  <si>
    <t>Agora Szombathelyi Kulturális Központ összesen</t>
  </si>
  <si>
    <t>AGORA Szombathelyi Kulturális Központ</t>
  </si>
  <si>
    <t xml:space="preserve">Központi költségvetés részére visszafizetési kötelezettség </t>
  </si>
  <si>
    <t>Működési bevételek</t>
  </si>
  <si>
    <t>WHO Egészséges városok tagdij, elnökséget adó városi cím és projektváros cím</t>
  </si>
  <si>
    <t>Oktatási ágazat kiadásai</t>
  </si>
  <si>
    <t>Szociális ágazat kiadásai</t>
  </si>
  <si>
    <t>Egészségügyi ágazat kiadásai</t>
  </si>
  <si>
    <t>Óvodai és Iskolai úszásoktatás feladatai</t>
  </si>
  <si>
    <t>Arany János ösztöndíj</t>
  </si>
  <si>
    <t>AGORA Kulturális és Turisztikai Központ</t>
  </si>
  <si>
    <t>Capella Savaria</t>
  </si>
  <si>
    <t>Ferrum Színházi Társulat</t>
  </si>
  <si>
    <t>FELHALMOZÁSI BEVÉTELEK</t>
  </si>
  <si>
    <t>2014.évről áthúzódó hiányra képzett tartalék</t>
  </si>
  <si>
    <t>FELHALMOZÁSI BEVÉTELEK ÖSSZESEN</t>
  </si>
  <si>
    <t>FELHALMZÁSI CÉLÚ TÁMOGATÁSOK ÁLLAMHÁZTARTÁSON BELÜLRŐL</t>
  </si>
  <si>
    <t>Határon túli magyar egyesületek támogatása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</si>
  <si>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</si>
  <si>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</si>
  <si>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</si>
  <si>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</si>
  <si>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</si>
  <si>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</si>
  <si>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 MINDÖSSZESEN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</si>
  <si>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</si>
  <si>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</si>
  <si>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</si>
  <si>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</si>
  <si>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</si>
  <si>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</si>
  <si>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</si>
  <si>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Nem kötelező feladat</t>
  </si>
  <si>
    <t>Csaba úti felüljáró fenntartása, karbantartása</t>
  </si>
  <si>
    <t>Burkolati jelek festése</t>
  </si>
  <si>
    <t xml:space="preserve">Egészségügyi civil szervezetek támogatása </t>
  </si>
  <si>
    <t>Temetkezés és ezzel kapcsolatos szolg.</t>
  </si>
  <si>
    <t>Vizhasználati dij</t>
  </si>
  <si>
    <t xml:space="preserve">Szhelyi Haladás Labdarúgó és Sportszolg.Kft támogatása </t>
  </si>
  <si>
    <t>Helyiségek és lakások bérleti díja</t>
  </si>
  <si>
    <t>Földhaszonbérlet</t>
  </si>
  <si>
    <t>SZMJV Bűnmegelőzési és Közbiztonsági Cselekvési programjának a fedezete, melynek része a pályázati önrész</t>
  </si>
  <si>
    <t xml:space="preserve">Polgárőr szervezetek támogatása </t>
  </si>
  <si>
    <t>Savaria Turizmus Nonprofit Kft - támogatása</t>
  </si>
  <si>
    <t xml:space="preserve">Nemzeti ovi foci - ovi sport program pályázati önrész </t>
  </si>
  <si>
    <t>Felhalmozási kiadások</t>
  </si>
  <si>
    <t>Áfa visszaigénylés</t>
  </si>
  <si>
    <t>Erdei Iskola északi lakóterület közműfejlesztés</t>
  </si>
  <si>
    <t>Légszenyezettségi mérőállomások villamos energia ellátása</t>
  </si>
  <si>
    <t>SZAK támogatása</t>
  </si>
  <si>
    <t>Vagyongazdálkodási kiadások - szakértők igénybevétele, ügyvédi munkadíj, egyéb kiadások</t>
  </si>
  <si>
    <t>Folyékony hulladékgyűjtés</t>
  </si>
  <si>
    <t>eredeti előirányzat</t>
  </si>
  <si>
    <t>Költségvetési szervek működési bevételei</t>
  </si>
  <si>
    <t>Költségvetési szervek felhalmozási bevételei</t>
  </si>
  <si>
    <t>Víziközmű és szennyvízközmű használati díjbevétel</t>
  </si>
  <si>
    <t>Szegélyek javítása (akadálymentesítés, szintbehelyezés)</t>
  </si>
  <si>
    <t>Jelzőtáblák (forgalmi rend változás)</t>
  </si>
  <si>
    <t>Zárt csapadék csatorna fenntartása</t>
  </si>
  <si>
    <t>Savaria Szimfonikus Zenekar összesen</t>
  </si>
  <si>
    <r>
      <t xml:space="preserve">Savaria Szimfonikus Zenekar </t>
    </r>
    <r>
      <rPr>
        <b/>
        <i/>
        <sz val="12"/>
        <rFont val="Arial"/>
        <family val="2"/>
        <charset val="238"/>
      </rPr>
      <t>önkormányzati támogatásból fedezett kiadás</t>
    </r>
  </si>
  <si>
    <t>Kalandváros és Műjégpálya óvodai és iskolai csoportok által történő szervezett látogatásának támogatása</t>
  </si>
  <si>
    <r>
      <t xml:space="preserve">Pálos Károly Szociális Szolgáltató Központ és Gyermekjóléti Szolgálat </t>
    </r>
    <r>
      <rPr>
        <b/>
        <i/>
        <sz val="12"/>
        <rFont val="Arial CE"/>
        <charset val="238"/>
      </rPr>
      <t>intézmény saját bevételéből fedezett kiadás</t>
    </r>
  </si>
  <si>
    <t xml:space="preserve">Panel program - 2009.évi 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</si>
  <si>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</si>
  <si>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</si>
  <si>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</si>
  <si>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 összesen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</si>
  <si>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</si>
  <si>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</si>
  <si>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</si>
  <si>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</si>
  <si>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Prenor Kft. telephely felújítás</t>
  </si>
  <si>
    <t>Vak Bottyán u. Gyöngyös patak híd felújítás engedély, korsz.vizsg.,tervezői ktg.</t>
  </si>
  <si>
    <t>Kulturális kiadások, média</t>
  </si>
  <si>
    <t>Működési célú maradvány</t>
  </si>
  <si>
    <t xml:space="preserve">Önkormányzati bérlakások felújítása </t>
  </si>
  <si>
    <t xml:space="preserve">Stromfeldtől északra eső ter. csapvíz elvezetés </t>
  </si>
  <si>
    <t>407290-407291</t>
  </si>
  <si>
    <t>Mesebolt Bábszínház</t>
  </si>
  <si>
    <t>Szombathelyi Szimfónikus Zenekar</t>
  </si>
  <si>
    <r>
      <t xml:space="preserve">Pálos Károly Szociális Szolgáltató Központ és Gyermekjóléti Szolgálat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</si>
  <si>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Egyesített Bölcsődei Intézmény </t>
    </r>
    <r>
      <rPr>
        <b/>
        <i/>
        <sz val="12"/>
        <rFont val="Arial CE"/>
        <charset val="238"/>
      </rPr>
      <t>önkormányzati támogatásból fedezett kiadás</t>
    </r>
  </si>
  <si>
    <r>
      <t>Egyesített Bölcsődei Intézmény</t>
    </r>
    <r>
      <rPr>
        <b/>
        <i/>
        <sz val="12"/>
        <rFont val="Arial CE"/>
        <charset val="238"/>
      </rPr>
      <t xml:space="preserve"> saját bevételéből fedezett kiadás</t>
    </r>
  </si>
  <si>
    <t>Gyermekvédelmi ágazat kiadásai mindösszesen</t>
  </si>
  <si>
    <t>Mesebolt Bábszínház összesen</t>
  </si>
  <si>
    <t>GAMESZ</t>
  </si>
  <si>
    <r>
      <t xml:space="preserve">Savaria Múzeum </t>
    </r>
    <r>
      <rPr>
        <b/>
        <i/>
        <sz val="12"/>
        <rFont val="Arial CE"/>
        <charset val="238"/>
      </rPr>
      <t>önkormányzati támogatásból fedezett kiadás</t>
    </r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</si>
  <si>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</si>
  <si>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</si>
  <si>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</si>
  <si>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</si>
  <si>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</si>
  <si>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</si>
  <si>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</si>
  <si>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</si>
  <si>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</si>
  <si>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Weöres S. Színház művészeti támogatása</t>
  </si>
  <si>
    <t>Weöres S. Színház működési támogatása</t>
  </si>
  <si>
    <t>Mesebolt Bábszínház művészeti támogatása</t>
  </si>
  <si>
    <t>Mesebolt Bábszínház működési támogatása</t>
  </si>
  <si>
    <t>Berzsenyi Dániel Könyvtár összesen</t>
  </si>
  <si>
    <t xml:space="preserve">Savaria Múzeum </t>
  </si>
  <si>
    <t xml:space="preserve">Berzsenyi Dániel könyvtár </t>
  </si>
  <si>
    <t>Savaria Szimfónikus zenekar központi támogatása</t>
  </si>
  <si>
    <r>
      <t xml:space="preserve">Mesebolt Bábszínház </t>
    </r>
    <r>
      <rPr>
        <b/>
        <i/>
        <sz val="12"/>
        <rFont val="Arial"/>
        <family val="2"/>
        <charset val="238"/>
      </rPr>
      <t xml:space="preserve">önkormányzati támogatásból fedezett kiadása </t>
    </r>
  </si>
  <si>
    <r>
      <t>Weöres Sándor Színház Nonprofit Kft.</t>
    </r>
    <r>
      <rPr>
        <b/>
        <i/>
        <sz val="12"/>
        <rFont val="Arial CE"/>
        <charset val="238"/>
      </rPr>
      <t xml:space="preserve"> önkormányzati támogatása</t>
    </r>
  </si>
  <si>
    <t>Versenyek, rendezvények, támogatások</t>
  </si>
  <si>
    <t>Önkormányzati napközis tábor megszervezése</t>
  </si>
  <si>
    <t>Városi pedagógus nap, tanévnyító ünnepség</t>
  </si>
  <si>
    <t>Óvoda adminisztrációs szoftver</t>
  </si>
  <si>
    <t>vagyongazdálkodási kiadások (ingatlan kisajátítás, vásárlás)</t>
  </si>
  <si>
    <t>Közösségi közlekedés (buszmegállók kialakítása, leszálló szigetek helyreállítása, kialakítás))</t>
  </si>
  <si>
    <t xml:space="preserve">Aktív időskor Szombathelyen program </t>
  </si>
  <si>
    <t>Könyvvizsgálói költség</t>
  </si>
  <si>
    <t>Nyugdíjba vonuló vezetők ped.szolg.emlékérme és juttatása</t>
  </si>
  <si>
    <t>Foltos bevonat</t>
  </si>
  <si>
    <t>Bérleti díj</t>
  </si>
  <si>
    <t>Lakáskölcsöntörlesztés</t>
  </si>
  <si>
    <t>Szolgalmi joggal terhelt épületrész karbantartása</t>
  </si>
  <si>
    <t>Parkfenntartás</t>
  </si>
  <si>
    <t>ÖNKORMÁNYZATI KULTURÁLIS KIADÁSOK ÖSSZESEN</t>
  </si>
  <si>
    <t>KULTURÁLIS MŰKÖDÉSI KIADÁSOK ÖSSZESEN</t>
  </si>
  <si>
    <t>Önkormányzati szociális kiadások összesen</t>
  </si>
  <si>
    <t>Szociális működési kiadások összesen</t>
  </si>
  <si>
    <t>Önkormányzati egészségügyi kiadások összesen</t>
  </si>
  <si>
    <t>Egészségügyi működési kiadások összesen</t>
  </si>
  <si>
    <t>Önkormányzati gyermekvédelmi kiadások összesen</t>
  </si>
  <si>
    <t>Városfejlesztési alap</t>
  </si>
  <si>
    <t>Gyermekvédelmi működési kiadások összesen</t>
  </si>
  <si>
    <t>Önkormányzati egyéb, más ágazathoz nem sorolható kiadások összesen</t>
  </si>
  <si>
    <t>Egyéb más ágazathoz nem sorolható feladatok és intézmények működési kiadásai összesen</t>
  </si>
  <si>
    <t>Egyéb, más ágazathoz nem sorolható intézmények és feladatok kiadásai mindösszesen</t>
  </si>
  <si>
    <t>Közterület felügyelet bírság bevétel</t>
  </si>
  <si>
    <t xml:space="preserve">  Kiadások és finanszírozási műveletek összesen</t>
  </si>
  <si>
    <t>Finanszírozási műveletek összesen</t>
  </si>
  <si>
    <t xml:space="preserve">Pedagógus kituntetések </t>
  </si>
  <si>
    <t>Rendőrség támogatása</t>
  </si>
  <si>
    <t>SOS Gyermekfalu Magyarországi Alapítvány támogatása (átmeneti vagy tartós nevelésbe vett gyermekek, fiatal felnőttek gyermekvédelmi szakellátása)</t>
  </si>
  <si>
    <t>Egyéb, más ágazathoz nem sorolható intézmények és feladatok kiadásai</t>
  </si>
  <si>
    <t>Nemzetiségi Önkormányzatok támogatása</t>
  </si>
  <si>
    <t>SZOVA Zrt. Parkolásgazdálkodásból származó bevétel</t>
  </si>
  <si>
    <t>SZOVA Zrt. Parkolásgazdálkodásból származó ÁFA visszatérülés</t>
  </si>
  <si>
    <t>Kiemelkedő sporteredmények jutalmazása (Sportkarácsony)</t>
  </si>
  <si>
    <t>Szomhull illegális hulladéklerakás</t>
  </si>
  <si>
    <t>Forgalmi rend felülvizsgálata</t>
  </si>
  <si>
    <t>Integrált pénzügyi rendszer üzemeltetés az intézményekben</t>
  </si>
  <si>
    <t>Szombathelyi Képző Központ Nonprofit Kft. működési kiadások</t>
  </si>
  <si>
    <t xml:space="preserve">Felhalmozási célú maradvány </t>
  </si>
  <si>
    <t xml:space="preserve">Teljes pályaszerkezet helyreállítás </t>
  </si>
  <si>
    <t>Oktatási, szociális és ifjúsági kiadások - tartalék</t>
  </si>
  <si>
    <t>Nem önkormányzati kulturális és civil szervezetek támogatása</t>
  </si>
  <si>
    <t xml:space="preserve">Városi rendezvények és kiemelt rendezvények </t>
  </si>
  <si>
    <t>Költségvetési szervek beruházásai és felújításai összesen:</t>
  </si>
  <si>
    <t>KISZ Lakótelepért Egyesület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</si>
  <si>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</si>
  <si>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</si>
  <si>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</si>
  <si>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</si>
  <si>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</si>
  <si>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>Sportágazat kiadásai összessen</t>
  </si>
  <si>
    <t xml:space="preserve">Gyermekvédelem </t>
  </si>
  <si>
    <t xml:space="preserve"> Működési célú bevételek összesen :</t>
  </si>
  <si>
    <t>Petz ösztöndíj</t>
  </si>
  <si>
    <t>Városi kulturális intézmények</t>
  </si>
  <si>
    <t>Városi kulturális intézmények és Weöres S. Színház összesen</t>
  </si>
  <si>
    <t>Kulturális intézmények támogatása</t>
  </si>
  <si>
    <t>KULTURÁLIS INTÉZMÉNYEK TÁMOGATÁSA ÖSSZESEN</t>
  </si>
  <si>
    <t>Felhalmozási célú bevételek</t>
  </si>
  <si>
    <t>Rendezvények támogatása</t>
  </si>
  <si>
    <t>Kiemelt rendezvények</t>
  </si>
  <si>
    <t>Kiemelt rendezvények összesen</t>
  </si>
  <si>
    <t>RENDEZVÉNYEK ÖSSZESEN</t>
  </si>
  <si>
    <t>Egyéb támogatások</t>
  </si>
  <si>
    <t>Mérőkészülékek felszerelése, és egyéb lakásgazdálkodási kiadások</t>
  </si>
  <si>
    <t>Önerő támogatás kulturális pályázatokhoz összesen</t>
  </si>
  <si>
    <t>Közhasznú információk támogatása összesen</t>
  </si>
  <si>
    <t>Kulturális és Civil Alap</t>
  </si>
  <si>
    <t>KULTURÁLIS ÉS CIVIL ALAP ÖSSZESEN</t>
  </si>
  <si>
    <t>Ungaresca Táncegyüttes</t>
  </si>
  <si>
    <t>Polgármesteri keret</t>
  </si>
  <si>
    <t>Általános tartalék</t>
  </si>
  <si>
    <t>Egészség-hét</t>
  </si>
  <si>
    <t>Egyéb rendezvények</t>
  </si>
  <si>
    <t>Humán Civil ház</t>
  </si>
  <si>
    <t>Közbeszerzési kiadások</t>
  </si>
  <si>
    <t>Segély önkormányzati támogatásból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</si>
  <si>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</si>
  <si>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</si>
  <si>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</si>
  <si>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</si>
  <si>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</si>
  <si>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</si>
  <si>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évközi tervezések, útfelújítás tervezések</t>
  </si>
  <si>
    <t>Útigénybevételi díj</t>
  </si>
  <si>
    <t>Csapadékvízelvezetés</t>
  </si>
  <si>
    <t xml:space="preserve">Mindösszesen:          </t>
  </si>
  <si>
    <t>Jelzőlámpák</t>
  </si>
  <si>
    <t>Finanszírozási műveletek</t>
  </si>
  <si>
    <t xml:space="preserve">  Bevételek és finanszírozási műveletek összesen</t>
  </si>
  <si>
    <t>Gyermekvédelmi kiadások</t>
  </si>
  <si>
    <t>Szociális ágazat</t>
  </si>
  <si>
    <t>Közterület felügyelet</t>
  </si>
  <si>
    <t>Egyéb bevételek</t>
  </si>
  <si>
    <t>Tavak haszonbérbe adása</t>
  </si>
  <si>
    <t xml:space="preserve">Önkormányzat </t>
  </si>
  <si>
    <t>Közterület - felügyelet</t>
  </si>
  <si>
    <t>Savaria Múzeum összesen</t>
  </si>
  <si>
    <t>Közművelődési kiegészítő támogatás - Berzsenyi D. Könyvtár</t>
  </si>
  <si>
    <t>TIOP pályázat keretében beszerzésre került eszközök karbantartása</t>
  </si>
  <si>
    <t>Horvát nemzetiségi nap támogatás</t>
  </si>
  <si>
    <t>Közterület foglalás</t>
  </si>
  <si>
    <t>Sport ágazat kiadásai</t>
  </si>
  <si>
    <t>Folyószámla hitel kamata, bankköltségek</t>
  </si>
  <si>
    <t xml:space="preserve">út, járda, híd, kerékpárút, parkoló, közvilágítási építési és felújítási program </t>
  </si>
  <si>
    <t xml:space="preserve"> Működési célú kiadások összesen :</t>
  </si>
  <si>
    <t>Fejlesztési céltartalék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</si>
  <si>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</si>
  <si>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</si>
  <si>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</si>
  <si>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</si>
  <si>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</si>
  <si>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</si>
  <si>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</si>
  <si>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</si>
  <si>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Önkormányzati felhalmozási kiadások mindösszesen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</si>
  <si>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</si>
  <si>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</si>
  <si>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</si>
  <si>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</si>
  <si>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</si>
  <si>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>EPCOS ingatlan vásárlás</t>
  </si>
  <si>
    <t>Temetők sírhelyeladása, egyéb szolg.díja</t>
  </si>
  <si>
    <t>ELAMEN RT, és egyéb  bérleti díjak</t>
  </si>
  <si>
    <t>Szemünk fénye program - bérleti díj 12 hónapra</t>
  </si>
  <si>
    <t>EGYÉB TÁMOGATÁSOK MINDÖSSZESEN</t>
  </si>
  <si>
    <t>MÉDIA MINDÖSSZESEN</t>
  </si>
  <si>
    <t>Egyéb más ágazathoz nem sorolható int.és feladatok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</si>
  <si>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</si>
  <si>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</si>
  <si>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</si>
  <si>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</si>
  <si>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</si>
  <si>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</si>
  <si>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</si>
  <si>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</si>
  <si>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</si>
  <si>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</si>
  <si>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</si>
  <si>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</si>
  <si>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</si>
  <si>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</si>
  <si>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>Lelkisegély szolgálat támogatása  (szerződés) - Telehumanitas Szombathelyi Mentálhigiénés Egyesület</t>
  </si>
  <si>
    <t xml:space="preserve">Fejlesztési céltartalékok </t>
  </si>
  <si>
    <t>Segély központi támogatásból</t>
  </si>
  <si>
    <t>Önk.int.-ek fűtéskorszerűsítés - bérleti díj 12 hónapra</t>
  </si>
  <si>
    <t>Média</t>
  </si>
  <si>
    <t xml:space="preserve">Technikai, bevétellel 100%-ig fedezett tételek </t>
  </si>
  <si>
    <t>Kiszámlázott és befizetendő áfa</t>
  </si>
  <si>
    <t>Helyreállítások (teljes pályaszerkezet csere)</t>
  </si>
  <si>
    <t>Padkarendezés</t>
  </si>
  <si>
    <t>Hidak, műtárgyak üzemeltetése (lemosása)</t>
  </si>
  <si>
    <t>Járdafenntartás</t>
  </si>
  <si>
    <t>Kerékpárútfenntartás</t>
  </si>
  <si>
    <t>Óvodák</t>
  </si>
  <si>
    <t>Olimpiai reménységeket nevelő egyesületek támogatása</t>
  </si>
  <si>
    <t>Közhatalmi bevételek</t>
  </si>
  <si>
    <t xml:space="preserve">Háziorvosi rendelők karbantartása </t>
  </si>
  <si>
    <t>Weöres Sándor Színház Nonprofit Kft. összesen</t>
  </si>
  <si>
    <t>Savaria Városfejlesztési Kft. támogatása</t>
  </si>
  <si>
    <t>Nyilt árok tisztítás, árokrendezés (árvízvédelmi művek, berendezések, karbantartása)</t>
  </si>
  <si>
    <t>Szökőkutak előre nem látható hibaelhárítása</t>
  </si>
  <si>
    <t>Termőföld bérbeadásából szárm.jöv.adó</t>
  </si>
  <si>
    <t>Helyi iparűzési adó</t>
  </si>
  <si>
    <t>Helyettes szülői hálózat</t>
  </si>
  <si>
    <t>Hemo épülétenek bérbeadása</t>
  </si>
  <si>
    <t>Egyéb működési célú bevétel</t>
  </si>
  <si>
    <t>összesen</t>
  </si>
  <si>
    <t xml:space="preserve">SZOMBATHELY MEGYEI JOGÚ VÁROS ÖNKORMÁNYZATÁNAK  PÉNZÜGYI  MÉRLEGE        </t>
  </si>
  <si>
    <t>Út-híd fenntartás</t>
  </si>
  <si>
    <t>Média összesen</t>
  </si>
  <si>
    <t>Települési hulladékkezelés és köztisztasági tevékenység, és hóeltakarítás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</si>
  <si>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</si>
  <si>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charset val="238"/>
      </rPr>
      <t>saját bevételéből és OEP támogatásból fedezett kiadás</t>
    </r>
  </si>
  <si>
    <t>Szombathelyi Egészségügyi és Kulturális Intézmények GESZ</t>
  </si>
  <si>
    <t>Központi bevételekkel fedezett kiadások</t>
  </si>
  <si>
    <t>Önkormányzati bevételekkel fedezett kiadások</t>
  </si>
  <si>
    <t>Központi bevételekkel fedezett kiadások összesen</t>
  </si>
  <si>
    <t>Erdőgazdálkodási költség</t>
  </si>
  <si>
    <t>Önkormányzati konferenciák, rendezvények, fogadások</t>
  </si>
  <si>
    <t xml:space="preserve">     Beruházások  összesen</t>
  </si>
  <si>
    <t>Nagy Lajos Gimnázium fűtése, hőszolgáltatási ktg</t>
  </si>
  <si>
    <t>Főépítészi Iroda (tervtanács, rendezési terv)</t>
  </si>
  <si>
    <t>Áfa befizetés (saját bevételből)</t>
  </si>
  <si>
    <t>Intézményi vagyonbiztosítások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</si>
  <si>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</si>
  <si>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</si>
  <si>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</si>
  <si>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>Egészségügyi ágazat kiadásai mindösszesen</t>
  </si>
  <si>
    <t xml:space="preserve">Oktatási ágazat </t>
  </si>
  <si>
    <t>Szociális ágazat kiadásai mindösszesen</t>
  </si>
  <si>
    <t>Oktatási ágazat kiadásai mindösszesen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</si>
  <si>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</si>
  <si>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</si>
  <si>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</si>
  <si>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</si>
  <si>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</si>
  <si>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Egészségügyi kiadások tartaléka</t>
  </si>
  <si>
    <t>Megyei hatókörű városi múzeumok feladatainak támogatása - Savaria Múzeum feladatainak támogatása</t>
  </si>
  <si>
    <t>Megyei könyvtárak feladatainak támogatása - Berzsenyi Dániel könyvtár feladatainak támogatása</t>
  </si>
  <si>
    <t>Megyeszékhely megyei jogú városok közművelődési feladatainak támogatása</t>
  </si>
  <si>
    <t>Berzsenyi Dániel megyei könyvtár kistelepülési könyvtári célú kiegészítő támogatása</t>
  </si>
  <si>
    <t>ezer forintban</t>
  </si>
  <si>
    <t>Köznevelési feladatellátás ellenőrzése</t>
  </si>
  <si>
    <t>Városi strandterület hasznosítás eng.és kiviteli tervek</t>
  </si>
  <si>
    <t>Savaria Történelmi Karnevál Közhasznú Közalapítvány működési támogatása</t>
  </si>
  <si>
    <t>Városi rendezvények köztisztasági tevékenysége</t>
  </si>
  <si>
    <t>Tervezések hatósági díja lejáró engedélyekhez</t>
  </si>
  <si>
    <t>Városmakett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</si>
  <si>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</si>
  <si>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</si>
  <si>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</si>
  <si>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</si>
  <si>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</si>
  <si>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</si>
  <si>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</si>
  <si>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</si>
  <si>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</si>
  <si>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</si>
  <si>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</si>
  <si>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Intézmények vírusvédelmi rendszerének licence díja</t>
  </si>
  <si>
    <t>Szombathelypont facebook reklám, angol fordítás</t>
  </si>
  <si>
    <t>Közterület-felügyelet átjátszó bérleti díj</t>
  </si>
  <si>
    <t>Városi térfigyelő kamera rendszer továbbfejlesztése</t>
  </si>
  <si>
    <t>Nem oktatási intézmények eszközfejlesztése</t>
  </si>
  <si>
    <t>Markusovszky u. híd felújítása</t>
  </si>
  <si>
    <t>I. világháborús emlékmű + Pápa látogatás évfordulójára köztéri alkotások elhelyezése</t>
  </si>
  <si>
    <t>KLIK által működtetett többcélú intézmények és kollégiumok működési hozzájárulás</t>
  </si>
  <si>
    <t>Fogyatékkal élőket és hajléktalanokat ellátó Nkft.</t>
  </si>
  <si>
    <t>Szombathely a segítés városa program</t>
  </si>
  <si>
    <t>Vívók támogatása</t>
  </si>
  <si>
    <t>Nemzetközi diákjátékok</t>
  </si>
  <si>
    <t>Víznyelők tisztítása</t>
  </si>
  <si>
    <t xml:space="preserve">  Ebből: Képviselői keret                               63.000 eFt</t>
  </si>
  <si>
    <t xml:space="preserve">             Egyéb városfejlesztési célok           22.000 eFt</t>
  </si>
  <si>
    <t>Buszmegálló kialakítása</t>
  </si>
  <si>
    <t>Egyéb szociális kiadások, támogatások</t>
  </si>
  <si>
    <t>0632/11, 0632/13, 0632/31 hrsz ingatlanok vételárának kifizetése(Csónakázó tó)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</si>
  <si>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</si>
  <si>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</si>
  <si>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</si>
  <si>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</si>
  <si>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</si>
  <si>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</si>
  <si>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</si>
  <si>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</si>
  <si>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</si>
  <si>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</si>
  <si>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</si>
  <si>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</si>
  <si>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</si>
  <si>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</si>
  <si>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</si>
  <si>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</si>
  <si>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</si>
  <si>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</si>
  <si>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</si>
  <si>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</si>
  <si>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</si>
  <si>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</si>
  <si>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</si>
  <si>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</si>
  <si>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</si>
  <si>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Egészségügyi és Kulturális intézmények GESZ</t>
  </si>
  <si>
    <t>Markusovszky kórház támogatása</t>
  </si>
  <si>
    <t xml:space="preserve">Költségvetési </t>
  </si>
  <si>
    <t>Önkormányzat</t>
  </si>
  <si>
    <t>szervek bevételei</t>
  </si>
  <si>
    <t>szervek kiadásai</t>
  </si>
  <si>
    <t>bevételei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</si>
  <si>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</si>
  <si>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</si>
  <si>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</si>
  <si>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</si>
  <si>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</si>
  <si>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</si>
  <si>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</si>
  <si>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</si>
  <si>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</si>
  <si>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</si>
  <si>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</si>
  <si>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</si>
  <si>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</si>
  <si>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</si>
  <si>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</si>
  <si>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</si>
  <si>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</si>
  <si>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</si>
  <si>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</si>
  <si>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</si>
  <si>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</si>
  <si>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</si>
  <si>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</si>
  <si>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</si>
  <si>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</si>
  <si>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</si>
  <si>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</si>
  <si>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</si>
  <si>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</si>
  <si>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B8</t>
  </si>
  <si>
    <t>K9</t>
  </si>
  <si>
    <t>Környezetállapot értékelés (talaj, víz, levegő)</t>
  </si>
  <si>
    <t xml:space="preserve">Sport létesítmény üzemeltetés </t>
  </si>
  <si>
    <t>ÉNYKK  Zrt. - helyi tömegközlekedés támogatása</t>
  </si>
  <si>
    <t>HVSE támogatása</t>
  </si>
  <si>
    <t>Viktória FC támogatása</t>
  </si>
  <si>
    <t>szombathelypont.hu portál fejlesztés</t>
  </si>
  <si>
    <t>Szent Márton Emlékévhez kapcsolódó beruházások</t>
  </si>
  <si>
    <t>SZTK épület közműveinek leszakaszolása</t>
  </si>
  <si>
    <t>Sportkoncepció</t>
  </si>
  <si>
    <t>Lakás és helyiségüzemeltetés veszteségpótlás</t>
  </si>
  <si>
    <t>"Zöld városrész" projekt - akcióterületi terv</t>
  </si>
  <si>
    <t>Gencsapáti Község Önkormányzata - felnőtt háziorvosok ügyeleti díja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</si>
  <si>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</si>
  <si>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</si>
  <si>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</si>
  <si>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</si>
  <si>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</si>
  <si>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>Szombathelyi Kőszegi u. 44.sz. alatti épület felújítása pályázat (önrész+támogatás)</t>
  </si>
  <si>
    <t xml:space="preserve">Savaria Városfejlesztési Kft. - tagi kölcsön </t>
  </si>
  <si>
    <t>Választott képviselők és bizottsági tagok juttatásai</t>
  </si>
  <si>
    <t>Intézményi működési maradvány</t>
  </si>
  <si>
    <t>Intézményi felhalmozási maradvány</t>
  </si>
  <si>
    <t>Savaria Történelmi Karnevál Közhasznú Közalapítvány NKA pályázati önrész</t>
  </si>
  <si>
    <t>előirányzat</t>
  </si>
  <si>
    <t>2017. évi</t>
  </si>
  <si>
    <t>TOP projekthez kapcsolódó pályázati támogatás</t>
  </si>
  <si>
    <t>"Szombathely Szent Márton városa "Jóléti Alapítvány  támogatás</t>
  </si>
  <si>
    <t>Hatósági díjak, egyéb kiadások</t>
  </si>
  <si>
    <t>Szent Márton Emlékévhez kapcsolódó beruházások után áfa visszaigénylés</t>
  </si>
  <si>
    <t>Bartók Fesztivál</t>
  </si>
  <si>
    <t>Érzékenyítő programok - Helyi esélyegyenlőségi program keretében</t>
  </si>
  <si>
    <t>Kariatida tanulmányi támogatás rendszerének működtetése - "Szombathely Szent Márton városa" Jóléti Alapítvány</t>
  </si>
  <si>
    <t>URBACT III program Disarmed citis projekt (önerő+támogatás) II.ütem</t>
  </si>
  <si>
    <t>FALCO imisszió folyamatos mérése</t>
  </si>
  <si>
    <t>Gyalogátkelőhelyek akadálymentesítése - helyi esélyegyenlőségi program keretében</t>
  </si>
  <si>
    <t>Csónakázó tó szigetén mozgáskorlátozott közlekedés kialakítása</t>
  </si>
  <si>
    <t>Herényi temető bővítés</t>
  </si>
  <si>
    <t>TOP projektek auditálási kiadásai</t>
  </si>
  <si>
    <t>Egyébfinanszírozási műveletek</t>
  </si>
  <si>
    <t>Egyéb finanszírozási műveletek</t>
  </si>
  <si>
    <t>Pályázati díjak</t>
  </si>
  <si>
    <t>URBACT III program Disarned citis projekt támogatás I. ütem</t>
  </si>
  <si>
    <t>URBACT III program Disarned citis projekt támogatás II. ütem</t>
  </si>
  <si>
    <t>TOP-6.8.2-15 Gazdaság- és fogl.fejl.partnerség a szhelyi járás területén</t>
  </si>
  <si>
    <t>Savaria Történelmi Karnevál Közhasznú Közalapítvány NKA pályázati nevezési díj</t>
  </si>
  <si>
    <t>Városmarketing, kommunikáció - Modern városok programhoz, TOP és egyéb fejlesztésekhez kapcsolódóan</t>
  </si>
  <si>
    <t>VASIVÍZ ZRt.-Uszoda fenntartás</t>
  </si>
  <si>
    <t>VASIVÍZ ZRt.-Szent Márton kártyával kapcsolatos kedvezmény megtérítése</t>
  </si>
  <si>
    <t>Térfigyelő kamerarendszer adatátviteli hálózat üzemeltetés</t>
  </si>
  <si>
    <t>TOP-6.9.1-15 Társadalmi együttműködést elősegítő  komplex programok az Óperint városrészen</t>
  </si>
  <si>
    <t>TOP 6.2.1-15-00004 Weöres S. és Pipitér Óvoda fejlesztése Szombathelyen</t>
  </si>
  <si>
    <t>TOP 6.3.3-15-Szhely bel- és csapadékvíz védelmi rendsz.fejl.</t>
  </si>
  <si>
    <t>TOP 6.2.1-15-00003 Százszorszép Bölcsőde és Mocorgó Óvoda fejlesztése Szombathelyen</t>
  </si>
  <si>
    <t>TOP 6.6.1-15-00003 Új Egészségügyi Alapellátó Központ kialakítása</t>
  </si>
  <si>
    <t>TOP 6.6.1-15 SZMJV kerékpárosbarát fejlesztése</t>
  </si>
  <si>
    <t>TOP 6.1.5-15 SZMJV közúthálózati elemeinekgazd.fejl.célú megújítása</t>
  </si>
  <si>
    <t>Szombathely, Kőszeg u.44. műemlék épület felújításának támogatása</t>
  </si>
  <si>
    <t>Gyalogátkelőhelyek kialakítása</t>
  </si>
  <si>
    <t>TOP-6.2.1-15-00004 Weöres S. és Pipitér Óvoda fejlesztése Szombathelyen</t>
  </si>
  <si>
    <t>TOP-6.2.1-15-00004 Weöres S. és Pipitér Óvoda fejlesztése Szombathelyen fordított áfa kiadás</t>
  </si>
  <si>
    <t>TOP-6.3.3-15 Szhely bel- és csapadékvíz védelmi rendsz.fejl.</t>
  </si>
  <si>
    <t>TOP-6.3.3-15 Szhely bel- és csapadékvíz védelmi rendsz.fejl. fordított áfa kiadás</t>
  </si>
  <si>
    <t>TOP-6.2.1-15-00003 Százszorszép Bölcsőde és Mocorgó Óvoda fejlesztése Szombathelyen</t>
  </si>
  <si>
    <t>TOP-6.6.1-15 Új Egészségügyi Alapellátó központ kialakítása</t>
  </si>
  <si>
    <t>TOP-6.6.1-15 Új Egészségügyi Alapellátó központ kialakítása fordított áfa</t>
  </si>
  <si>
    <t>TOP-6.1.5-15 SZMJV közúthálózati elemeinek gazdfejl.célú megújítása</t>
  </si>
  <si>
    <t>TOP-6.1.5-15 SZMJV közúthálózati elemeinek gazdfejl.célú megújítása fordított áfa kiadás</t>
  </si>
  <si>
    <t>TOP-6.4.1-15 SZMJV kerékpárosbarát fejlesztése</t>
  </si>
  <si>
    <t>Felhalmozási célú hitel felvétel</t>
  </si>
  <si>
    <t>INTERREG V-A Ausztria - Magyarország Együttműködési Program megvalósítása (önerő)</t>
  </si>
  <si>
    <t>Veloregio határon átnyúló osztrák-magyar kerékpár turisztikai pályázat  (önerő)</t>
  </si>
  <si>
    <t>Oladi lakótelep - Nagy László utcai parkoló építés</t>
  </si>
  <si>
    <t>Körmendi úti kerékpárút ívkorrekció</t>
  </si>
  <si>
    <t xml:space="preserve">Új egészségügyi alapellátó központban eszközfejlesztés </t>
  </si>
  <si>
    <t>Szent Márton kártya rendszer kialakítása,  QR kód alapú továbbfejlesztése</t>
  </si>
  <si>
    <t>TOP 6.1.1-15. Ipari parkok iparterületek fejlesztése önkormányzati önerő (Északi Iparterület)</t>
  </si>
  <si>
    <t>TOP 6.1.1-15. Ipari parkok iparterületek fejlesztése SZOVA önerő (Sárdi-ér út)</t>
  </si>
  <si>
    <t>TOP-6.5.1-15 Városháza épületének felújítása önerő</t>
  </si>
  <si>
    <t>2018. évi útfelújítás tervezése</t>
  </si>
  <si>
    <t>Aranypatak híd forgalmi rend felülvizsgálat</t>
  </si>
  <si>
    <t>Elvonások és befizetések bevételei</t>
  </si>
  <si>
    <t>Települési önkormányzatok kulturális feladatainak támogatása összesen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</si>
  <si>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</si>
  <si>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</si>
  <si>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</si>
  <si>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</si>
  <si>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</si>
  <si>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</si>
  <si>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</si>
  <si>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Szolidarítási adó</t>
  </si>
  <si>
    <t>Segítő kezek infokummunikációs modell program</t>
  </si>
  <si>
    <t>Roma Nemzetiségi Önkormányzat</t>
  </si>
  <si>
    <t>Szépítő Egyesület városvédők nyári tábora</t>
  </si>
  <si>
    <t>Szarka Zoltán síremlék tervezése és kivitelezése</t>
  </si>
  <si>
    <t>Bölcsődék informatikai eszközfejlesztése</t>
  </si>
  <si>
    <t>Óvodák informatikai eszközfejlesztése</t>
  </si>
  <si>
    <t>Óvoda felújítások</t>
  </si>
  <si>
    <t>Országos tan.versenyen eredményesen szereplő diákok és felkészítő tanárok jutalmazása</t>
  </si>
  <si>
    <t>Óvoda Intézményi karbantartás</t>
  </si>
  <si>
    <t>Gazdaságfejlesztési alap</t>
  </si>
  <si>
    <t xml:space="preserve"> - Egyetemi oktatók támogatása</t>
  </si>
  <si>
    <t xml:space="preserve"> - Egyéb gazdaságfejlesztés</t>
  </si>
  <si>
    <t xml:space="preserve">             Tervezések                                        20.000 eFt</t>
  </si>
  <si>
    <t>TOP-6.5.2-15 Megújuló Szombathely - tiszta energia saját erőből</t>
  </si>
  <si>
    <t>TOP-6.1.1-15-00002 Sombathely, Sárdi-ér úti terület alapinfrastruktúrájának kiépítése</t>
  </si>
  <si>
    <t>TOP-6.3.1-15 Szhely Szent.L.kir.u.felhagyott iparterület fejl.áfa visszaigénylés</t>
  </si>
  <si>
    <t>Szombathelyi Kézilabda Klub és Akadémia támogatása</t>
  </si>
  <si>
    <t>Szt.Márton Terv II.ütem-Modern Városok Program</t>
  </si>
  <si>
    <t>Fedett uszoda további fejl.és bővítése - Modern Városok Program</t>
  </si>
  <si>
    <t>TOP-6.2.1-00005 Bölcsőde fejlesztések Szombathelyen</t>
  </si>
  <si>
    <t>TOP-6.6.2-15 Szociális alapszolgáltatások fejlesztése Szombathelyen</t>
  </si>
  <si>
    <t>TOP-6.3.1-15 Szombathely Szent László Király utcai felhagyott iparterület fejlesztése</t>
  </si>
  <si>
    <t>TOP-6.3.2-15 A szombathelyi Sportliget fejlesztése</t>
  </si>
  <si>
    <t>TOP-6.5.1-15-00001 Városháza épületének felújítása</t>
  </si>
  <si>
    <t>TOP-6.5.1-15-00003 Neumann János Általános Iskola felújítása</t>
  </si>
  <si>
    <t>TOP-6.5.1-15-00005 Egészségügyi intézmények energetikai korszerűsítése</t>
  </si>
  <si>
    <t>TOP-6.5.1-15-00004 Óvodák energetikai korszerűsítés</t>
  </si>
  <si>
    <t>TOP-6.1.1-15-00001 A szombathelyi Északi Iparterület fejlesztése</t>
  </si>
  <si>
    <t>TOP-6.7.1-15 Szociális városrehabilitáció II. ütem</t>
  </si>
  <si>
    <t>TOP-6.5.1-15-00002 AGORA Központ energetikai korszerűsítés</t>
  </si>
  <si>
    <t>TOP-6.2.1-15-00002 Óvoda fejlesztések Szombathelyen</t>
  </si>
  <si>
    <t>TOP-6.1.3-15 Szombathelyi Vásárcsarnok felújítása</t>
  </si>
  <si>
    <t>Vízközmű- és szennyvízközmű használati díj terhére végzett beruházás</t>
  </si>
  <si>
    <t>TOP-6.3.1-15 Szombathely Szent László Király utcai felhagyott iparterület fejlesztése fordított áfa</t>
  </si>
  <si>
    <t>TOP-6.3.2-15 A szombathelyi Sportliget fejlesztése fordított áfa</t>
  </si>
  <si>
    <t>TOP-6.1.3-15 Szombathelyi Vásárcsarnok felújítása fordított áfa</t>
  </si>
  <si>
    <t>2017.évi költségvetési támogatási előleg</t>
  </si>
  <si>
    <t xml:space="preserve">Tartalék - KLIK elszámolás </t>
  </si>
  <si>
    <t>SNI gyermekek (Óvoda) szakszolgálati ellátása</t>
  </si>
  <si>
    <t>Pedagógus továbbképzés (Óvoda)</t>
  </si>
  <si>
    <t>Mezei őrszolgálat fenntartásához és működéséhez kapott állami hozzájárulás</t>
  </si>
  <si>
    <t>2017.évi bérkiadások tartaléka (EBI - központi támogatásból)</t>
  </si>
  <si>
    <t>Sugár u. Sportkomplexum fejlesztése TAO pályázat keretében</t>
  </si>
  <si>
    <t>Új egészségügyi alapellátó központ beruházás - légtechnikai berendezés biztosítása</t>
  </si>
  <si>
    <t>Zajszíntmérő készülék beszerzése</t>
  </si>
  <si>
    <t>Nemzetiségi önkormányzatok működéséhez tartalék, nemzetiségi nap</t>
  </si>
  <si>
    <t>STYL FASHION Kft tagi kölcsön</t>
  </si>
  <si>
    <t xml:space="preserve">STYL FASHION   Kft. tagi kölcsön visszatérülés </t>
  </si>
  <si>
    <t xml:space="preserve"> - Nyugat-Pannon Járműipari és Mechatronikai Központ Szolgáltató Nonprofit    Kft. támogatása</t>
  </si>
  <si>
    <t xml:space="preserve"> - Pécsi Tudományegyetem Egészségtudományi Kar Szombathelyi Képzési Központ támogatása </t>
  </si>
  <si>
    <t>TOP-6.3.1-15 Szombathely Szent László Király utcai felhagyott iparterület fejlesztése (EPCOS telephely) önerő</t>
  </si>
  <si>
    <t>TOP-6.2.1-15-00005 Bölcsőde fejlesztések Szombathelyen (Bokréta Bölcsőde) önerő</t>
  </si>
  <si>
    <t>TOP-6.2.1-15-00002 Óvoda fejlesztések Szombathelyen (Gazdag Erzsi Óvoda) önerő</t>
  </si>
  <si>
    <t>Szombathely Megyei  Jogú Város Önkormányzata 2017. évi előirányzat felhasználási terve</t>
  </si>
  <si>
    <t>Szombathely Megyei Jogú Város Önkormányzata 2017. évi előirányzat felhasználási terve</t>
  </si>
  <si>
    <t xml:space="preserve">2017. évi bevételei  kiemelt előirányzatonként </t>
  </si>
  <si>
    <t xml:space="preserve">2017. évi  kiadásai kiemelt előirányzatonként </t>
  </si>
  <si>
    <t>Savaria Turizmus Nonprofit Kft - Karnevál megrendezése</t>
  </si>
  <si>
    <t xml:space="preserve"> - ELTE - Bolyai Gimn. - étkezési hozzájárulás támogatás</t>
  </si>
  <si>
    <t xml:space="preserve"> - ELTE - SZOESE támogatás</t>
  </si>
  <si>
    <t>ELTE - SZOESE támogatása</t>
  </si>
  <si>
    <t>Tour de Hongrie támogatása</t>
  </si>
  <si>
    <t>Birkózó U23 EB és Grand Prix támogatása</t>
  </si>
  <si>
    <t>NFM Mobilitás Hét</t>
  </si>
  <si>
    <t>Településrendezési terv felülvizsgálata</t>
  </si>
  <si>
    <t>EU kulturális főváros előkészületek</t>
  </si>
  <si>
    <t>Iseumi Játékok</t>
  </si>
  <si>
    <t>Reformáció Éve</t>
  </si>
  <si>
    <t>Joskar Ola Lakótelepért Alapítvány</t>
  </si>
  <si>
    <t xml:space="preserve">Javasolt </t>
  </si>
  <si>
    <t>módosítás</t>
  </si>
  <si>
    <t xml:space="preserve"> - ELTE Gothard Asztrofizikai Obszervatórium</t>
  </si>
  <si>
    <t>Összesen</t>
  </si>
  <si>
    <t>EBBŐL:2016.évről áthúzódó bérkompenzáció támogatása</t>
  </si>
  <si>
    <r>
      <t xml:space="preserve">Pálos Károly Szociális Szolgáltató Központ és Gyermekjóléti Szolgálat </t>
    </r>
    <r>
      <rPr>
        <b/>
        <i/>
        <sz val="12"/>
        <rFont val="Arial CE"/>
        <charset val="238"/>
      </rPr>
      <t>intézmény 2016. évi maradványból fedezett kiadás</t>
    </r>
  </si>
  <si>
    <r>
      <t xml:space="preserve">Szombathelyi Egészségügyi és Kulturális Intézmények GESZ  </t>
    </r>
    <r>
      <rPr>
        <b/>
        <i/>
        <sz val="12"/>
        <rFont val="Arial CE"/>
        <charset val="238"/>
      </rPr>
      <t>2016. évi maradványból fedezett kiadás</t>
    </r>
  </si>
  <si>
    <r>
      <t xml:space="preserve">Szombathelyi Egészségügyi és Kulturális Intézmények  GESZ </t>
    </r>
    <r>
      <rPr>
        <b/>
        <i/>
        <sz val="12"/>
        <rFont val="Arial CE"/>
        <charset val="238"/>
      </rPr>
      <t>2016.évi maradványából fedezett kiadás</t>
    </r>
  </si>
  <si>
    <r>
      <t xml:space="preserve">Egyesített Bölcsődei Intézmény </t>
    </r>
    <r>
      <rPr>
        <b/>
        <i/>
        <sz val="12"/>
        <rFont val="Arial CE"/>
        <charset val="238"/>
      </rPr>
      <t>2016.évi maradványából fedezett kiadás</t>
    </r>
  </si>
  <si>
    <t xml:space="preserve">             Szociális ágazati összevont pótlék</t>
  </si>
  <si>
    <t>EBBŐL:</t>
  </si>
  <si>
    <t>Kulturális illetmény pótlék</t>
  </si>
  <si>
    <t>TOP-6.3.1-15 Szombathely Szent László Király utcai felhagyott iparterület fejlesztése támogatási szerződés módosítása (bevont partner)</t>
  </si>
  <si>
    <t>Interreg projekt, NKA projekt (Savaria Múzeum, Savaria Turizmus Nonprofit Kft.) önrész</t>
  </si>
  <si>
    <t xml:space="preserve"> - ELTE Savaria Egyetemi Központ támogatása (beiskolázási kampány)</t>
  </si>
  <si>
    <t>SZOVA Zrt.által üzemeltetett lét.-ek (Tófürdő, Kalandváros,Műjégpálya) vezteségének megtérítése</t>
  </si>
  <si>
    <t>Önk.által kijelölt bérlők lakbértámogatásából eredő bérleti díjbvétel kiesés kompenzálása a SZOVA Zrt.részére</t>
  </si>
  <si>
    <t xml:space="preserve">             Adósságcsökkentési támogatás</t>
  </si>
  <si>
    <t xml:space="preserve">             Bölcsődében középfokú végzettséggel rendelkező kisgyermeknevelőt megillető bölcsődei pótlék</t>
  </si>
  <si>
    <t>Költségvetési szerveknél foglalkoztatottak 2017. évi bérkompenzációja</t>
  </si>
  <si>
    <r>
      <t xml:space="preserve">Agora Szombathelyi Kulturális Központ </t>
    </r>
    <r>
      <rPr>
        <b/>
        <i/>
        <sz val="12"/>
        <rFont val="Arial CE"/>
        <charset val="238"/>
      </rPr>
      <t>saját bevételből fedezett kiadás</t>
    </r>
  </si>
  <si>
    <r>
      <t xml:space="preserve">Agora Szombathelyi Kulturális Központ </t>
    </r>
    <r>
      <rPr>
        <b/>
        <i/>
        <sz val="12"/>
        <rFont val="Arial CE"/>
        <charset val="238"/>
      </rPr>
      <t>2016. évi maradványból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</si>
  <si>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központi művészeti támogatásból fedezett kiadása</t>
    </r>
  </si>
  <si>
    <r>
      <t xml:space="preserve">Mesebolt Bábszínház </t>
    </r>
    <r>
      <rPr>
        <b/>
        <i/>
        <sz val="12"/>
        <rFont val="Arial"/>
        <family val="2"/>
        <charset val="238"/>
      </rPr>
      <t>központi működési támogatásból fedezett kiadása</t>
    </r>
  </si>
  <si>
    <r>
      <t xml:space="preserve">Mesebolt Bábszínház </t>
    </r>
    <r>
      <rPr>
        <b/>
        <sz val="12"/>
        <rFont val="Arial"/>
        <family val="2"/>
        <charset val="238"/>
      </rPr>
      <t>saját bevételéből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</si>
  <si>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</si>
  <si>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központi támogatásból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</si>
  <si>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saját bevételéből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</si>
  <si>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</si>
  <si>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Berzsenyi Dániel könyvtár </t>
    </r>
    <r>
      <rPr>
        <b/>
        <i/>
        <sz val="12"/>
        <rFont val="Arial CE"/>
        <charset val="238"/>
      </rPr>
      <t>központi támogatásból fedezett kiadás</t>
    </r>
  </si>
  <si>
    <r>
      <t>Berzsenyi Dániel könyvtár</t>
    </r>
    <r>
      <rPr>
        <b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</si>
  <si>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Berzsenyi Dániel könyvtár </t>
    </r>
    <r>
      <rPr>
        <b/>
        <i/>
        <sz val="12"/>
        <rFont val="Arial CE"/>
        <charset val="238"/>
      </rPr>
      <t>saját bevételből fedezett kiadás</t>
    </r>
  </si>
  <si>
    <r>
      <t xml:space="preserve">Berzsenyi Dániel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</si>
  <si>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Savaria Múzeum </t>
    </r>
    <r>
      <rPr>
        <b/>
        <i/>
        <sz val="12"/>
        <rFont val="Arial CE"/>
        <charset val="238"/>
      </rPr>
      <t>központi támogatásból fedezett kiadás</t>
    </r>
  </si>
  <si>
    <r>
      <t xml:space="preserve">Savaria Múzeum </t>
    </r>
    <r>
      <rPr>
        <b/>
        <i/>
        <sz val="12"/>
        <rFont val="Arial CE"/>
        <charset val="238"/>
      </rPr>
      <t>saját bevételből fedezett kiadás</t>
    </r>
  </si>
  <si>
    <r>
      <t xml:space="preserve">Savaria Múzeum </t>
    </r>
    <r>
      <rPr>
        <b/>
        <i/>
        <sz val="12"/>
        <rFont val="Arial"/>
        <family val="2"/>
        <charset val="238"/>
      </rPr>
      <t>2016.évi maradványból fedezett kiadás</t>
    </r>
  </si>
  <si>
    <r>
      <t>Agora Szombathelyi Kulturális Központ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</si>
  <si>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önkormányzati támogatásból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</si>
  <si>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saját bevételéből fedezett kiadás</t>
    </r>
  </si>
  <si>
    <r>
      <t>Mesebolt Bábszínház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</si>
  <si>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saját bevételből fedezett kiadás</t>
    </r>
  </si>
  <si>
    <r>
      <t xml:space="preserve">Berzsenyi Dániel könyvtár </t>
    </r>
    <r>
      <rPr>
        <b/>
        <i/>
        <sz val="12"/>
        <rFont val="Arial CE"/>
        <charset val="238"/>
      </rPr>
      <t>önkormányzati támogatásból fedezett kiadás</t>
    </r>
  </si>
  <si>
    <r>
      <t>Berzsenyi Dániel könyvtár</t>
    </r>
    <r>
      <rPr>
        <b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2016.évi maradványból fedezett kiadás</t>
    </r>
  </si>
  <si>
    <r>
      <t xml:space="preserve">Savaria Múzeum 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</si>
  <si>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t>Intézményi kiadások összesen</t>
  </si>
  <si>
    <t>Szombathelyi Szimfonikus Zenekar</t>
  </si>
  <si>
    <t xml:space="preserve">Berzsenyi Dániel Könyvtár </t>
  </si>
  <si>
    <t>Szombathelyi Köznevelési GAMESZ</t>
  </si>
  <si>
    <t>Kulturális intézmények felhalmozási kiadásai összesen:</t>
  </si>
  <si>
    <t>Kulturális intézmények működési kiadásai összesen:</t>
  </si>
  <si>
    <t xml:space="preserve">Oktatási intézmények felhalmozási kiadásai összesen: </t>
  </si>
  <si>
    <t>Oktatási intézmények működési kiadásai összesen:</t>
  </si>
  <si>
    <t>Szociális intézmény működési kiadása összesen:</t>
  </si>
  <si>
    <t>Szociális intézmény felhalmozási kiadásai összesen:</t>
  </si>
  <si>
    <t xml:space="preserve">Egészségügyi intézmény működési kiadásai összesen: </t>
  </si>
  <si>
    <t xml:space="preserve">Egészségügyi intézmény felhalmozási kiadásai összesen: </t>
  </si>
  <si>
    <t>Gyermekvédelmi intézmény működési kiadásai összesen:</t>
  </si>
  <si>
    <t>Gyermekvédelmi intézmény felhalmozási kiadásai összesen:</t>
  </si>
  <si>
    <t>Egyéb, más ágazathoz nem sorolható intézmények működési kiadásai összesen:</t>
  </si>
  <si>
    <t>Egyéb, más ágazathoz nem sorolható intézmények felhalmozási kiadásai összesen:</t>
  </si>
  <si>
    <t>Hiszek Benned Sportprogram - EMMI támogatás</t>
  </si>
  <si>
    <t>Szombathely a Segítés Városa kiadvány megjelentetésének támogatása (EMMI)</t>
  </si>
  <si>
    <t>Hiszek Benned Sportprogram (EMMI támogatásból)</t>
  </si>
  <si>
    <t>Szombathely a Segítés Városa kiadvány megjelentetse (EMMI támogatásból)</t>
  </si>
  <si>
    <t>Gazdasági zöldítési rendszer - villámtöltő telepítése NGM támogatás</t>
  </si>
  <si>
    <t>Guruló forint elnevezésű alkotás felújítására átvett pénzeszköz az OTP Bank Zrt-től</t>
  </si>
  <si>
    <t>Gazdasági zöldítési rendszer - villámtöltő telepítás NGM támogatásból</t>
  </si>
  <si>
    <t>TOP-6.3.1-15 Szhely Szent.L.kir.u.felhagyott iparterület fejl.áfa visszaigénylés az önerőhöz kapcsolódóan</t>
  </si>
  <si>
    <r>
      <t xml:space="preserve">Weöres Sándor Színház Nonprofit Kft. </t>
    </r>
    <r>
      <rPr>
        <b/>
        <i/>
        <sz val="12"/>
        <rFont val="Arial CE"/>
        <charset val="238"/>
      </rPr>
      <t>központi</t>
    </r>
    <r>
      <rPr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charset val="238"/>
      </rPr>
      <t>művészeti támogatásból fedezett kiadás</t>
    </r>
  </si>
  <si>
    <r>
      <t xml:space="preserve">Weöres Sándor Színház Nonprofit Kft. </t>
    </r>
    <r>
      <rPr>
        <b/>
        <i/>
        <sz val="12"/>
        <rFont val="Arial CE"/>
        <charset val="238"/>
      </rPr>
      <t>központi működési támogatásból fedezett kiadás</t>
    </r>
  </si>
  <si>
    <t>"Guruló Forint" alkotás felújítása</t>
  </si>
  <si>
    <t>Tartalék - Kneipp-módszer óvodai program pályázati önrész</t>
  </si>
  <si>
    <t>Szilveszter kupa 2016.</t>
  </si>
  <si>
    <t>2017. évi I.sz.módosított</t>
  </si>
  <si>
    <t>módosított</t>
  </si>
  <si>
    <t>2017. évi I.sz.</t>
  </si>
  <si>
    <t>Szabadtéri kosárlabda félpálya - Sugát úti sporttelepen fogadófelület kilakítása</t>
  </si>
  <si>
    <t>Költségvetési szervek 2017. évi bevételei</t>
  </si>
  <si>
    <t xml:space="preserve">I N T É Z M É N Y                               </t>
  </si>
  <si>
    <t>Működési célú átvett  pénzszeközök</t>
  </si>
  <si>
    <t>Saját bevételek összesen</t>
  </si>
  <si>
    <t>Előző év költségvetési maradványának igénybevétele</t>
  </si>
  <si>
    <t>Központi irányítószervtől kapott támogatás</t>
  </si>
  <si>
    <t>Központi irányítószervtől kapott támogatás összesen</t>
  </si>
  <si>
    <t xml:space="preserve">     Költségvetési bevételek összesen</t>
  </si>
  <si>
    <t>2017.</t>
  </si>
  <si>
    <t>Működési</t>
  </si>
  <si>
    <t>Felhalmozási</t>
  </si>
  <si>
    <t>2017. évi eredeti előirányzat</t>
  </si>
  <si>
    <t>Javasolt módosítás</t>
  </si>
  <si>
    <t>2017. évi I. sz. módosított előirányzat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</si>
  <si>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</si>
  <si>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</si>
  <si>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</si>
  <si>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</si>
  <si>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</si>
  <si>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</si>
  <si>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</si>
  <si>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</si>
  <si>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Mesevár Ovoda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</si>
  <si>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</si>
  <si>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</si>
  <si>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</si>
  <si>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</si>
  <si>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</si>
  <si>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</si>
  <si>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</si>
  <si>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</si>
  <si>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</si>
  <si>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Benczur Gyula Utcai Óvoda</t>
  </si>
  <si>
    <t xml:space="preserve">Weöres Sándor  Óvoda </t>
  </si>
  <si>
    <t>Óvodák  összesen</t>
  </si>
  <si>
    <t>Oktatási intézmények összesen</t>
  </si>
  <si>
    <t>Nem oktatási intézmények</t>
  </si>
  <si>
    <t>Kulturális intézmények</t>
  </si>
  <si>
    <t>Agora Szombathelyi Kulturális Központ</t>
  </si>
  <si>
    <t>Savaria Szimfonikus Zenekar</t>
  </si>
  <si>
    <t>Berzsenyi Dániel Megyei és Városi Könyvtár</t>
  </si>
  <si>
    <t>Savaria Megyei Hatókörű Városi Múzeum</t>
  </si>
  <si>
    <t xml:space="preserve">Összesen                             </t>
  </si>
  <si>
    <t>Egyéb intézmény</t>
  </si>
  <si>
    <t>Szombathely Városi Vásárcsarnok</t>
  </si>
  <si>
    <t>Szombathelyi Városi Vásárcsarnok</t>
  </si>
  <si>
    <t xml:space="preserve">Összesen                                 </t>
  </si>
  <si>
    <t>Egészségügyi intézmény</t>
  </si>
  <si>
    <t>Szombathelyi Egészségügyi és Kulturális GESZ</t>
  </si>
  <si>
    <t xml:space="preserve">Összesen                   </t>
  </si>
  <si>
    <t>Szociális intézmények</t>
  </si>
  <si>
    <t xml:space="preserve">Szombathelyi Egyesitett Bölcsődei Intézmény </t>
  </si>
  <si>
    <t>Pálos Károly Szociális Szolgáltató Központ és Gyermekjóléti Szolgálat</t>
  </si>
  <si>
    <t>Nem oktatási intézmények összesen</t>
  </si>
  <si>
    <t xml:space="preserve">Oktatási intézmények összesen </t>
  </si>
  <si>
    <t>Intézmények mindösszesen</t>
  </si>
  <si>
    <t>Közterület-Felügyelet</t>
  </si>
  <si>
    <t>Költségvetési szervek 2017. évi kiadásai</t>
  </si>
  <si>
    <t>I N T É Z M É N Y</t>
  </si>
  <si>
    <t>Beruházás</t>
  </si>
  <si>
    <t>Felújítás</t>
  </si>
  <si>
    <t>Költségvetési kiadások összesen</t>
  </si>
  <si>
    <t>eredeti</t>
  </si>
  <si>
    <t>mód</t>
  </si>
  <si>
    <t>RM i</t>
  </si>
  <si>
    <t>2016.</t>
  </si>
  <si>
    <t>ei</t>
  </si>
  <si>
    <t>ei össz</t>
  </si>
  <si>
    <t>Szombathelyi Egyesitett Bölcsődei Intézmény</t>
  </si>
  <si>
    <t>Szombathelyi Egyesitett Bölcsődei Intézmény és Családi Napközi</t>
  </si>
  <si>
    <t>Szombathely Megyei Jogú Város Önkormányzatának</t>
  </si>
  <si>
    <t>2017. évi  engedélyezett létszámelőirányzata</t>
  </si>
  <si>
    <t>2017.évi I. sz. módosított engedélyezett létszám  előirányzat összesen</t>
  </si>
  <si>
    <t>Intézmény</t>
  </si>
  <si>
    <t>SZAKMAI LÉTSZÁM</t>
  </si>
  <si>
    <t>INTÉZMÉNY ÜZEMELTETÉSI LÉTSZÁM</t>
  </si>
  <si>
    <t>átszámítás nélküli</t>
  </si>
  <si>
    <t xml:space="preserve">   kerekített</t>
  </si>
  <si>
    <t>kerekített</t>
  </si>
  <si>
    <t>Ó v o d á k :</t>
  </si>
  <si>
    <t>57/2017.(III.2.) Kgy.sz.hat.</t>
  </si>
  <si>
    <t>Kőrösi Csoma Sándor utcai Óvoda</t>
  </si>
  <si>
    <t>Óvodák  összesen:</t>
  </si>
  <si>
    <t xml:space="preserve">Oktatási intézmények összesen:                                       </t>
  </si>
  <si>
    <t>Nem oktatási intézmények:</t>
  </si>
  <si>
    <t>Kulturális intézmény</t>
  </si>
  <si>
    <t xml:space="preserve">Összesen:                                       </t>
  </si>
  <si>
    <t>Egyéb intézmények</t>
  </si>
  <si>
    <t>Egészségügyi intézmények</t>
  </si>
  <si>
    <t>Szombathelyi Egyesített Bölcsődei Intézmény és Családi Napközi</t>
  </si>
  <si>
    <t xml:space="preserve">Oktatási Intézmények összesen: </t>
  </si>
  <si>
    <t>Intézmények összesen:</t>
  </si>
  <si>
    <t>Mindösszesen:</t>
  </si>
  <si>
    <t>Önkormányzatok általános működésének és ágazati feladatainak támogatása</t>
  </si>
  <si>
    <t>MEGNEVEZÉS</t>
  </si>
  <si>
    <t>Javasolt</t>
  </si>
  <si>
    <t xml:space="preserve">2017. évi  I. sz. </t>
  </si>
  <si>
    <t xml:space="preserve">módosított </t>
  </si>
  <si>
    <t>I. Helyi önkormányzatok működésének általános támogatása</t>
  </si>
  <si>
    <t>2. Nem közművel összegyűjtött háztartási szennyvíz ártalmatlanítása</t>
  </si>
  <si>
    <t>5. 2016. évről áthúzódó bérkompenzáció támogatása</t>
  </si>
  <si>
    <t>I. Összesen</t>
  </si>
  <si>
    <t>II. A települési önkormányzatok egyes köznevelési  feladatainak támogatása</t>
  </si>
  <si>
    <t>1. Óvodapedagógusok, és az óvodapedagógusok nevelő munkáját közvetlenül segítők bértámogatása</t>
  </si>
  <si>
    <t>Óvodapedagógusok bértámogatása</t>
  </si>
  <si>
    <t>Óvodapedagógusok átlagbérének és közterheinek elismert pótlólagos összege</t>
  </si>
  <si>
    <t>Pedagógus szakképzettséggel rendelkező óvodapedagógusok nevelő munkáját   közvetlenül segítők pótlólagos támogatása</t>
  </si>
  <si>
    <t xml:space="preserve">Óvodapedagógusok nevelő munkáját közvetlenül segítők bértámogatása </t>
  </si>
  <si>
    <t>2. Óvodaműködtetési támogatás</t>
  </si>
  <si>
    <t>4. A köznevelési intézmények működtetéséhez kapcsolódó támogatás</t>
  </si>
  <si>
    <t>5. Kiegészítő  támogatás az óvodapedagógusok minősítéséből adódó többletkiadáshoz</t>
  </si>
  <si>
    <t>II. Összesen</t>
  </si>
  <si>
    <t>III. A települési önkormányzatok szociális,  gyermekjóléti és gyermekétkeztetési feladatainak támogatása</t>
  </si>
  <si>
    <t>1. Szociális ágazati összevont pótlék</t>
  </si>
  <si>
    <t>3. Egyes szociális és gyermekjóléti feladatok támogatása</t>
  </si>
  <si>
    <t>a./ Család-és gyermekjóléti szolgálat</t>
  </si>
  <si>
    <t>b./ Család- és gyermekjóléti központ</t>
  </si>
  <si>
    <t>c./ Szociális étkeztetés</t>
  </si>
  <si>
    <t>d./ Házi segítségnyújtás</t>
  </si>
  <si>
    <t xml:space="preserve">      Házi segítségnyújtás-szociális segítés</t>
  </si>
  <si>
    <t xml:space="preserve">      Házi segítségnyújtás-személyi gondozás</t>
  </si>
  <si>
    <t>f./ Időskorúak nappali intézményi ellátása</t>
  </si>
  <si>
    <t>g./ Demens személyek nappali intézményi ellátása</t>
  </si>
  <si>
    <t>j./ Gyermekek napközbeni ellátása - nem fogyatékos, nem hátrányos helyzetű gyermek</t>
  </si>
  <si>
    <t xml:space="preserve">    Gyermekek napközbeni ellátása - fogyatékos gyermek</t>
  </si>
  <si>
    <t xml:space="preserve">    Gyermekek napközbeni ellátása - nem  fogyatékos, hátrányos helyzetű gyermek</t>
  </si>
  <si>
    <t xml:space="preserve">    Gyermekek napközbeni ellátása - nem  fogyatékos, halmozottan hátrányos helyzetű gyermek</t>
  </si>
  <si>
    <t xml:space="preserve">    Gyermekek napközbeni ellátása - Családi napközi ellátás és- gyermekfelügyelet</t>
  </si>
  <si>
    <t xml:space="preserve">     3. Összesen</t>
  </si>
  <si>
    <t>4. A települési önkormányzatok által biztosított egyes szociális szkosított ellátások, valamint a gyermekek átmeneti gondozásával kapcsolatos feladatok támogatása</t>
  </si>
  <si>
    <t>a./ Időskorúak gondozóháza, családok átmeneti otthona - finanszírozás szempontjából elismert szakmai dolgozók bértámogatása</t>
  </si>
  <si>
    <t>b./ Időskorúak gondozóháza, családok átmeneti otthona -intézmény-üzemeltetési támogatás</t>
  </si>
  <si>
    <t xml:space="preserve">       4. Összesen</t>
  </si>
  <si>
    <t>5. Gyermekétkeztetés támogatása</t>
  </si>
  <si>
    <t>a./Az intézményi gyermekétkeztetés kapcsán az étkeztetési feladatot ellátók után járó bértámogatás</t>
  </si>
  <si>
    <t>b./ Az intézményi gyermekétkeztetés üzemeltetési támogatása</t>
  </si>
  <si>
    <t>6. A rászoruló gyermekek intézményen kívüli szünidei étkeztetésének támogatása</t>
  </si>
  <si>
    <t xml:space="preserve">       5.-6. Összesen</t>
  </si>
  <si>
    <t xml:space="preserve">      7.  Kiegészítő támogatás a bölcsődében, mini bölcsődében foglalkoztatott, felsőfokú                                                       végzettségű kisgyermeknevelők és szakemberek béréhez</t>
  </si>
  <si>
    <t xml:space="preserve">           Bölcsődében középfokú végzettséggel rendelkező kisgyermeknevelőt megillető bölcsődei pótlék</t>
  </si>
  <si>
    <t xml:space="preserve">          Adósságcsökkentési támogatás</t>
  </si>
  <si>
    <t>III.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</si>
</sst>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7" x14ac:knownFonts="1">
    <font>
      <sz val="8"/>
      <name val="Times New Roman CE"/>
      <charset val="238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i/>
      <u/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2"/>
      <color indexed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2"/>
      <name val="Arial CE"/>
      <charset val="238"/>
    </font>
    <font>
      <b/>
      <sz val="16"/>
      <name val="Arial CE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 CE"/>
      <charset val="238"/>
    </font>
    <font>
      <b/>
      <sz val="14"/>
      <name val="Arial CE"/>
      <charset val="238"/>
    </font>
    <font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b/>
      <i/>
      <sz val="14"/>
      <name val="Arial CE"/>
      <charset val="238"/>
    </font>
    <font>
      <sz val="16"/>
      <name val="Arial CE"/>
      <family val="2"/>
      <charset val="238"/>
    </font>
    <font>
      <b/>
      <i/>
      <sz val="16"/>
      <name val="Arial CE"/>
      <family val="2"/>
      <charset val="238"/>
    </font>
    <font>
      <sz val="14"/>
      <name val="Arial CE"/>
      <charset val="238"/>
    </font>
    <font>
      <b/>
      <sz val="16"/>
      <name val="Arial CE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10"/>
      <name val="Arial CE"/>
      <family val="2"/>
      <charset val="238"/>
    </font>
    <font>
      <sz val="16"/>
      <name val="Arial CE"/>
      <charset val="238"/>
    </font>
    <font>
      <i/>
      <sz val="14"/>
      <name val="Arial CE"/>
      <charset val="238"/>
    </font>
    <font>
      <sz val="14"/>
      <name val="Times New Roman CE"/>
      <charset val="238"/>
    </font>
    <font>
      <b/>
      <i/>
      <sz val="16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color indexed="10"/>
      <name val="Arial CE"/>
      <charset val="238"/>
    </font>
    <font>
      <u/>
      <sz val="12"/>
      <name val="Arial CE"/>
      <family val="2"/>
      <charset val="238"/>
    </font>
    <font>
      <i/>
      <sz val="16"/>
      <name val="Arial CE"/>
      <charset val="238"/>
    </font>
    <font>
      <b/>
      <i/>
      <sz val="14"/>
      <name val="Arial"/>
      <family val="2"/>
      <charset val="238"/>
    </font>
    <font>
      <sz val="12"/>
      <name val="Times New Roman CE"/>
      <charset val="238"/>
    </font>
    <font>
      <b/>
      <i/>
      <u/>
      <sz val="12"/>
      <name val="Arial CE"/>
      <charset val="238"/>
    </font>
    <font>
      <sz val="12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36"/>
      <name val="Arial CE"/>
      <charset val="238"/>
    </font>
    <font>
      <b/>
      <sz val="30"/>
      <name val="Arial CE"/>
      <charset val="238"/>
    </font>
    <font>
      <b/>
      <i/>
      <sz val="36"/>
      <name val="Arial CE"/>
      <charset val="238"/>
    </font>
    <font>
      <b/>
      <sz val="36"/>
      <color indexed="10"/>
      <name val="Arial CE"/>
      <charset val="238"/>
    </font>
    <font>
      <b/>
      <sz val="28"/>
      <name val="Arial CE"/>
      <charset val="238"/>
    </font>
    <font>
      <sz val="36"/>
      <name val="Arial CE"/>
      <family val="2"/>
      <charset val="238"/>
    </font>
    <font>
      <b/>
      <sz val="36"/>
      <name val="Arial CE"/>
      <family val="2"/>
      <charset val="238"/>
    </font>
    <font>
      <b/>
      <sz val="28"/>
      <color indexed="10"/>
      <name val="Arial CE"/>
      <family val="2"/>
      <charset val="238"/>
    </font>
    <font>
      <b/>
      <sz val="36"/>
      <color indexed="10"/>
      <name val="Arial CE"/>
      <family val="2"/>
      <charset val="238"/>
    </font>
    <font>
      <sz val="36"/>
      <color indexed="10"/>
      <name val="Arial CE"/>
      <family val="2"/>
      <charset val="238"/>
    </font>
    <font>
      <sz val="28"/>
      <color indexed="10"/>
      <name val="Arial CE"/>
      <family val="2"/>
      <charset val="238"/>
    </font>
    <font>
      <b/>
      <sz val="30"/>
      <name val="Arial CE"/>
      <family val="2"/>
      <charset val="238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0"/>
      <name val="Arial CE"/>
      <family val="2"/>
      <charset val="238"/>
    </font>
    <font>
      <b/>
      <sz val="28"/>
      <name val="Arial CE"/>
      <family val="2"/>
      <charset val="238"/>
    </font>
    <font>
      <b/>
      <sz val="26"/>
      <name val="Times New Roman CE"/>
      <charset val="238"/>
    </font>
    <font>
      <b/>
      <u/>
      <sz val="26"/>
      <name val="Arial CE"/>
      <family val="2"/>
      <charset val="238"/>
    </font>
    <font>
      <b/>
      <sz val="24"/>
      <name val="Arial CE"/>
      <family val="2"/>
      <charset val="238"/>
    </font>
    <font>
      <b/>
      <sz val="26"/>
      <name val="Arial CE"/>
      <charset val="238"/>
    </font>
    <font>
      <sz val="10"/>
      <name val="Arial CE"/>
    </font>
    <font>
      <b/>
      <i/>
      <sz val="26"/>
      <name val="Arial CE"/>
      <family val="2"/>
      <charset val="238"/>
    </font>
    <font>
      <b/>
      <i/>
      <sz val="28"/>
      <name val="Arial CE"/>
      <family val="2"/>
      <charset val="238"/>
    </font>
    <font>
      <sz val="8"/>
      <name val="Arial CE"/>
    </font>
  </fonts>
  <fills count="35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7" borderId="0" applyNumberFormat="0" applyBorder="0" applyAlignment="0" applyProtection="0"/>
    <xf numFmtId="0" fontId="26" fillId="12" borderId="0" applyNumberFormat="0" applyBorder="0" applyAlignment="0" applyProtection="0"/>
    <xf numFmtId="0" fontId="26" fillId="10" borderId="0" applyNumberFormat="0" applyBorder="0" applyAlignment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3" borderId="0" applyNumberFormat="0" applyBorder="0" applyAlignment="0" applyProtection="0"/>
    <xf numFmtId="0" fontId="18" fillId="7" borderId="0" applyNumberFormat="0" applyBorder="0" applyAlignment="0" applyProtection="0"/>
    <xf numFmtId="0" fontId="31" fillId="9" borderId="1" applyNumberFormat="0" applyAlignment="0" applyProtection="0"/>
    <xf numFmtId="0" fontId="20" fillId="22" borderId="1" applyNumberFormat="0" applyAlignment="0" applyProtection="0"/>
    <xf numFmtId="0" fontId="15" fillId="23" borderId="2" applyNumberFormat="0" applyAlignment="0" applyProtection="0"/>
    <xf numFmtId="0" fontId="34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15" fillId="23" borderId="2" applyNumberFormat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32" fillId="0" borderId="6" applyNumberFormat="0" applyFill="0" applyAlignment="0" applyProtection="0"/>
    <xf numFmtId="0" fontId="26" fillId="24" borderId="7" applyNumberFormat="0" applyFont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16" fillId="8" borderId="0" applyNumberFormat="0" applyBorder="0" applyAlignment="0" applyProtection="0"/>
    <xf numFmtId="0" fontId="33" fillId="25" borderId="8" applyNumberFormat="0" applyAlignment="0" applyProtection="0"/>
    <xf numFmtId="0" fontId="17" fillId="0" borderId="0" applyNumberFormat="0" applyFill="0" applyBorder="0" applyAlignment="0" applyProtection="0"/>
    <xf numFmtId="0" fontId="19" fillId="26" borderId="0" applyNumberFormat="0" applyBorder="0" applyAlignment="0" applyProtection="0"/>
    <xf numFmtId="0" fontId="4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1" fillId="0" borderId="0"/>
    <xf numFmtId="0" fontId="2" fillId="0" borderId="0"/>
    <xf numFmtId="0" fontId="35" fillId="0" borderId="9" applyNumberFormat="0" applyFill="0" applyAlignment="0" applyProtection="0"/>
    <xf numFmtId="0" fontId="18" fillId="7" borderId="0" applyNumberFormat="0" applyBorder="0" applyAlignment="0" applyProtection="0"/>
    <xf numFmtId="0" fontId="19" fillId="26" borderId="0" applyNumberFormat="0" applyBorder="0" applyAlignment="0" applyProtection="0"/>
    <xf numFmtId="0" fontId="20" fillId="22" borderId="1" applyNumberFormat="0" applyAlignment="0" applyProtection="0"/>
    <xf numFmtId="0" fontId="2" fillId="0" borderId="0"/>
    <xf numFmtId="0" fontId="59" fillId="0" borderId="0"/>
    <xf numFmtId="0" fontId="59" fillId="0" borderId="0"/>
    <xf numFmtId="0" fontId="83" fillId="0" borderId="0"/>
    <xf numFmtId="0" fontId="54" fillId="0" borderId="0"/>
    <xf numFmtId="0" fontId="86" fillId="0" borderId="0"/>
  </cellStyleXfs>
  <cellXfs count="1258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" fontId="4" fillId="0" borderId="0" xfId="0" applyNumberFormat="1" applyFont="1" applyFill="1"/>
    <xf numFmtId="0" fontId="4" fillId="0" borderId="0" xfId="0" applyFont="1" applyFill="1"/>
    <xf numFmtId="0" fontId="4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3" fillId="0" borderId="12" xfId="0" applyFont="1" applyFill="1" applyBorder="1" applyAlignment="1">
      <alignment wrapText="1"/>
    </xf>
    <xf numFmtId="0" fontId="3" fillId="0" borderId="14" xfId="0" applyFont="1" applyFill="1" applyBorder="1"/>
    <xf numFmtId="0" fontId="4" fillId="0" borderId="15" xfId="0" applyFont="1" applyFill="1" applyBorder="1" applyProtection="1"/>
    <xf numFmtId="0" fontId="4" fillId="0" borderId="0" xfId="0" applyFont="1" applyFill="1" applyBorder="1" applyProtection="1"/>
    <xf numFmtId="0" fontId="4" fillId="0" borderId="11" xfId="0" applyFont="1" applyFill="1" applyBorder="1" applyAlignment="1" applyProtection="1">
      <alignment horizontal="right"/>
    </xf>
    <xf numFmtId="0" fontId="3" fillId="0" borderId="12" xfId="0" applyFont="1" applyFill="1" applyBorder="1" applyAlignment="1" applyProtection="1">
      <alignment horizontal="centerContinuous"/>
    </xf>
    <xf numFmtId="0" fontId="3" fillId="0" borderId="16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left"/>
    </xf>
    <xf numFmtId="0" fontId="5" fillId="0" borderId="16" xfId="0" applyFont="1" applyFill="1" applyBorder="1" applyAlignment="1" applyProtection="1"/>
    <xf numFmtId="0" fontId="5" fillId="0" borderId="16" xfId="0" applyFont="1" applyFill="1" applyBorder="1" applyAlignment="1" applyProtection="1">
      <alignment horizontal="centerContinuous"/>
    </xf>
    <xf numFmtId="0" fontId="4" fillId="0" borderId="0" xfId="54" applyFont="1" applyFill="1"/>
    <xf numFmtId="0" fontId="3" fillId="0" borderId="12" xfId="0" applyFont="1" applyFill="1" applyBorder="1" applyAlignment="1" applyProtection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right"/>
    </xf>
    <xf numFmtId="0" fontId="4" fillId="0" borderId="18" xfId="0" applyFont="1" applyFill="1" applyBorder="1"/>
    <xf numFmtId="0" fontId="4" fillId="0" borderId="10" xfId="0" applyFont="1" applyFill="1" applyBorder="1" applyProtection="1"/>
    <xf numFmtId="0" fontId="4" fillId="0" borderId="19" xfId="0" applyFont="1" applyFill="1" applyBorder="1" applyProtection="1"/>
    <xf numFmtId="0" fontId="4" fillId="0" borderId="17" xfId="0" applyFont="1" applyFill="1" applyBorder="1"/>
    <xf numFmtId="0" fontId="3" fillId="0" borderId="14" xfId="0" applyFont="1" applyFill="1" applyBorder="1" applyAlignment="1">
      <alignment horizontal="center"/>
    </xf>
    <xf numFmtId="0" fontId="4" fillId="0" borderId="0" xfId="54" applyFont="1" applyFill="1" applyBorder="1"/>
    <xf numFmtId="3" fontId="3" fillId="0" borderId="0" xfId="0" applyNumberFormat="1" applyFont="1" applyFill="1" applyBorder="1"/>
    <xf numFmtId="0" fontId="4" fillId="0" borderId="11" xfId="54" applyFont="1" applyFill="1" applyBorder="1" applyAlignment="1">
      <alignment horizontal="right"/>
    </xf>
    <xf numFmtId="0" fontId="9" fillId="0" borderId="0" xfId="54" applyFont="1" applyFill="1"/>
    <xf numFmtId="0" fontId="4" fillId="0" borderId="10" xfId="54" applyFont="1" applyFill="1" applyBorder="1"/>
    <xf numFmtId="0" fontId="4" fillId="0" borderId="14" xfId="54" applyFont="1" applyFill="1" applyBorder="1"/>
    <xf numFmtId="0" fontId="3" fillId="0" borderId="15" xfId="0" applyFont="1" applyFill="1" applyBorder="1" applyProtection="1"/>
    <xf numFmtId="0" fontId="3" fillId="0" borderId="0" xfId="0" applyFont="1" applyFill="1" applyBorder="1"/>
    <xf numFmtId="0" fontId="3" fillId="0" borderId="12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0" fontId="11" fillId="0" borderId="13" xfId="54" applyFont="1" applyFill="1" applyBorder="1" applyAlignment="1">
      <alignment horizontal="right"/>
    </xf>
    <xf numFmtId="0" fontId="11" fillId="0" borderId="0" xfId="54" applyFont="1" applyFill="1"/>
    <xf numFmtId="0" fontId="12" fillId="0" borderId="14" xfId="0" applyFont="1" applyFill="1" applyBorder="1" applyProtection="1"/>
    <xf numFmtId="3" fontId="10" fillId="0" borderId="20" xfId="0" applyNumberFormat="1" applyFont="1" applyFill="1" applyBorder="1" applyAlignment="1"/>
    <xf numFmtId="3" fontId="11" fillId="0" borderId="0" xfId="0" applyNumberFormat="1" applyFont="1" applyFill="1"/>
    <xf numFmtId="0" fontId="4" fillId="0" borderId="18" xfId="0" applyFont="1" applyFill="1" applyBorder="1" applyAlignment="1">
      <alignment horizontal="justify"/>
    </xf>
    <xf numFmtId="0" fontId="3" fillId="0" borderId="19" xfId="0" applyFont="1" applyFill="1" applyBorder="1"/>
    <xf numFmtId="3" fontId="3" fillId="0" borderId="19" xfId="0" applyNumberFormat="1" applyFont="1" applyFill="1" applyBorder="1"/>
    <xf numFmtId="0" fontId="5" fillId="0" borderId="13" xfId="0" applyFont="1" applyFill="1" applyBorder="1"/>
    <xf numFmtId="0" fontId="5" fillId="0" borderId="13" xfId="0" applyFont="1" applyFill="1" applyBorder="1" applyAlignment="1">
      <alignment horizontal="justify"/>
    </xf>
    <xf numFmtId="0" fontId="13" fillId="0" borderId="0" xfId="0" applyFont="1" applyFill="1"/>
    <xf numFmtId="0" fontId="5" fillId="0" borderId="10" xfId="0" applyFont="1" applyFill="1" applyBorder="1"/>
    <xf numFmtId="0" fontId="4" fillId="0" borderId="18" xfId="0" applyFont="1" applyFill="1" applyBorder="1" applyAlignment="1">
      <alignment horizontal="justify" wrapText="1"/>
    </xf>
    <xf numFmtId="0" fontId="12" fillId="0" borderId="13" xfId="0" applyFont="1" applyFill="1" applyBorder="1" applyAlignment="1" applyProtection="1">
      <alignment horizontal="left"/>
    </xf>
    <xf numFmtId="3" fontId="10" fillId="0" borderId="19" xfId="0" applyNumberFormat="1" applyFont="1" applyFill="1" applyBorder="1" applyAlignment="1">
      <alignment horizontal="left"/>
    </xf>
    <xf numFmtId="3" fontId="11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left"/>
    </xf>
    <xf numFmtId="3" fontId="11" fillId="0" borderId="15" xfId="0" applyNumberFormat="1" applyFont="1" applyFill="1" applyBorder="1"/>
    <xf numFmtId="3" fontId="10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0" fontId="10" fillId="0" borderId="10" xfId="0" applyFont="1" applyFill="1" applyBorder="1" applyAlignment="1" applyProtection="1">
      <alignment horizontal="left"/>
    </xf>
    <xf numFmtId="3" fontId="10" fillId="0" borderId="14" xfId="0" applyNumberFormat="1" applyFont="1" applyFill="1" applyBorder="1" applyAlignment="1">
      <alignment horizontal="centerContinuous"/>
    </xf>
    <xf numFmtId="3" fontId="10" fillId="0" borderId="15" xfId="0" applyNumberFormat="1" applyFont="1" applyFill="1" applyBorder="1" applyAlignment="1">
      <alignment horizontal="centerContinuous"/>
    </xf>
    <xf numFmtId="3" fontId="12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Protection="1"/>
    <xf numFmtId="0" fontId="11" fillId="0" borderId="11" xfId="0" applyFont="1" applyFill="1" applyBorder="1"/>
    <xf numFmtId="3" fontId="10" fillId="0" borderId="11" xfId="0" applyNumberFormat="1" applyFont="1" applyFill="1" applyBorder="1"/>
    <xf numFmtId="3" fontId="11" fillId="0" borderId="11" xfId="0" applyNumberFormat="1" applyFont="1" applyFill="1" applyBorder="1"/>
    <xf numFmtId="3" fontId="10" fillId="0" borderId="12" xfId="0" applyNumberFormat="1" applyFont="1" applyFill="1" applyBorder="1" applyAlignment="1">
      <alignment horizontal="left"/>
    </xf>
    <xf numFmtId="3" fontId="10" fillId="0" borderId="16" xfId="0" applyNumberFormat="1" applyFont="1" applyFill="1" applyBorder="1" applyAlignment="1">
      <alignment horizontal="centerContinuous"/>
    </xf>
    <xf numFmtId="3" fontId="10" fillId="0" borderId="11" xfId="0" applyNumberFormat="1" applyFont="1" applyFill="1" applyBorder="1" applyAlignment="1">
      <alignment horizontal="left"/>
    </xf>
    <xf numFmtId="0" fontId="11" fillId="0" borderId="0" xfId="54" applyFont="1" applyFill="1" applyBorder="1"/>
    <xf numFmtId="3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54" applyFont="1" applyFill="1" applyBorder="1" applyAlignment="1">
      <alignment horizontal="left"/>
    </xf>
    <xf numFmtId="3" fontId="10" fillId="0" borderId="13" xfId="0" applyNumberFormat="1" applyFont="1" applyFill="1" applyBorder="1" applyAlignment="1"/>
    <xf numFmtId="3" fontId="10" fillId="0" borderId="0" xfId="0" applyNumberFormat="1" applyFont="1" applyFill="1" applyBorder="1" applyAlignment="1"/>
    <xf numFmtId="3" fontId="10" fillId="0" borderId="19" xfId="0" applyNumberFormat="1" applyFont="1" applyFill="1" applyBorder="1" applyAlignment="1"/>
    <xf numFmtId="3" fontId="10" fillId="0" borderId="11" xfId="0" applyNumberFormat="1" applyFont="1" applyFill="1" applyBorder="1" applyAlignment="1"/>
    <xf numFmtId="3" fontId="10" fillId="0" borderId="14" xfId="0" applyNumberFormat="1" applyFont="1" applyFill="1" applyBorder="1"/>
    <xf numFmtId="0" fontId="4" fillId="0" borderId="11" xfId="0" applyFont="1" applyFill="1" applyBorder="1" applyAlignment="1">
      <alignment horizontal="justify"/>
    </xf>
    <xf numFmtId="3" fontId="4" fillId="0" borderId="21" xfId="0" applyNumberFormat="1" applyFont="1" applyFill="1" applyBorder="1"/>
    <xf numFmtId="3" fontId="4" fillId="0" borderId="22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left"/>
    </xf>
    <xf numFmtId="0" fontId="22" fillId="0" borderId="23" xfId="0" applyFont="1" applyFill="1" applyBorder="1" applyAlignment="1">
      <alignment horizontal="center"/>
    </xf>
    <xf numFmtId="3" fontId="11" fillId="0" borderId="22" xfId="0" applyNumberFormat="1" applyFont="1" applyFill="1" applyBorder="1"/>
    <xf numFmtId="3" fontId="10" fillId="0" borderId="24" xfId="0" applyNumberFormat="1" applyFont="1" applyFill="1" applyBorder="1"/>
    <xf numFmtId="3" fontId="11" fillId="0" borderId="25" xfId="0" applyNumberFormat="1" applyFont="1" applyFill="1" applyBorder="1" applyAlignment="1">
      <alignment horizontal="right"/>
    </xf>
    <xf numFmtId="3" fontId="4" fillId="0" borderId="25" xfId="0" applyNumberFormat="1" applyFont="1" applyFill="1" applyBorder="1"/>
    <xf numFmtId="3" fontId="3" fillId="0" borderId="26" xfId="0" applyNumberFormat="1" applyFont="1" applyFill="1" applyBorder="1"/>
    <xf numFmtId="3" fontId="4" fillId="0" borderId="27" xfId="0" applyNumberFormat="1" applyFont="1" applyFill="1" applyBorder="1"/>
    <xf numFmtId="3" fontId="4" fillId="0" borderId="28" xfId="0" applyNumberFormat="1" applyFont="1" applyFill="1" applyBorder="1"/>
    <xf numFmtId="3" fontId="3" fillId="0" borderId="29" xfId="0" applyNumberFormat="1" applyFont="1" applyFill="1" applyBorder="1"/>
    <xf numFmtId="3" fontId="3" fillId="0" borderId="22" xfId="0" applyNumberFormat="1" applyFont="1" applyFill="1" applyBorder="1"/>
    <xf numFmtId="3" fontId="3" fillId="0" borderId="21" xfId="0" applyNumberFormat="1" applyFont="1" applyFill="1" applyBorder="1"/>
    <xf numFmtId="3" fontId="5" fillId="0" borderId="24" xfId="0" applyNumberFormat="1" applyFont="1" applyFill="1" applyBorder="1"/>
    <xf numFmtId="3" fontId="3" fillId="0" borderId="24" xfId="0" applyNumberFormat="1" applyFont="1" applyFill="1" applyBorder="1"/>
    <xf numFmtId="0" fontId="4" fillId="0" borderId="18" xfId="0" applyFont="1" applyFill="1" applyBorder="1" applyAlignment="1">
      <alignment shrinkToFit="1"/>
    </xf>
    <xf numFmtId="3" fontId="3" fillId="0" borderId="23" xfId="0" applyNumberFormat="1" applyFont="1" applyFill="1" applyBorder="1"/>
    <xf numFmtId="3" fontId="4" fillId="0" borderId="30" xfId="0" applyNumberFormat="1" applyFont="1" applyFill="1" applyBorder="1"/>
    <xf numFmtId="3" fontId="10" fillId="0" borderId="24" xfId="0" applyNumberFormat="1" applyFont="1" applyFill="1" applyBorder="1" applyProtection="1"/>
    <xf numFmtId="3" fontId="11" fillId="0" borderId="22" xfId="54" applyNumberFormat="1" applyFont="1" applyFill="1" applyBorder="1" applyAlignment="1">
      <alignment horizontal="right"/>
    </xf>
    <xf numFmtId="3" fontId="10" fillId="0" borderId="29" xfId="54" applyNumberFormat="1" applyFont="1" applyFill="1" applyBorder="1"/>
    <xf numFmtId="0" fontId="5" fillId="0" borderId="14" xfId="0" applyFont="1" applyFill="1" applyBorder="1" applyAlignment="1" applyProtection="1">
      <alignment horizontal="left"/>
    </xf>
    <xf numFmtId="0" fontId="5" fillId="0" borderId="15" xfId="0" applyFont="1" applyFill="1" applyBorder="1" applyAlignment="1" applyProtection="1"/>
    <xf numFmtId="0" fontId="5" fillId="0" borderId="15" xfId="0" applyFont="1" applyFill="1" applyBorder="1" applyAlignment="1" applyProtection="1">
      <alignment horizontal="centerContinuous"/>
    </xf>
    <xf numFmtId="0" fontId="4" fillId="0" borderId="27" xfId="0" applyFont="1" applyFill="1" applyBorder="1"/>
    <xf numFmtId="0" fontId="4" fillId="0" borderId="27" xfId="0" applyFont="1" applyFill="1" applyBorder="1" applyAlignment="1">
      <alignment horizontal="justify"/>
    </xf>
    <xf numFmtId="0" fontId="23" fillId="0" borderId="22" xfId="0" applyFont="1" applyFill="1" applyBorder="1" applyAlignment="1">
      <alignment horizontal="left"/>
    </xf>
    <xf numFmtId="0" fontId="8" fillId="0" borderId="0" xfId="0" applyFont="1" applyFill="1"/>
    <xf numFmtId="0" fontId="3" fillId="0" borderId="12" xfId="0" applyFont="1" applyFill="1" applyBorder="1" applyAlignment="1">
      <alignment horizontal="justify"/>
    </xf>
    <xf numFmtId="0" fontId="13" fillId="0" borderId="24" xfId="0" applyFont="1" applyFill="1" applyBorder="1"/>
    <xf numFmtId="3" fontId="13" fillId="0" borderId="24" xfId="0" applyNumberFormat="1" applyFont="1" applyFill="1" applyBorder="1"/>
    <xf numFmtId="0" fontId="3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4" fillId="0" borderId="22" xfId="0" applyFont="1" applyFill="1" applyBorder="1"/>
    <xf numFmtId="0" fontId="4" fillId="0" borderId="25" xfId="0" applyFont="1" applyFill="1" applyBorder="1" applyAlignment="1">
      <alignment horizontal="justify"/>
    </xf>
    <xf numFmtId="0" fontId="5" fillId="0" borderId="22" xfId="0" applyFont="1" applyFill="1" applyBorder="1"/>
    <xf numFmtId="0" fontId="4" fillId="0" borderId="25" xfId="0" applyFont="1" applyFill="1" applyBorder="1"/>
    <xf numFmtId="0" fontId="10" fillId="0" borderId="29" xfId="0" applyFont="1" applyFill="1" applyBorder="1" applyAlignment="1">
      <alignment horizontal="center"/>
    </xf>
    <xf numFmtId="0" fontId="23" fillId="0" borderId="29" xfId="0" applyFont="1" applyFill="1" applyBorder="1" applyAlignment="1">
      <alignment horizontal="left"/>
    </xf>
    <xf numFmtId="3" fontId="4" fillId="0" borderId="25" xfId="0" applyNumberFormat="1" applyFont="1" applyFill="1" applyBorder="1" applyAlignment="1">
      <alignment horizontal="justify"/>
    </xf>
    <xf numFmtId="0" fontId="13" fillId="0" borderId="29" xfId="0" applyFont="1" applyFill="1" applyBorder="1" applyAlignment="1">
      <alignment horizontal="center"/>
    </xf>
    <xf numFmtId="3" fontId="7" fillId="0" borderId="23" xfId="57" applyNumberFormat="1" applyFont="1" applyFill="1" applyBorder="1" applyAlignment="1">
      <alignment horizontal="right" vertical="top" wrapText="1"/>
    </xf>
    <xf numFmtId="3" fontId="7" fillId="0" borderId="25" xfId="57" applyNumberFormat="1" applyFont="1" applyFill="1" applyBorder="1" applyAlignment="1">
      <alignment horizontal="right" vertical="top" wrapText="1"/>
    </xf>
    <xf numFmtId="3" fontId="10" fillId="0" borderId="11" xfId="0" applyNumberFormat="1" applyFont="1" applyFill="1" applyBorder="1" applyAlignment="1">
      <alignment horizontal="centerContinuous"/>
    </xf>
    <xf numFmtId="3" fontId="10" fillId="0" borderId="0" xfId="0" applyNumberFormat="1" applyFont="1" applyFill="1" applyBorder="1" applyAlignment="1">
      <alignment horizontal="centerContinuous"/>
    </xf>
    <xf numFmtId="0" fontId="4" fillId="0" borderId="22" xfId="0" applyFont="1" applyFill="1" applyBorder="1" applyAlignment="1">
      <alignment horizontal="justify"/>
    </xf>
    <xf numFmtId="0" fontId="8" fillId="0" borderId="27" xfId="0" applyFont="1" applyFill="1" applyBorder="1"/>
    <xf numFmtId="0" fontId="10" fillId="0" borderId="0" xfId="0" applyFont="1" applyFill="1" applyAlignment="1">
      <alignment horizontal="center"/>
    </xf>
    <xf numFmtId="0" fontId="40" fillId="0" borderId="0" xfId="0" applyFont="1" applyFill="1" applyBorder="1"/>
    <xf numFmtId="0" fontId="10" fillId="0" borderId="13" xfId="0" applyFont="1" applyFill="1" applyBorder="1"/>
    <xf numFmtId="3" fontId="10" fillId="0" borderId="31" xfId="0" applyNumberFormat="1" applyFont="1" applyFill="1" applyBorder="1"/>
    <xf numFmtId="0" fontId="3" fillId="0" borderId="11" xfId="0" applyFont="1" applyFill="1" applyBorder="1"/>
    <xf numFmtId="0" fontId="3" fillId="0" borderId="24" xfId="0" applyFont="1" applyFill="1" applyBorder="1"/>
    <xf numFmtId="0" fontId="3" fillId="0" borderId="26" xfId="0" applyFont="1" applyFill="1" applyBorder="1"/>
    <xf numFmtId="0" fontId="21" fillId="0" borderId="25" xfId="0" applyFont="1" applyFill="1" applyBorder="1" applyAlignment="1">
      <alignment horizontal="justify"/>
    </xf>
    <xf numFmtId="0" fontId="21" fillId="0" borderId="30" xfId="0" applyFont="1" applyFill="1" applyBorder="1" applyAlignment="1">
      <alignment horizontal="justify"/>
    </xf>
    <xf numFmtId="0" fontId="22" fillId="0" borderId="24" xfId="0" applyFont="1" applyFill="1" applyBorder="1" applyAlignment="1">
      <alignment horizontal="justify"/>
    </xf>
    <xf numFmtId="0" fontId="10" fillId="0" borderId="24" xfId="0" applyFont="1" applyFill="1" applyBorder="1" applyAlignment="1">
      <alignment horizontal="left"/>
    </xf>
    <xf numFmtId="3" fontId="21" fillId="0" borderId="23" xfId="57" applyNumberFormat="1" applyFont="1" applyFill="1" applyBorder="1" applyAlignment="1">
      <alignment vertical="top" wrapText="1"/>
    </xf>
    <xf numFmtId="3" fontId="21" fillId="0" borderId="22" xfId="57" applyNumberFormat="1" applyFont="1" applyFill="1" applyBorder="1" applyAlignment="1">
      <alignment horizontal="justify" vertical="top" wrapText="1"/>
    </xf>
    <xf numFmtId="3" fontId="7" fillId="0" borderId="32" xfId="57" applyNumberFormat="1" applyFont="1" applyFill="1" applyBorder="1" applyAlignment="1">
      <alignment horizontal="justify" vertical="top" wrapText="1"/>
    </xf>
    <xf numFmtId="3" fontId="7" fillId="0" borderId="25" xfId="57" applyNumberFormat="1" applyFont="1" applyFill="1" applyBorder="1" applyAlignment="1">
      <alignment horizontal="justify" vertical="top" wrapText="1"/>
    </xf>
    <xf numFmtId="3" fontId="4" fillId="27" borderId="27" xfId="0" applyNumberFormat="1" applyFont="1" applyFill="1" applyBorder="1"/>
    <xf numFmtId="3" fontId="4" fillId="27" borderId="25" xfId="0" applyNumberFormat="1" applyFont="1" applyFill="1" applyBorder="1"/>
    <xf numFmtId="0" fontId="23" fillId="0" borderId="0" xfId="0" applyFont="1" applyFill="1"/>
    <xf numFmtId="0" fontId="13" fillId="0" borderId="11" xfId="0" applyFont="1" applyFill="1" applyBorder="1"/>
    <xf numFmtId="0" fontId="23" fillId="0" borderId="0" xfId="0" applyFont="1" applyFill="1" applyBorder="1"/>
    <xf numFmtId="0" fontId="13" fillId="0" borderId="11" xfId="54" applyFont="1" applyFill="1" applyBorder="1"/>
    <xf numFmtId="0" fontId="13" fillId="0" borderId="13" xfId="54" applyFont="1" applyFill="1" applyBorder="1"/>
    <xf numFmtId="0" fontId="3" fillId="0" borderId="0" xfId="54" applyFont="1" applyFill="1" applyBorder="1" applyAlignment="1">
      <alignment horizontal="center"/>
    </xf>
    <xf numFmtId="0" fontId="3" fillId="0" borderId="11" xfId="54" applyFont="1" applyFill="1" applyBorder="1" applyAlignment="1">
      <alignment horizontal="left"/>
    </xf>
    <xf numFmtId="3" fontId="43" fillId="0" borderId="11" xfId="0" applyNumberFormat="1" applyFont="1" applyFill="1" applyBorder="1" applyAlignment="1">
      <alignment horizontal="left"/>
    </xf>
    <xf numFmtId="3" fontId="43" fillId="0" borderId="0" xfId="0" applyNumberFormat="1" applyFont="1" applyFill="1" applyBorder="1" applyAlignment="1">
      <alignment horizontal="centerContinuous"/>
    </xf>
    <xf numFmtId="3" fontId="43" fillId="0" borderId="0" xfId="0" applyNumberFormat="1" applyFont="1" applyFill="1" applyBorder="1" applyAlignment="1">
      <alignment horizontal="left"/>
    </xf>
    <xf numFmtId="3" fontId="43" fillId="0" borderId="11" xfId="0" applyNumberFormat="1" applyFont="1" applyFill="1" applyBorder="1" applyAlignment="1">
      <alignment horizontal="centerContinuous"/>
    </xf>
    <xf numFmtId="3" fontId="41" fillId="0" borderId="22" xfId="0" applyNumberFormat="1" applyFont="1" applyFill="1" applyBorder="1"/>
    <xf numFmtId="3" fontId="41" fillId="0" borderId="27" xfId="0" applyNumberFormat="1" applyFont="1" applyFill="1" applyBorder="1"/>
    <xf numFmtId="0" fontId="24" fillId="0" borderId="12" xfId="0" applyFont="1" applyFill="1" applyBorder="1"/>
    <xf numFmtId="0" fontId="40" fillId="0" borderId="16" xfId="0" applyFont="1" applyFill="1" applyBorder="1" applyAlignment="1" applyProtection="1">
      <alignment horizontal="left"/>
    </xf>
    <xf numFmtId="0" fontId="24" fillId="0" borderId="16" xfId="0" applyFont="1" applyFill="1" applyBorder="1" applyAlignment="1" applyProtection="1">
      <alignment horizontal="left"/>
    </xf>
    <xf numFmtId="3" fontId="24" fillId="0" borderId="26" xfId="0" applyNumberFormat="1" applyFont="1" applyFill="1" applyBorder="1" applyProtection="1">
      <protection locked="0"/>
    </xf>
    <xf numFmtId="0" fontId="10" fillId="0" borderId="11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3" fontId="10" fillId="0" borderId="15" xfId="0" applyNumberFormat="1" applyFont="1" applyFill="1" applyBorder="1" applyAlignment="1">
      <alignment horizontal="center"/>
    </xf>
    <xf numFmtId="0" fontId="4" fillId="0" borderId="33" xfId="54" applyFont="1" applyFill="1" applyBorder="1" applyAlignment="1">
      <alignment horizontal="left"/>
    </xf>
    <xf numFmtId="3" fontId="10" fillId="0" borderId="23" xfId="0" applyNumberFormat="1" applyFont="1" applyFill="1" applyBorder="1"/>
    <xf numFmtId="3" fontId="10" fillId="0" borderId="34" xfId="0" applyNumberFormat="1" applyFont="1" applyFill="1" applyBorder="1"/>
    <xf numFmtId="0" fontId="10" fillId="0" borderId="35" xfId="0" applyFont="1" applyFill="1" applyBorder="1" applyProtection="1"/>
    <xf numFmtId="3" fontId="10" fillId="0" borderId="36" xfId="0" applyNumberFormat="1" applyFont="1" applyFill="1" applyBorder="1"/>
    <xf numFmtId="3" fontId="41" fillId="0" borderId="25" xfId="0" applyNumberFormat="1" applyFont="1" applyFill="1" applyBorder="1"/>
    <xf numFmtId="0" fontId="4" fillId="0" borderId="37" xfId="0" applyFont="1" applyFill="1" applyBorder="1"/>
    <xf numFmtId="3" fontId="21" fillId="0" borderId="27" xfId="0" applyNumberFormat="1" applyFont="1" applyFill="1" applyBorder="1" applyAlignment="1">
      <alignment horizontal="right"/>
    </xf>
    <xf numFmtId="0" fontId="43" fillId="0" borderId="18" xfId="0" applyFont="1" applyFill="1" applyBorder="1" applyAlignment="1" applyProtection="1"/>
    <xf numFmtId="0" fontId="11" fillId="0" borderId="33" xfId="0" applyFont="1" applyFill="1" applyBorder="1" applyProtection="1"/>
    <xf numFmtId="0" fontId="43" fillId="0" borderId="18" xfId="0" applyFont="1" applyFill="1" applyBorder="1"/>
    <xf numFmtId="0" fontId="11" fillId="0" borderId="33" xfId="0" applyFont="1" applyFill="1" applyBorder="1"/>
    <xf numFmtId="3" fontId="43" fillId="0" borderId="18" xfId="0" applyNumberFormat="1" applyFont="1" applyFill="1" applyBorder="1" applyAlignment="1">
      <alignment horizontal="left"/>
    </xf>
    <xf numFmtId="3" fontId="43" fillId="0" borderId="33" xfId="0" applyNumberFormat="1" applyFont="1" applyFill="1" applyBorder="1" applyAlignment="1">
      <alignment horizontal="left"/>
    </xf>
    <xf numFmtId="3" fontId="43" fillId="0" borderId="33" xfId="0" applyNumberFormat="1" applyFont="1" applyFill="1" applyBorder="1" applyAlignment="1">
      <alignment horizontal="centerContinuous"/>
    </xf>
    <xf numFmtId="3" fontId="39" fillId="0" borderId="24" xfId="0" applyNumberFormat="1" applyFont="1" applyFill="1" applyBorder="1" applyAlignment="1">
      <alignment horizontal="right"/>
    </xf>
    <xf numFmtId="3" fontId="41" fillId="0" borderId="27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4" fillId="0" borderId="21" xfId="0" applyFont="1" applyFill="1" applyBorder="1" applyProtection="1"/>
    <xf numFmtId="0" fontId="4" fillId="0" borderId="28" xfId="0" applyFont="1" applyFill="1" applyBorder="1"/>
    <xf numFmtId="0" fontId="40" fillId="0" borderId="0" xfId="0" applyFont="1" applyFill="1" applyAlignment="1">
      <alignment horizontal="left"/>
    </xf>
    <xf numFmtId="3" fontId="8" fillId="0" borderId="27" xfId="0" applyNumberFormat="1" applyFont="1" applyFill="1" applyBorder="1"/>
    <xf numFmtId="0" fontId="21" fillId="0" borderId="27" xfId="0" applyFont="1" applyFill="1" applyBorder="1" applyAlignment="1">
      <alignment horizontal="justify"/>
    </xf>
    <xf numFmtId="0" fontId="3" fillId="28" borderId="0" xfId="0" applyFont="1" applyFill="1" applyBorder="1"/>
    <xf numFmtId="3" fontId="3" fillId="28" borderId="0" xfId="0" applyNumberFormat="1" applyFont="1" applyFill="1" applyBorder="1"/>
    <xf numFmtId="3" fontId="4" fillId="28" borderId="38" xfId="0" applyNumberFormat="1" applyFont="1" applyFill="1" applyBorder="1"/>
    <xf numFmtId="0" fontId="3" fillId="0" borderId="23" xfId="0" applyFont="1" applyFill="1" applyBorder="1" applyAlignment="1">
      <alignment horizontal="center"/>
    </xf>
    <xf numFmtId="0" fontId="8" fillId="0" borderId="11" xfId="54" applyFont="1" applyFill="1" applyBorder="1"/>
    <xf numFmtId="0" fontId="4" fillId="0" borderId="39" xfId="0" applyFont="1" applyFill="1" applyBorder="1"/>
    <xf numFmtId="0" fontId="41" fillId="0" borderId="22" xfId="0" applyFont="1" applyFill="1" applyBorder="1"/>
    <xf numFmtId="3" fontId="13" fillId="28" borderId="38" xfId="0" applyNumberFormat="1" applyFont="1" applyFill="1" applyBorder="1"/>
    <xf numFmtId="0" fontId="6" fillId="0" borderId="22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justify" wrapText="1"/>
    </xf>
    <xf numFmtId="0" fontId="3" fillId="0" borderId="4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 wrapText="1"/>
    </xf>
    <xf numFmtId="0" fontId="6" fillId="0" borderId="21" xfId="0" applyFont="1" applyFill="1" applyBorder="1" applyAlignment="1">
      <alignment horizontal="center"/>
    </xf>
    <xf numFmtId="3" fontId="10" fillId="0" borderId="41" xfId="0" applyNumberFormat="1" applyFont="1" applyFill="1" applyBorder="1" applyAlignment="1"/>
    <xf numFmtId="3" fontId="10" fillId="0" borderId="42" xfId="0" applyNumberFormat="1" applyFont="1" applyFill="1" applyBorder="1" applyAlignment="1"/>
    <xf numFmtId="0" fontId="12" fillId="0" borderId="13" xfId="0" applyFont="1" applyFill="1" applyBorder="1" applyProtection="1"/>
    <xf numFmtId="3" fontId="10" fillId="0" borderId="43" xfId="0" applyNumberFormat="1" applyFont="1" applyFill="1" applyBorder="1" applyAlignment="1"/>
    <xf numFmtId="3" fontId="3" fillId="0" borderId="0" xfId="0" applyNumberFormat="1" applyFont="1" applyFill="1"/>
    <xf numFmtId="0" fontId="4" fillId="28" borderId="0" xfId="0" applyFont="1" applyFill="1"/>
    <xf numFmtId="0" fontId="4" fillId="0" borderId="27" xfId="0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8" fillId="0" borderId="27" xfId="0" applyFont="1" applyFill="1" applyBorder="1" applyAlignment="1">
      <alignment horizontal="justify"/>
    </xf>
    <xf numFmtId="3" fontId="4" fillId="0" borderId="0" xfId="0" applyNumberFormat="1" applyFont="1" applyFill="1" applyBorder="1"/>
    <xf numFmtId="0" fontId="13" fillId="0" borderId="10" xfId="54" applyFont="1" applyFill="1" applyBorder="1"/>
    <xf numFmtId="0" fontId="3" fillId="0" borderId="44" xfId="54" applyFont="1" applyFill="1" applyBorder="1" applyAlignment="1">
      <alignment horizontal="left"/>
    </xf>
    <xf numFmtId="0" fontId="3" fillId="0" borderId="0" xfId="54" applyFont="1" applyFill="1" applyBorder="1" applyAlignment="1">
      <alignment horizontal="justify"/>
    </xf>
    <xf numFmtId="0" fontId="3" fillId="0" borderId="0" xfId="54" applyFont="1" applyFill="1" applyBorder="1" applyAlignment="1">
      <alignment horizontal="left"/>
    </xf>
    <xf numFmtId="0" fontId="4" fillId="0" borderId="45" xfId="0" applyFont="1" applyFill="1" applyBorder="1"/>
    <xf numFmtId="3" fontId="4" fillId="0" borderId="28" xfId="0" applyNumberFormat="1" applyFont="1" applyFill="1" applyBorder="1" applyProtection="1">
      <protection locked="0"/>
    </xf>
    <xf numFmtId="0" fontId="4" fillId="0" borderId="46" xfId="0" applyFont="1" applyFill="1" applyBorder="1"/>
    <xf numFmtId="3" fontId="4" fillId="0" borderId="47" xfId="0" applyNumberFormat="1" applyFont="1" applyFill="1" applyBorder="1" applyProtection="1">
      <protection locked="0"/>
    </xf>
    <xf numFmtId="3" fontId="7" fillId="0" borderId="25" xfId="57" applyNumberFormat="1" applyFont="1" applyFill="1" applyBorder="1" applyAlignment="1">
      <alignment horizontal="right" wrapText="1"/>
    </xf>
    <xf numFmtId="3" fontId="8" fillId="0" borderId="25" xfId="0" applyNumberFormat="1" applyFont="1" applyFill="1" applyBorder="1" applyAlignment="1"/>
    <xf numFmtId="0" fontId="4" fillId="0" borderId="18" xfId="0" applyFont="1" applyFill="1" applyBorder="1" applyAlignment="1">
      <alignment wrapText="1"/>
    </xf>
    <xf numFmtId="0" fontId="25" fillId="0" borderId="0" xfId="0" applyFont="1" applyFill="1"/>
    <xf numFmtId="0" fontId="21" fillId="0" borderId="22" xfId="0" applyFont="1" applyFill="1" applyBorder="1" applyAlignment="1">
      <alignment horizontal="justify"/>
    </xf>
    <xf numFmtId="0" fontId="3" fillId="0" borderId="0" xfId="0" applyFont="1" applyFill="1" applyBorder="1" applyProtection="1"/>
    <xf numFmtId="0" fontId="4" fillId="0" borderId="48" xfId="0" applyFont="1" applyFill="1" applyBorder="1"/>
    <xf numFmtId="0" fontId="4" fillId="0" borderId="49" xfId="0" applyFont="1" applyFill="1" applyBorder="1"/>
    <xf numFmtId="0" fontId="5" fillId="0" borderId="50" xfId="0" applyFont="1" applyFill="1" applyBorder="1" applyAlignment="1" applyProtection="1">
      <alignment horizontal="centerContinuous"/>
    </xf>
    <xf numFmtId="0" fontId="4" fillId="0" borderId="21" xfId="54" applyFont="1" applyFill="1" applyBorder="1" applyAlignment="1">
      <alignment horizontal="center"/>
    </xf>
    <xf numFmtId="3" fontId="10" fillId="0" borderId="21" xfId="0" applyNumberFormat="1" applyFont="1" applyFill="1" applyBorder="1" applyAlignment="1" applyProtection="1">
      <alignment horizontal="right"/>
    </xf>
    <xf numFmtId="3" fontId="10" fillId="0" borderId="20" xfId="0" applyNumberFormat="1" applyFont="1" applyFill="1" applyBorder="1" applyAlignment="1" applyProtection="1">
      <alignment horizontal="right"/>
    </xf>
    <xf numFmtId="3" fontId="10" fillId="0" borderId="21" xfId="0" applyNumberFormat="1" applyFont="1" applyFill="1" applyBorder="1" applyAlignment="1">
      <alignment horizontal="left"/>
    </xf>
    <xf numFmtId="3" fontId="10" fillId="0" borderId="22" xfId="0" applyNumberFormat="1" applyFont="1" applyFill="1" applyBorder="1" applyAlignment="1">
      <alignment horizontal="left"/>
    </xf>
    <xf numFmtId="3" fontId="10" fillId="0" borderId="20" xfId="0" applyNumberFormat="1" applyFont="1" applyFill="1" applyBorder="1" applyAlignment="1">
      <alignment horizontal="centerContinuous"/>
    </xf>
    <xf numFmtId="3" fontId="11" fillId="0" borderId="23" xfId="0" applyNumberFormat="1" applyFont="1" applyFill="1" applyBorder="1"/>
    <xf numFmtId="0" fontId="11" fillId="0" borderId="33" xfId="54" applyFont="1" applyFill="1" applyBorder="1" applyAlignment="1">
      <alignment horizontal="justify"/>
    </xf>
    <xf numFmtId="3" fontId="10" fillId="0" borderId="21" xfId="0" applyNumberFormat="1" applyFont="1" applyFill="1" applyBorder="1" applyAlignment="1"/>
    <xf numFmtId="3" fontId="10" fillId="0" borderId="43" xfId="0" applyNumberFormat="1" applyFont="1" applyFill="1" applyBorder="1"/>
    <xf numFmtId="0" fontId="3" fillId="0" borderId="51" xfId="0" applyFont="1" applyFill="1" applyBorder="1"/>
    <xf numFmtId="0" fontId="3" fillId="0" borderId="20" xfId="0" applyFont="1" applyFill="1" applyBorder="1"/>
    <xf numFmtId="0" fontId="8" fillId="28" borderId="38" xfId="0" applyFont="1" applyFill="1" applyBorder="1" applyAlignment="1">
      <alignment horizontal="justify"/>
    </xf>
    <xf numFmtId="0" fontId="8" fillId="0" borderId="51" xfId="0" applyFont="1" applyFill="1" applyBorder="1"/>
    <xf numFmtId="3" fontId="14" fillId="0" borderId="26" xfId="0" applyNumberFormat="1" applyFont="1" applyFill="1" applyBorder="1" applyAlignment="1">
      <alignment horizontal="right"/>
    </xf>
    <xf numFmtId="3" fontId="48" fillId="0" borderId="21" xfId="0" applyNumberFormat="1" applyFont="1" applyFill="1" applyBorder="1" applyAlignment="1">
      <alignment horizontal="right"/>
    </xf>
    <xf numFmtId="3" fontId="48" fillId="0" borderId="27" xfId="0" applyNumberFormat="1" applyFont="1" applyFill="1" applyBorder="1" applyAlignment="1">
      <alignment horizontal="right"/>
    </xf>
    <xf numFmtId="3" fontId="48" fillId="0" borderId="22" xfId="0" applyNumberFormat="1" applyFont="1" applyFill="1" applyBorder="1" applyAlignment="1">
      <alignment horizontal="right"/>
    </xf>
    <xf numFmtId="3" fontId="44" fillId="0" borderId="22" xfId="0" applyNumberFormat="1" applyFont="1" applyFill="1" applyBorder="1" applyAlignment="1">
      <alignment horizontal="right"/>
    </xf>
    <xf numFmtId="3" fontId="48" fillId="0" borderId="23" xfId="0" applyNumberFormat="1" applyFont="1" applyFill="1" applyBorder="1" applyAlignment="1">
      <alignment horizontal="center"/>
    </xf>
    <xf numFmtId="3" fontId="44" fillId="0" borderId="24" xfId="0" applyNumberFormat="1" applyFont="1" applyFill="1" applyBorder="1" applyAlignment="1"/>
    <xf numFmtId="0" fontId="41" fillId="0" borderId="22" xfId="0" applyFont="1" applyFill="1" applyBorder="1" applyProtection="1"/>
    <xf numFmtId="3" fontId="42" fillId="0" borderId="22" xfId="0" applyNumberFormat="1" applyFont="1" applyFill="1" applyBorder="1"/>
    <xf numFmtId="3" fontId="14" fillId="0" borderId="36" xfId="0" applyNumberFormat="1" applyFont="1" applyFill="1" applyBorder="1"/>
    <xf numFmtId="3" fontId="14" fillId="0" borderId="43" xfId="0" applyNumberFormat="1" applyFont="1" applyFill="1" applyBorder="1" applyAlignment="1"/>
    <xf numFmtId="3" fontId="14" fillId="0" borderId="24" xfId="0" applyNumberFormat="1" applyFont="1" applyFill="1" applyBorder="1" applyAlignment="1"/>
    <xf numFmtId="3" fontId="41" fillId="0" borderId="27" xfId="0" applyNumberFormat="1" applyFont="1" applyFill="1" applyBorder="1" applyAlignment="1" applyProtection="1">
      <alignment horizontal="right"/>
    </xf>
    <xf numFmtId="3" fontId="48" fillId="0" borderId="27" xfId="0" applyNumberFormat="1" applyFont="1" applyFill="1" applyBorder="1" applyAlignment="1" applyProtection="1">
      <alignment horizontal="right"/>
    </xf>
    <xf numFmtId="3" fontId="14" fillId="0" borderId="24" xfId="0" applyNumberFormat="1" applyFont="1" applyFill="1" applyBorder="1" applyAlignment="1" applyProtection="1">
      <alignment horizontal="right"/>
    </xf>
    <xf numFmtId="3" fontId="41" fillId="0" borderId="21" xfId="0" applyNumberFormat="1" applyFont="1" applyFill="1" applyBorder="1" applyAlignment="1" applyProtection="1">
      <alignment horizontal="right"/>
    </xf>
    <xf numFmtId="3" fontId="14" fillId="0" borderId="26" xfId="0" applyNumberFormat="1" applyFont="1" applyFill="1" applyBorder="1" applyAlignment="1" applyProtection="1"/>
    <xf numFmtId="3" fontId="14" fillId="0" borderId="24" xfId="0" applyNumberFormat="1" applyFont="1" applyFill="1" applyBorder="1" applyAlignment="1">
      <alignment horizontal="right"/>
    </xf>
    <xf numFmtId="3" fontId="4" fillId="0" borderId="18" xfId="0" applyNumberFormat="1" applyFont="1" applyFill="1" applyBorder="1"/>
    <xf numFmtId="0" fontId="4" fillId="0" borderId="30" xfId="0" applyFont="1" applyFill="1" applyBorder="1"/>
    <xf numFmtId="0" fontId="4" fillId="0" borderId="11" xfId="0" applyFont="1" applyFill="1" applyBorder="1" applyAlignment="1">
      <alignment wrapText="1" shrinkToFit="1"/>
    </xf>
    <xf numFmtId="0" fontId="4" fillId="0" borderId="0" xfId="54" applyFont="1" applyFill="1" applyBorder="1" applyAlignment="1">
      <alignment horizontal="left" wrapText="1"/>
    </xf>
    <xf numFmtId="0" fontId="23" fillId="0" borderId="22" xfId="0" applyFont="1" applyFill="1" applyBorder="1" applyAlignment="1">
      <alignment horizontal="left" wrapText="1"/>
    </xf>
    <xf numFmtId="3" fontId="11" fillId="0" borderId="29" xfId="54" applyNumberFormat="1" applyFont="1" applyFill="1" applyBorder="1" applyAlignment="1">
      <alignment horizontal="right"/>
    </xf>
    <xf numFmtId="3" fontId="3" fillId="0" borderId="13" xfId="0" applyNumberFormat="1" applyFont="1" applyFill="1" applyBorder="1"/>
    <xf numFmtId="0" fontId="4" fillId="0" borderId="52" xfId="0" applyFont="1" applyFill="1" applyBorder="1"/>
    <xf numFmtId="3" fontId="10" fillId="0" borderId="22" xfId="0" applyNumberFormat="1" applyFont="1" applyFill="1" applyBorder="1" applyProtection="1"/>
    <xf numFmtId="3" fontId="11" fillId="0" borderId="25" xfId="0" applyNumberFormat="1" applyFont="1" applyFill="1" applyBorder="1"/>
    <xf numFmtId="3" fontId="11" fillId="0" borderId="27" xfId="0" applyNumberFormat="1" applyFont="1" applyFill="1" applyBorder="1"/>
    <xf numFmtId="3" fontId="11" fillId="0" borderId="25" xfId="0" applyNumberFormat="1" applyFont="1" applyFill="1" applyBorder="1" applyProtection="1"/>
    <xf numFmtId="3" fontId="11" fillId="0" borderId="27" xfId="0" applyNumberFormat="1" applyFont="1" applyFill="1" applyBorder="1" applyProtection="1"/>
    <xf numFmtId="3" fontId="11" fillId="0" borderId="22" xfId="0" applyNumberFormat="1" applyFont="1" applyFill="1" applyBorder="1" applyProtection="1"/>
    <xf numFmtId="0" fontId="11" fillId="0" borderId="22" xfId="0" applyFont="1" applyFill="1" applyBorder="1" applyProtection="1"/>
    <xf numFmtId="3" fontId="11" fillId="0" borderId="25" xfId="0" applyNumberFormat="1" applyFont="1" applyFill="1" applyBorder="1" applyProtection="1">
      <protection locked="0"/>
    </xf>
    <xf numFmtId="3" fontId="11" fillId="0" borderId="22" xfId="0" applyNumberFormat="1" applyFont="1" applyFill="1" applyBorder="1" applyProtection="1">
      <protection locked="0"/>
    </xf>
    <xf numFmtId="3" fontId="10" fillId="0" borderId="26" xfId="0" applyNumberFormat="1" applyFont="1" applyFill="1" applyBorder="1" applyProtection="1">
      <protection locked="0"/>
    </xf>
    <xf numFmtId="3" fontId="10" fillId="0" borderId="21" xfId="0" applyNumberFormat="1" applyFont="1" applyFill="1" applyBorder="1" applyProtection="1"/>
    <xf numFmtId="3" fontId="43" fillId="0" borderId="25" xfId="0" applyNumberFormat="1" applyFont="1" applyFill="1" applyBorder="1" applyProtection="1">
      <protection locked="0"/>
    </xf>
    <xf numFmtId="3" fontId="43" fillId="0" borderId="27" xfId="0" applyNumberFormat="1" applyFont="1" applyFill="1" applyBorder="1" applyProtection="1">
      <protection locked="0"/>
    </xf>
    <xf numFmtId="3" fontId="10" fillId="0" borderId="26" xfId="0" applyNumberFormat="1" applyFont="1" applyFill="1" applyBorder="1" applyProtection="1"/>
    <xf numFmtId="3" fontId="24" fillId="0" borderId="24" xfId="0" applyNumberFormat="1" applyFont="1" applyFill="1" applyBorder="1" applyProtection="1">
      <protection locked="0"/>
    </xf>
    <xf numFmtId="3" fontId="11" fillId="0" borderId="27" xfId="0" applyNumberFormat="1" applyFont="1" applyFill="1" applyBorder="1" applyProtection="1">
      <protection locked="0"/>
    </xf>
    <xf numFmtId="0" fontId="24" fillId="0" borderId="11" xfId="0" applyFont="1" applyFill="1" applyBorder="1"/>
    <xf numFmtId="0" fontId="24" fillId="0" borderId="0" xfId="0" applyFont="1" applyFill="1" applyBorder="1" applyAlignment="1" applyProtection="1">
      <alignment horizontal="left"/>
    </xf>
    <xf numFmtId="0" fontId="40" fillId="0" borderId="20" xfId="0" applyFont="1" applyFill="1" applyBorder="1" applyAlignment="1" applyProtection="1">
      <alignment horizontal="left"/>
    </xf>
    <xf numFmtId="0" fontId="40" fillId="0" borderId="0" xfId="0" applyFont="1" applyFill="1" applyBorder="1" applyProtection="1"/>
    <xf numFmtId="0" fontId="11" fillId="0" borderId="11" xfId="0" applyFont="1" applyFill="1" applyBorder="1" applyProtection="1"/>
    <xf numFmtId="0" fontId="11" fillId="0" borderId="53" xfId="0" applyFont="1" applyFill="1" applyBorder="1" applyProtection="1"/>
    <xf numFmtId="0" fontId="11" fillId="0" borderId="53" xfId="0" applyFont="1" applyFill="1" applyBorder="1" applyAlignment="1">
      <alignment horizontal="left"/>
    </xf>
    <xf numFmtId="0" fontId="24" fillId="0" borderId="2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24" fillId="0" borderId="10" xfId="0" applyFont="1" applyFill="1" applyBorder="1"/>
    <xf numFmtId="0" fontId="12" fillId="0" borderId="0" xfId="0" applyFont="1" applyFill="1" applyBorder="1" applyAlignment="1" applyProtection="1">
      <alignment horizontal="left"/>
    </xf>
    <xf numFmtId="0" fontId="11" fillId="0" borderId="11" xfId="0" applyFont="1" applyFill="1" applyBorder="1" applyAlignment="1" applyProtection="1"/>
    <xf numFmtId="0" fontId="11" fillId="0" borderId="0" xfId="0" applyFont="1" applyFill="1" applyBorder="1" applyAlignment="1" applyProtection="1"/>
    <xf numFmtId="0" fontId="11" fillId="0" borderId="53" xfId="0" applyFont="1" applyFill="1" applyBorder="1" applyAlignment="1" applyProtection="1"/>
    <xf numFmtId="0" fontId="10" fillId="0" borderId="16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0" fontId="43" fillId="0" borderId="11" xfId="0" applyFont="1" applyFill="1" applyBorder="1"/>
    <xf numFmtId="0" fontId="43" fillId="0" borderId="0" xfId="0" applyFont="1" applyFill="1" applyBorder="1" applyAlignment="1" applyProtection="1">
      <alignment horizontal="left"/>
    </xf>
    <xf numFmtId="0" fontId="11" fillId="0" borderId="53" xfId="0" applyFont="1" applyFill="1" applyBorder="1" applyAlignment="1" applyProtection="1">
      <alignment horizontal="left"/>
    </xf>
    <xf numFmtId="0" fontId="10" fillId="0" borderId="0" xfId="54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/>
    </xf>
    <xf numFmtId="0" fontId="24" fillId="0" borderId="13" xfId="0" applyFont="1" applyFill="1" applyBorder="1"/>
    <xf numFmtId="0" fontId="11" fillId="0" borderId="19" xfId="0" applyFont="1" applyFill="1" applyBorder="1"/>
    <xf numFmtId="0" fontId="12" fillId="0" borderId="11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3" fontId="10" fillId="0" borderId="0" xfId="0" applyNumberFormat="1" applyFont="1" applyFill="1" applyBorder="1" applyProtection="1"/>
    <xf numFmtId="0" fontId="43" fillId="0" borderId="33" xfId="0" applyFont="1" applyFill="1" applyBorder="1" applyAlignment="1" applyProtection="1">
      <alignment horizontal="left"/>
    </xf>
    <xf numFmtId="0" fontId="12" fillId="0" borderId="33" xfId="0" applyFont="1" applyFill="1" applyBorder="1" applyAlignment="1" applyProtection="1">
      <alignment horizontal="left"/>
    </xf>
    <xf numFmtId="0" fontId="11" fillId="0" borderId="33" xfId="0" applyFont="1" applyFill="1" applyBorder="1" applyAlignment="1" applyProtection="1">
      <alignment horizontal="left"/>
    </xf>
    <xf numFmtId="0" fontId="12" fillId="0" borderId="53" xfId="0" applyFont="1" applyFill="1" applyBorder="1" applyAlignment="1" applyProtection="1">
      <alignment horizontal="left"/>
    </xf>
    <xf numFmtId="0" fontId="4" fillId="0" borderId="25" xfId="0" applyFont="1" applyFill="1" applyBorder="1" applyAlignment="1">
      <alignment wrapText="1"/>
    </xf>
    <xf numFmtId="3" fontId="10" fillId="0" borderId="23" xfId="0" applyNumberFormat="1" applyFont="1" applyFill="1" applyBorder="1" applyAlignment="1" applyProtection="1">
      <alignment horizontal="right"/>
    </xf>
    <xf numFmtId="0" fontId="43" fillId="0" borderId="17" xfId="0" applyFont="1" applyFill="1" applyBorder="1" applyAlignment="1" applyProtection="1"/>
    <xf numFmtId="3" fontId="48" fillId="0" borderId="25" xfId="0" applyNumberFormat="1" applyFont="1" applyFill="1" applyBorder="1" applyAlignment="1">
      <alignment horizontal="right"/>
    </xf>
    <xf numFmtId="3" fontId="11" fillId="29" borderId="22" xfId="54" applyNumberFormat="1" applyFont="1" applyFill="1" applyBorder="1" applyAlignment="1">
      <alignment horizontal="right"/>
    </xf>
    <xf numFmtId="3" fontId="11" fillId="29" borderId="25" xfId="54" applyNumberFormat="1" applyFont="1" applyFill="1" applyBorder="1" applyAlignment="1">
      <alignment horizontal="right"/>
    </xf>
    <xf numFmtId="3" fontId="11" fillId="29" borderId="27" xfId="54" applyNumberFormat="1" applyFont="1" applyFill="1" applyBorder="1" applyAlignment="1">
      <alignment horizontal="right"/>
    </xf>
    <xf numFmtId="3" fontId="10" fillId="29" borderId="40" xfId="54" applyNumberFormat="1" applyFont="1" applyFill="1" applyBorder="1"/>
    <xf numFmtId="3" fontId="11" fillId="29" borderId="25" xfId="54" applyNumberFormat="1" applyFont="1" applyFill="1" applyBorder="1" applyAlignment="1"/>
    <xf numFmtId="3" fontId="11" fillId="29" borderId="29" xfId="54" applyNumberFormat="1" applyFont="1" applyFill="1" applyBorder="1" applyAlignment="1">
      <alignment horizontal="center"/>
    </xf>
    <xf numFmtId="3" fontId="10" fillId="29" borderId="40" xfId="54" applyNumberFormat="1" applyFont="1" applyFill="1" applyBorder="1" applyAlignment="1">
      <alignment horizontal="right"/>
    </xf>
    <xf numFmtId="3" fontId="11" fillId="29" borderId="25" xfId="0" applyNumberFormat="1" applyFont="1" applyFill="1" applyBorder="1" applyAlignment="1">
      <alignment horizontal="right"/>
    </xf>
    <xf numFmtId="3" fontId="11" fillId="29" borderId="27" xfId="0" applyNumberFormat="1" applyFont="1" applyFill="1" applyBorder="1" applyAlignment="1">
      <alignment horizontal="right"/>
    </xf>
    <xf numFmtId="3" fontId="11" fillId="29" borderId="30" xfId="54" applyNumberFormat="1" applyFont="1" applyFill="1" applyBorder="1" applyAlignment="1">
      <alignment horizontal="right"/>
    </xf>
    <xf numFmtId="3" fontId="10" fillId="29" borderId="23" xfId="54" applyNumberFormat="1" applyFont="1" applyFill="1" applyBorder="1"/>
    <xf numFmtId="3" fontId="14" fillId="29" borderId="24" xfId="54" applyNumberFormat="1" applyFont="1" applyFill="1" applyBorder="1"/>
    <xf numFmtId="3" fontId="4" fillId="0" borderId="11" xfId="0" applyNumberFormat="1" applyFont="1" applyFill="1" applyBorder="1"/>
    <xf numFmtId="3" fontId="13" fillId="0" borderId="23" xfId="0" applyNumberFormat="1" applyFont="1" applyFill="1" applyBorder="1"/>
    <xf numFmtId="0" fontId="4" fillId="29" borderId="0" xfId="0" applyFont="1" applyFill="1"/>
    <xf numFmtId="3" fontId="8" fillId="0" borderId="0" xfId="0" applyNumberFormat="1" applyFont="1" applyFill="1" applyBorder="1"/>
    <xf numFmtId="3" fontId="41" fillId="0" borderId="27" xfId="54" applyNumberFormat="1" applyFont="1" applyFill="1" applyBorder="1" applyAlignment="1">
      <alignment horizontal="right"/>
    </xf>
    <xf numFmtId="3" fontId="48" fillId="0" borderId="27" xfId="0" applyNumberFormat="1" applyFont="1" applyFill="1" applyBorder="1"/>
    <xf numFmtId="3" fontId="48" fillId="0" borderId="25" xfId="0" applyNumberFormat="1" applyFont="1" applyFill="1" applyBorder="1" applyAlignment="1" applyProtection="1">
      <alignment horizontal="right"/>
    </xf>
    <xf numFmtId="0" fontId="39" fillId="0" borderId="21" xfId="0" applyFont="1" applyFill="1" applyBorder="1" applyAlignment="1">
      <alignment horizontal="center"/>
    </xf>
    <xf numFmtId="3" fontId="41" fillId="0" borderId="28" xfId="0" applyNumberFormat="1" applyFont="1" applyFill="1" applyBorder="1" applyAlignment="1">
      <alignment horizontal="right"/>
    </xf>
    <xf numFmtId="3" fontId="3" fillId="0" borderId="23" xfId="0" applyNumberFormat="1" applyFont="1" applyFill="1" applyBorder="1" applyAlignment="1" applyProtection="1">
      <alignment horizontal="centerContinuous"/>
    </xf>
    <xf numFmtId="0" fontId="43" fillId="0" borderId="45" xfId="0" applyFont="1" applyFill="1" applyBorder="1" applyAlignment="1" applyProtection="1"/>
    <xf numFmtId="0" fontId="11" fillId="0" borderId="37" xfId="0" applyFont="1" applyFill="1" applyBorder="1" applyProtection="1"/>
    <xf numFmtId="3" fontId="41" fillId="0" borderId="28" xfId="0" applyNumberFormat="1" applyFont="1" applyFill="1" applyBorder="1"/>
    <xf numFmtId="0" fontId="4" fillId="0" borderId="53" xfId="54" applyFont="1" applyFill="1" applyBorder="1" applyAlignment="1">
      <alignment horizontal="left"/>
    </xf>
    <xf numFmtId="0" fontId="4" fillId="27" borderId="18" xfId="0" applyFont="1" applyFill="1" applyBorder="1"/>
    <xf numFmtId="3" fontId="4" fillId="27" borderId="54" xfId="0" applyNumberFormat="1" applyFont="1" applyFill="1" applyBorder="1"/>
    <xf numFmtId="0" fontId="4" fillId="27" borderId="18" xfId="0" applyFont="1" applyFill="1" applyBorder="1" applyAlignment="1">
      <alignment wrapText="1"/>
    </xf>
    <xf numFmtId="0" fontId="4" fillId="27" borderId="11" xfId="0" applyFont="1" applyFill="1" applyBorder="1"/>
    <xf numFmtId="3" fontId="4" fillId="27" borderId="22" xfId="0" applyNumberFormat="1" applyFont="1" applyFill="1" applyBorder="1"/>
    <xf numFmtId="0" fontId="4" fillId="27" borderId="25" xfId="0" applyFont="1" applyFill="1" applyBorder="1" applyAlignment="1">
      <alignment wrapText="1"/>
    </xf>
    <xf numFmtId="0" fontId="4" fillId="27" borderId="27" xfId="0" applyFont="1" applyFill="1" applyBorder="1"/>
    <xf numFmtId="0" fontId="4" fillId="27" borderId="27" xfId="0" applyFont="1" applyFill="1" applyBorder="1" applyAlignment="1">
      <alignment wrapText="1"/>
    </xf>
    <xf numFmtId="0" fontId="4" fillId="27" borderId="28" xfId="0" applyFont="1" applyFill="1" applyBorder="1"/>
    <xf numFmtId="3" fontId="4" fillId="27" borderId="28" xfId="0" applyNumberFormat="1" applyFont="1" applyFill="1" applyBorder="1"/>
    <xf numFmtId="0" fontId="4" fillId="27" borderId="22" xfId="0" applyFont="1" applyFill="1" applyBorder="1"/>
    <xf numFmtId="3" fontId="4" fillId="27" borderId="11" xfId="0" applyNumberFormat="1" applyFont="1" applyFill="1" applyBorder="1"/>
    <xf numFmtId="0" fontId="8" fillId="27" borderId="27" xfId="0" applyFont="1" applyFill="1" applyBorder="1"/>
    <xf numFmtId="0" fontId="21" fillId="27" borderId="22" xfId="0" applyFont="1" applyFill="1" applyBorder="1" applyAlignment="1">
      <alignment horizontal="justify"/>
    </xf>
    <xf numFmtId="0" fontId="4" fillId="27" borderId="28" xfId="0" applyFont="1" applyFill="1" applyBorder="1" applyAlignment="1">
      <alignment horizontal="justify"/>
    </xf>
    <xf numFmtId="0" fontId="4" fillId="27" borderId="17" xfId="0" applyFont="1" applyFill="1" applyBorder="1" applyAlignment="1">
      <alignment horizontal="justify"/>
    </xf>
    <xf numFmtId="0" fontId="4" fillId="27" borderId="18" xfId="0" applyFont="1" applyFill="1" applyBorder="1" applyAlignment="1">
      <alignment horizontal="justify"/>
    </xf>
    <xf numFmtId="0" fontId="4" fillId="27" borderId="17" xfId="0" applyFont="1" applyFill="1" applyBorder="1"/>
    <xf numFmtId="3" fontId="4" fillId="27" borderId="23" xfId="0" applyNumberFormat="1" applyFont="1" applyFill="1" applyBorder="1"/>
    <xf numFmtId="0" fontId="8" fillId="27" borderId="17" xfId="0" applyFont="1" applyFill="1" applyBorder="1" applyAlignment="1">
      <alignment horizontal="justify"/>
    </xf>
    <xf numFmtId="3" fontId="8" fillId="27" borderId="25" xfId="0" applyNumberFormat="1" applyFont="1" applyFill="1" applyBorder="1"/>
    <xf numFmtId="0" fontId="8" fillId="27" borderId="18" xfId="0" applyFont="1" applyFill="1" applyBorder="1" applyAlignment="1">
      <alignment horizontal="justify"/>
    </xf>
    <xf numFmtId="3" fontId="8" fillId="27" borderId="27" xfId="0" applyNumberFormat="1" applyFont="1" applyFill="1" applyBorder="1"/>
    <xf numFmtId="0" fontId="4" fillId="27" borderId="45" xfId="0" applyFont="1" applyFill="1" applyBorder="1"/>
    <xf numFmtId="0" fontId="8" fillId="27" borderId="55" xfId="0" applyFont="1" applyFill="1" applyBorder="1" applyAlignment="1">
      <alignment horizontal="justify"/>
    </xf>
    <xf numFmtId="0" fontId="4" fillId="27" borderId="25" xfId="0" applyFont="1" applyFill="1" applyBorder="1"/>
    <xf numFmtId="0" fontId="4" fillId="27" borderId="27" xfId="0" applyFont="1" applyFill="1" applyBorder="1" applyAlignment="1">
      <alignment horizontal="justify" wrapText="1"/>
    </xf>
    <xf numFmtId="0" fontId="4" fillId="27" borderId="25" xfId="0" applyFont="1" applyFill="1" applyBorder="1" applyAlignment="1">
      <alignment horizontal="justify"/>
    </xf>
    <xf numFmtId="0" fontId="4" fillId="27" borderId="56" xfId="0" applyFont="1" applyFill="1" applyBorder="1" applyProtection="1"/>
    <xf numFmtId="3" fontId="4" fillId="27" borderId="25" xfId="0" applyNumberFormat="1" applyFont="1" applyFill="1" applyBorder="1" applyProtection="1">
      <protection locked="0"/>
    </xf>
    <xf numFmtId="0" fontId="4" fillId="27" borderId="53" xfId="0" applyFont="1" applyFill="1" applyBorder="1"/>
    <xf numFmtId="0" fontId="4" fillId="27" borderId="55" xfId="0" applyFont="1" applyFill="1" applyBorder="1"/>
    <xf numFmtId="0" fontId="4" fillId="27" borderId="57" xfId="0" applyFont="1" applyFill="1" applyBorder="1"/>
    <xf numFmtId="0" fontId="4" fillId="27" borderId="17" xfId="0" applyFont="1" applyFill="1" applyBorder="1" applyAlignment="1" applyProtection="1">
      <alignment horizontal="left"/>
    </xf>
    <xf numFmtId="0" fontId="4" fillId="27" borderId="18" xfId="0" applyFont="1" applyFill="1" applyBorder="1" applyAlignment="1" applyProtection="1">
      <alignment horizontal="left"/>
    </xf>
    <xf numFmtId="0" fontId="4" fillId="27" borderId="18" xfId="0" applyFont="1" applyFill="1" applyBorder="1" applyAlignment="1" applyProtection="1">
      <alignment horizontal="justify"/>
    </xf>
    <xf numFmtId="0" fontId="4" fillId="27" borderId="18" xfId="0" applyFont="1" applyFill="1" applyBorder="1" applyAlignment="1" applyProtection="1">
      <alignment horizontal="left" wrapText="1"/>
    </xf>
    <xf numFmtId="0" fontId="4" fillId="27" borderId="18" xfId="0" applyFont="1" applyFill="1" applyBorder="1" applyAlignment="1"/>
    <xf numFmtId="3" fontId="4" fillId="0" borderId="25" xfId="0" applyNumberFormat="1" applyFont="1" applyFill="1" applyBorder="1" applyAlignment="1">
      <alignment horizontal="right"/>
    </xf>
    <xf numFmtId="3" fontId="4" fillId="0" borderId="27" xfId="0" applyNumberFormat="1" applyFont="1" applyFill="1" applyBorder="1" applyAlignment="1">
      <alignment horizontal="right"/>
    </xf>
    <xf numFmtId="3" fontId="4" fillId="27" borderId="25" xfId="0" applyNumberFormat="1" applyFont="1" applyFill="1" applyBorder="1" applyAlignment="1">
      <alignment wrapText="1"/>
    </xf>
    <xf numFmtId="0" fontId="11" fillId="0" borderId="33" xfId="0" applyFont="1" applyFill="1" applyBorder="1" applyAlignment="1">
      <alignment horizontal="left"/>
    </xf>
    <xf numFmtId="0" fontId="21" fillId="0" borderId="18" xfId="0" applyFont="1" applyFill="1" applyBorder="1" applyAlignment="1">
      <alignment horizontal="justify"/>
    </xf>
    <xf numFmtId="3" fontId="7" fillId="0" borderId="27" xfId="57" applyNumberFormat="1" applyFont="1" applyFill="1" applyBorder="1" applyAlignment="1">
      <alignment horizontal="justify" vertical="top" wrapText="1"/>
    </xf>
    <xf numFmtId="3" fontId="7" fillId="0" borderId="27" xfId="57" applyNumberFormat="1" applyFont="1" applyFill="1" applyBorder="1" applyAlignment="1">
      <alignment horizontal="right" wrapText="1"/>
    </xf>
    <xf numFmtId="3" fontId="4" fillId="0" borderId="22" xfId="0" applyNumberFormat="1" applyFont="1" applyFill="1" applyBorder="1" applyProtection="1">
      <protection locked="0"/>
    </xf>
    <xf numFmtId="3" fontId="3" fillId="0" borderId="0" xfId="0" applyNumberFormat="1" applyFont="1" applyFill="1" applyAlignment="1">
      <alignment horizontal="center"/>
    </xf>
    <xf numFmtId="3" fontId="40" fillId="0" borderId="0" xfId="0" applyNumberFormat="1" applyFont="1" applyFill="1" applyBorder="1"/>
    <xf numFmtId="3" fontId="22" fillId="0" borderId="21" xfId="0" applyNumberFormat="1" applyFont="1" applyFill="1" applyBorder="1" applyAlignment="1">
      <alignment horizontal="center"/>
    </xf>
    <xf numFmtId="3" fontId="22" fillId="0" borderId="23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right" wrapText="1"/>
    </xf>
    <xf numFmtId="3" fontId="3" fillId="0" borderId="12" xfId="0" applyNumberFormat="1" applyFont="1" applyFill="1" applyBorder="1"/>
    <xf numFmtId="3" fontId="11" fillId="0" borderId="30" xfId="0" applyNumberFormat="1" applyFont="1" applyFill="1" applyBorder="1"/>
    <xf numFmtId="3" fontId="10" fillId="0" borderId="26" xfId="0" applyNumberFormat="1" applyFont="1" applyFill="1" applyBorder="1"/>
    <xf numFmtId="3" fontId="11" fillId="27" borderId="25" xfId="0" applyNumberFormat="1" applyFont="1" applyFill="1" applyBorder="1"/>
    <xf numFmtId="3" fontId="10" fillId="0" borderId="40" xfId="0" applyNumberFormat="1" applyFont="1" applyFill="1" applyBorder="1"/>
    <xf numFmtId="3" fontId="24" fillId="28" borderId="38" xfId="0" applyNumberFormat="1" applyFont="1" applyFill="1" applyBorder="1"/>
    <xf numFmtId="3" fontId="11" fillId="27" borderId="27" xfId="0" applyNumberFormat="1" applyFont="1" applyFill="1" applyBorder="1" applyProtection="1">
      <protection locked="0"/>
    </xf>
    <xf numFmtId="3" fontId="11" fillId="27" borderId="25" xfId="0" applyNumberFormat="1" applyFont="1" applyFill="1" applyBorder="1" applyProtection="1">
      <protection locked="0"/>
    </xf>
    <xf numFmtId="3" fontId="41" fillId="0" borderId="27" xfId="54" applyNumberFormat="1" applyFont="1" applyFill="1" applyBorder="1"/>
    <xf numFmtId="3" fontId="51" fillId="0" borderId="22" xfId="0" applyNumberFormat="1" applyFont="1" applyFill="1" applyBorder="1" applyAlignment="1">
      <alignment horizontal="right"/>
    </xf>
    <xf numFmtId="3" fontId="41" fillId="0" borderId="22" xfId="54" applyNumberFormat="1" applyFont="1" applyFill="1" applyBorder="1" applyAlignment="1">
      <alignment horizontal="right"/>
    </xf>
    <xf numFmtId="3" fontId="41" fillId="0" borderId="22" xfId="54" applyNumberFormat="1" applyFont="1" applyFill="1" applyBorder="1"/>
    <xf numFmtId="3" fontId="14" fillId="0" borderId="29" xfId="54" applyNumberFormat="1" applyFont="1" applyFill="1" applyBorder="1"/>
    <xf numFmtId="3" fontId="14" fillId="0" borderId="22" xfId="54" applyNumberFormat="1" applyFont="1" applyFill="1" applyBorder="1"/>
    <xf numFmtId="3" fontId="48" fillId="0" borderId="25" xfId="54" applyNumberFormat="1" applyFont="1" applyFill="1" applyBorder="1"/>
    <xf numFmtId="3" fontId="14" fillId="0" borderId="40" xfId="54" applyNumberFormat="1" applyFont="1" applyFill="1" applyBorder="1"/>
    <xf numFmtId="3" fontId="48" fillId="0" borderId="22" xfId="54" applyNumberFormat="1" applyFont="1" applyFill="1" applyBorder="1" applyAlignment="1">
      <alignment horizontal="right"/>
    </xf>
    <xf numFmtId="3" fontId="48" fillId="0" borderId="27" xfId="54" applyNumberFormat="1" applyFont="1" applyFill="1" applyBorder="1" applyAlignment="1">
      <alignment horizontal="right"/>
    </xf>
    <xf numFmtId="3" fontId="14" fillId="0" borderId="40" xfId="54" applyNumberFormat="1" applyFont="1" applyFill="1" applyBorder="1" applyAlignment="1">
      <alignment horizontal="right"/>
    </xf>
    <xf numFmtId="3" fontId="48" fillId="0" borderId="25" xfId="54" applyNumberFormat="1" applyFont="1" applyFill="1" applyBorder="1" applyAlignment="1">
      <alignment horizontal="right"/>
    </xf>
    <xf numFmtId="3" fontId="14" fillId="0" borderId="26" xfId="54" applyNumberFormat="1" applyFont="1" applyFill="1" applyBorder="1" applyAlignment="1">
      <alignment horizontal="right"/>
    </xf>
    <xf numFmtId="0" fontId="10" fillId="0" borderId="14" xfId="54" applyFont="1" applyFill="1" applyBorder="1" applyAlignment="1">
      <alignment horizontal="center"/>
    </xf>
    <xf numFmtId="0" fontId="10" fillId="0" borderId="11" xfId="54" applyFont="1" applyFill="1" applyBorder="1" applyAlignment="1">
      <alignment horizontal="right"/>
    </xf>
    <xf numFmtId="0" fontId="11" fillId="0" borderId="11" xfId="54" applyFont="1" applyFill="1" applyBorder="1" applyAlignment="1">
      <alignment horizontal="right"/>
    </xf>
    <xf numFmtId="0" fontId="10" fillId="0" borderId="58" xfId="54" applyFont="1" applyFill="1" applyBorder="1" applyAlignment="1">
      <alignment horizontal="right"/>
    </xf>
    <xf numFmtId="0" fontId="10" fillId="0" borderId="44" xfId="54" applyFont="1" applyFill="1" applyBorder="1" applyAlignment="1">
      <alignment horizontal="right"/>
    </xf>
    <xf numFmtId="0" fontId="12" fillId="0" borderId="11" xfId="54" applyFont="1" applyFill="1" applyBorder="1" applyAlignment="1">
      <alignment horizontal="left"/>
    </xf>
    <xf numFmtId="0" fontId="12" fillId="0" borderId="0" xfId="54" applyFont="1" applyFill="1" applyBorder="1"/>
    <xf numFmtId="3" fontId="11" fillId="0" borderId="0" xfId="0" applyNumberFormat="1" applyFont="1" applyFill="1" applyBorder="1" applyAlignment="1">
      <alignment horizontal="justify"/>
    </xf>
    <xf numFmtId="0" fontId="10" fillId="0" borderId="11" xfId="54" applyFont="1" applyFill="1" applyBorder="1"/>
    <xf numFmtId="0" fontId="10" fillId="0" borderId="14" xfId="54" applyFont="1" applyFill="1" applyBorder="1" applyAlignment="1">
      <alignment horizontal="right"/>
    </xf>
    <xf numFmtId="0" fontId="11" fillId="0" borderId="53" xfId="0" applyFont="1" applyFill="1" applyBorder="1"/>
    <xf numFmtId="3" fontId="11" fillId="0" borderId="53" xfId="0" applyNumberFormat="1" applyFont="1" applyFill="1" applyBorder="1" applyProtection="1"/>
    <xf numFmtId="0" fontId="43" fillId="0" borderId="33" xfId="0" applyFont="1" applyFill="1" applyBorder="1" applyAlignment="1" applyProtection="1"/>
    <xf numFmtId="0" fontId="43" fillId="0" borderId="53" xfId="0" applyFont="1" applyFill="1" applyBorder="1" applyAlignment="1" applyProtection="1"/>
    <xf numFmtId="3" fontId="10" fillId="0" borderId="33" xfId="0" applyNumberFormat="1" applyFont="1" applyFill="1" applyBorder="1" applyProtection="1"/>
    <xf numFmtId="3" fontId="10" fillId="0" borderId="53" xfId="0" applyNumberFormat="1" applyFont="1" applyFill="1" applyBorder="1" applyProtection="1"/>
    <xf numFmtId="0" fontId="13" fillId="0" borderId="21" xfId="0" applyFont="1" applyFill="1" applyBorder="1" applyAlignment="1">
      <alignment horizontal="center"/>
    </xf>
    <xf numFmtId="0" fontId="3" fillId="0" borderId="23" xfId="0" applyFont="1" applyFill="1" applyBorder="1" applyAlignment="1" applyProtection="1">
      <alignment horizontal="center"/>
    </xf>
    <xf numFmtId="3" fontId="43" fillId="0" borderId="25" xfId="0" applyNumberFormat="1" applyFont="1" applyFill="1" applyBorder="1" applyProtection="1"/>
    <xf numFmtId="0" fontId="4" fillId="27" borderId="23" xfId="0" applyFont="1" applyFill="1" applyBorder="1"/>
    <xf numFmtId="0" fontId="8" fillId="28" borderId="59" xfId="0" applyFont="1" applyFill="1" applyBorder="1" applyAlignment="1">
      <alignment horizontal="justify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3" fontId="8" fillId="27" borderId="22" xfId="0" applyNumberFormat="1" applyFont="1" applyFill="1" applyBorder="1" applyAlignment="1">
      <alignment horizontal="right"/>
    </xf>
    <xf numFmtId="0" fontId="10" fillId="0" borderId="13" xfId="0" applyFont="1" applyFill="1" applyBorder="1" applyAlignment="1">
      <alignment wrapText="1"/>
    </xf>
    <xf numFmtId="0" fontId="8" fillId="28" borderId="58" xfId="0" applyFont="1" applyFill="1" applyBorder="1" applyAlignment="1">
      <alignment horizontal="justify"/>
    </xf>
    <xf numFmtId="0" fontId="4" fillId="28" borderId="58" xfId="0" applyFont="1" applyFill="1" applyBorder="1"/>
    <xf numFmtId="0" fontId="4" fillId="0" borderId="21" xfId="0" applyFont="1" applyFill="1" applyBorder="1"/>
    <xf numFmtId="0" fontId="3" fillId="0" borderId="16" xfId="0" applyFont="1" applyFill="1" applyBorder="1" applyAlignment="1" applyProtection="1"/>
    <xf numFmtId="0" fontId="3" fillId="0" borderId="16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/>
    <xf numFmtId="3" fontId="3" fillId="0" borderId="21" xfId="0" applyNumberFormat="1" applyFont="1" applyFill="1" applyBorder="1" applyAlignment="1" applyProtection="1">
      <alignment horizontal="center"/>
    </xf>
    <xf numFmtId="0" fontId="3" fillId="0" borderId="22" xfId="54" applyFont="1" applyFill="1" applyBorder="1" applyAlignment="1">
      <alignment horizontal="justify"/>
    </xf>
    <xf numFmtId="0" fontId="4" fillId="0" borderId="22" xfId="54" applyFont="1" applyFill="1" applyBorder="1" applyAlignment="1">
      <alignment horizontal="left" wrapText="1"/>
    </xf>
    <xf numFmtId="0" fontId="3" fillId="0" borderId="19" xfId="54" applyFont="1" applyFill="1" applyBorder="1" applyAlignment="1">
      <alignment horizontal="center"/>
    </xf>
    <xf numFmtId="0" fontId="4" fillId="0" borderId="15" xfId="54" applyFont="1" applyFill="1" applyBorder="1" applyAlignment="1">
      <alignment horizontal="center"/>
    </xf>
    <xf numFmtId="0" fontId="3" fillId="0" borderId="21" xfId="54" applyFont="1" applyFill="1" applyBorder="1" applyAlignment="1">
      <alignment horizontal="center"/>
    </xf>
    <xf numFmtId="0" fontId="4" fillId="0" borderId="19" xfId="54" applyFont="1" applyFill="1" applyBorder="1" applyAlignment="1">
      <alignment horizontal="center"/>
    </xf>
    <xf numFmtId="0" fontId="4" fillId="0" borderId="20" xfId="54" applyFont="1" applyFill="1" applyBorder="1" applyAlignment="1">
      <alignment horizontal="center"/>
    </xf>
    <xf numFmtId="0" fontId="3" fillId="0" borderId="60" xfId="54" applyFont="1" applyFill="1" applyBorder="1" applyAlignment="1">
      <alignment horizontal="center"/>
    </xf>
    <xf numFmtId="0" fontId="8" fillId="0" borderId="53" xfId="54" applyFont="1" applyFill="1" applyBorder="1" applyAlignment="1">
      <alignment horizontal="left"/>
    </xf>
    <xf numFmtId="0" fontId="8" fillId="0" borderId="33" xfId="0" applyFont="1" applyFill="1" applyBorder="1" applyAlignment="1" applyProtection="1">
      <alignment horizontal="left"/>
    </xf>
    <xf numFmtId="0" fontId="4" fillId="0" borderId="33" xfId="0" applyFont="1" applyFill="1" applyBorder="1" applyAlignment="1" applyProtection="1">
      <alignment horizontal="left"/>
    </xf>
    <xf numFmtId="0" fontId="4" fillId="0" borderId="56" xfId="0" applyFont="1" applyFill="1" applyBorder="1" applyAlignment="1" applyProtection="1">
      <alignment horizontal="left"/>
    </xf>
    <xf numFmtId="0" fontId="13" fillId="0" borderId="61" xfId="0" applyFont="1" applyFill="1" applyBorder="1" applyAlignment="1" applyProtection="1">
      <alignment horizontal="center"/>
    </xf>
    <xf numFmtId="0" fontId="4" fillId="0" borderId="53" xfId="0" applyFont="1" applyFill="1" applyBorder="1" applyAlignment="1" applyProtection="1">
      <alignment horizontal="left"/>
    </xf>
    <xf numFmtId="0" fontId="3" fillId="0" borderId="22" xfId="54" applyFont="1" applyFill="1" applyBorder="1" applyAlignment="1">
      <alignment horizontal="left"/>
    </xf>
    <xf numFmtId="0" fontId="4" fillId="0" borderId="22" xfId="0" applyFont="1" applyFill="1" applyBorder="1" applyAlignment="1" applyProtection="1">
      <alignment horizontal="left"/>
    </xf>
    <xf numFmtId="0" fontId="8" fillId="0" borderId="27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/>
    </xf>
    <xf numFmtId="0" fontId="4" fillId="0" borderId="54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10" fillId="0" borderId="15" xfId="54" applyFont="1" applyFill="1" applyBorder="1" applyAlignment="1">
      <alignment horizontal="center"/>
    </xf>
    <xf numFmtId="0" fontId="10" fillId="0" borderId="19" xfId="54" applyFont="1" applyFill="1" applyBorder="1"/>
    <xf numFmtId="0" fontId="11" fillId="0" borderId="33" xfId="0" applyFont="1" applyFill="1" applyBorder="1" applyAlignment="1">
      <alignment wrapText="1"/>
    </xf>
    <xf numFmtId="0" fontId="10" fillId="0" borderId="61" xfId="54" applyFont="1" applyFill="1" applyBorder="1" applyAlignment="1">
      <alignment horizontal="center"/>
    </xf>
    <xf numFmtId="0" fontId="10" fillId="0" borderId="60" xfId="54" applyFont="1" applyFill="1" applyBorder="1"/>
    <xf numFmtId="0" fontId="11" fillId="0" borderId="53" xfId="54" applyFont="1" applyFill="1" applyBorder="1" applyAlignment="1"/>
    <xf numFmtId="0" fontId="11" fillId="0" borderId="53" xfId="54" applyFont="1" applyFill="1" applyBorder="1"/>
    <xf numFmtId="0" fontId="11" fillId="0" borderId="33" xfId="54" applyFont="1" applyFill="1" applyBorder="1"/>
    <xf numFmtId="0" fontId="10" fillId="0" borderId="61" xfId="54" applyFont="1" applyFill="1" applyBorder="1"/>
    <xf numFmtId="3" fontId="11" fillId="0" borderId="33" xfId="0" applyNumberFormat="1" applyFont="1" applyFill="1" applyBorder="1" applyAlignment="1">
      <alignment horizontal="justify"/>
    </xf>
    <xf numFmtId="3" fontId="11" fillId="0" borderId="53" xfId="0" applyNumberFormat="1" applyFont="1" applyFill="1" applyBorder="1" applyAlignment="1">
      <alignment horizontal="justify"/>
    </xf>
    <xf numFmtId="3" fontId="11" fillId="0" borderId="57" xfId="0" applyNumberFormat="1" applyFont="1" applyFill="1" applyBorder="1" applyAlignment="1">
      <alignment horizontal="justify"/>
    </xf>
    <xf numFmtId="0" fontId="11" fillId="0" borderId="53" xfId="54" applyFont="1" applyFill="1" applyBorder="1" applyAlignment="1">
      <alignment wrapText="1"/>
    </xf>
    <xf numFmtId="0" fontId="11" fillId="0" borderId="53" xfId="0" applyFont="1" applyFill="1" applyBorder="1" applyAlignment="1">
      <alignment wrapText="1"/>
    </xf>
    <xf numFmtId="0" fontId="52" fillId="0" borderId="53" xfId="53" applyFont="1" applyFill="1" applyBorder="1" applyAlignment="1"/>
    <xf numFmtId="0" fontId="10" fillId="0" borderId="15" xfId="54" applyFont="1" applyFill="1" applyBorder="1"/>
    <xf numFmtId="0" fontId="11" fillId="0" borderId="27" xfId="54" applyFont="1" applyFill="1" applyBorder="1" applyAlignment="1">
      <alignment horizontal="justify"/>
    </xf>
    <xf numFmtId="3" fontId="11" fillId="0" borderId="27" xfId="0" applyNumberFormat="1" applyFont="1" applyFill="1" applyBorder="1" applyAlignment="1">
      <alignment horizontal="justify"/>
    </xf>
    <xf numFmtId="0" fontId="10" fillId="0" borderId="20" xfId="54" applyFont="1" applyFill="1" applyBorder="1"/>
    <xf numFmtId="3" fontId="11" fillId="0" borderId="33" xfId="0" applyNumberFormat="1" applyFont="1" applyFill="1" applyBorder="1"/>
    <xf numFmtId="0" fontId="11" fillId="0" borderId="15" xfId="0" applyFont="1" applyFill="1" applyBorder="1"/>
    <xf numFmtId="3" fontId="10" fillId="0" borderId="35" xfId="0" applyNumberFormat="1" applyFont="1" applyFill="1" applyBorder="1"/>
    <xf numFmtId="3" fontId="10" fillId="0" borderId="62" xfId="0" applyNumberFormat="1" applyFont="1" applyFill="1" applyBorder="1" applyAlignment="1">
      <alignment horizontal="center"/>
    </xf>
    <xf numFmtId="3" fontId="12" fillId="0" borderId="22" xfId="0" applyNumberFormat="1" applyFont="1" applyFill="1" applyBorder="1"/>
    <xf numFmtId="0" fontId="11" fillId="0" borderId="37" xfId="0" applyFont="1" applyFill="1" applyBorder="1"/>
    <xf numFmtId="0" fontId="49" fillId="0" borderId="16" xfId="0" applyFont="1" applyFill="1" applyBorder="1"/>
    <xf numFmtId="0" fontId="10" fillId="0" borderId="19" xfId="0" applyFont="1" applyFill="1" applyBorder="1" applyAlignment="1" applyProtection="1">
      <alignment horizontal="left"/>
    </xf>
    <xf numFmtId="3" fontId="43" fillId="0" borderId="22" xfId="0" applyNumberFormat="1" applyFont="1" applyFill="1" applyBorder="1" applyAlignment="1">
      <alignment horizontal="centerContinuous"/>
    </xf>
    <xf numFmtId="3" fontId="10" fillId="0" borderId="22" xfId="0" applyNumberFormat="1" applyFont="1" applyFill="1" applyBorder="1" applyAlignment="1">
      <alignment horizontal="centerContinuous"/>
    </xf>
    <xf numFmtId="3" fontId="11" fillId="0" borderId="22" xfId="0" applyNumberFormat="1" applyFont="1" applyFill="1" applyBorder="1" applyAlignment="1">
      <alignment horizontal="center"/>
    </xf>
    <xf numFmtId="3" fontId="11" fillId="0" borderId="23" xfId="0" applyNumberFormat="1" applyFont="1" applyFill="1" applyBorder="1" applyAlignment="1">
      <alignment horizontal="center"/>
    </xf>
    <xf numFmtId="0" fontId="24" fillId="0" borderId="19" xfId="0" applyFont="1" applyFill="1" applyBorder="1"/>
    <xf numFmtId="0" fontId="10" fillId="0" borderId="20" xfId="0" applyFont="1" applyFill="1" applyBorder="1"/>
    <xf numFmtId="0" fontId="10" fillId="0" borderId="61" xfId="0" applyFont="1" applyFill="1" applyBorder="1"/>
    <xf numFmtId="3" fontId="10" fillId="0" borderId="63" xfId="0" applyNumberFormat="1" applyFont="1" applyFill="1" applyBorder="1" applyAlignment="1"/>
    <xf numFmtId="0" fontId="11" fillId="0" borderId="53" xfId="54" applyFont="1" applyFill="1" applyBorder="1" applyAlignment="1">
      <alignment horizontal="justify"/>
    </xf>
    <xf numFmtId="3" fontId="12" fillId="0" borderId="20" xfId="0" applyNumberFormat="1" applyFont="1" applyFill="1" applyBorder="1" applyAlignment="1">
      <alignment horizontal="centerContinuous"/>
    </xf>
    <xf numFmtId="0" fontId="11" fillId="0" borderId="15" xfId="0" applyFont="1" applyFill="1" applyBorder="1" applyAlignment="1" applyProtection="1">
      <alignment horizontal="left"/>
    </xf>
    <xf numFmtId="3" fontId="10" fillId="0" borderId="20" xfId="0" applyNumberFormat="1" applyFont="1" applyFill="1" applyBorder="1" applyAlignment="1">
      <alignment horizontal="left"/>
    </xf>
    <xf numFmtId="3" fontId="11" fillId="0" borderId="19" xfId="0" applyNumberFormat="1" applyFont="1" applyFill="1" applyBorder="1"/>
    <xf numFmtId="3" fontId="10" fillId="0" borderId="15" xfId="0" applyNumberFormat="1" applyFont="1" applyFill="1" applyBorder="1" applyAlignment="1" applyProtection="1">
      <alignment horizontal="right"/>
    </xf>
    <xf numFmtId="3" fontId="10" fillId="0" borderId="37" xfId="0" applyNumberFormat="1" applyFont="1" applyFill="1" applyBorder="1" applyAlignment="1" applyProtection="1">
      <alignment horizontal="right"/>
    </xf>
    <xf numFmtId="3" fontId="10" fillId="0" borderId="53" xfId="0" applyNumberFormat="1" applyFont="1" applyFill="1" applyBorder="1"/>
    <xf numFmtId="3" fontId="12" fillId="0" borderId="33" xfId="0" applyNumberFormat="1" applyFont="1" applyFill="1" applyBorder="1" applyAlignment="1" applyProtection="1">
      <alignment horizontal="left"/>
    </xf>
    <xf numFmtId="3" fontId="10" fillId="0" borderId="33" xfId="0" applyNumberFormat="1" applyFont="1" applyFill="1" applyBorder="1"/>
    <xf numFmtId="3" fontId="11" fillId="0" borderId="33" xfId="0" applyNumberFormat="1" applyFont="1" applyFill="1" applyBorder="1" applyAlignment="1" applyProtection="1">
      <alignment horizontal="left"/>
    </xf>
    <xf numFmtId="0" fontId="11" fillId="0" borderId="57" xfId="0" applyFont="1" applyFill="1" applyBorder="1"/>
    <xf numFmtId="3" fontId="10" fillId="0" borderId="19" xfId="0" applyNumberFormat="1" applyFont="1" applyFill="1" applyBorder="1" applyAlignment="1" applyProtection="1">
      <alignment horizontal="right"/>
    </xf>
    <xf numFmtId="3" fontId="10" fillId="0" borderId="53" xfId="0" applyNumberFormat="1" applyFont="1" applyFill="1" applyBorder="1" applyAlignment="1" applyProtection="1">
      <alignment horizontal="right"/>
    </xf>
    <xf numFmtId="3" fontId="10" fillId="0" borderId="33" xfId="0" applyNumberFormat="1" applyFont="1" applyFill="1" applyBorder="1" applyAlignment="1" applyProtection="1">
      <alignment horizontal="right"/>
    </xf>
    <xf numFmtId="3" fontId="10" fillId="0" borderId="61" xfId="0" applyNumberFormat="1" applyFont="1" applyFill="1" applyBorder="1" applyAlignment="1" applyProtection="1">
      <alignment horizontal="right"/>
    </xf>
    <xf numFmtId="3" fontId="10" fillId="0" borderId="63" xfId="0" applyNumberFormat="1" applyFont="1" applyFill="1" applyBorder="1" applyAlignment="1">
      <alignment horizontal="left"/>
    </xf>
    <xf numFmtId="3" fontId="4" fillId="0" borderId="23" xfId="0" applyNumberFormat="1" applyFont="1" applyFill="1" applyBorder="1"/>
    <xf numFmtId="3" fontId="4" fillId="27" borderId="0" xfId="0" applyNumberFormat="1" applyFont="1" applyFill="1" applyBorder="1"/>
    <xf numFmtId="0" fontId="4" fillId="27" borderId="0" xfId="0" applyFont="1" applyFill="1" applyBorder="1"/>
    <xf numFmtId="3" fontId="8" fillId="27" borderId="0" xfId="0" applyNumberFormat="1" applyFont="1" applyFill="1" applyBorder="1" applyAlignment="1">
      <alignment horizontal="right"/>
    </xf>
    <xf numFmtId="3" fontId="8" fillId="27" borderId="0" xfId="0" applyNumberFormat="1" applyFont="1" applyFill="1" applyBorder="1"/>
    <xf numFmtId="3" fontId="11" fillId="27" borderId="0" xfId="0" applyNumberFormat="1" applyFont="1" applyFill="1" applyBorder="1"/>
    <xf numFmtId="3" fontId="11" fillId="27" borderId="0" xfId="0" applyNumberFormat="1" applyFont="1" applyFill="1" applyBorder="1" applyProtection="1">
      <protection locked="0"/>
    </xf>
    <xf numFmtId="3" fontId="49" fillId="0" borderId="50" xfId="0" applyNumberFormat="1" applyFont="1" applyFill="1" applyBorder="1"/>
    <xf numFmtId="3" fontId="4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0" fontId="40" fillId="0" borderId="11" xfId="54" applyFont="1" applyFill="1" applyBorder="1" applyAlignment="1">
      <alignment horizontal="left"/>
    </xf>
    <xf numFmtId="0" fontId="4" fillId="30" borderId="55" xfId="0" applyFont="1" applyFill="1" applyBorder="1"/>
    <xf numFmtId="0" fontId="4" fillId="30" borderId="57" xfId="0" applyFont="1" applyFill="1" applyBorder="1"/>
    <xf numFmtId="3" fontId="4" fillId="30" borderId="25" xfId="0" applyNumberFormat="1" applyFont="1" applyFill="1" applyBorder="1" applyProtection="1">
      <protection locked="0"/>
    </xf>
    <xf numFmtId="0" fontId="4" fillId="30" borderId="18" xfId="0" applyFont="1" applyFill="1" applyBorder="1"/>
    <xf numFmtId="0" fontId="4" fillId="30" borderId="33" xfId="0" applyFont="1" applyFill="1" applyBorder="1"/>
    <xf numFmtId="3" fontId="4" fillId="30" borderId="27" xfId="0" applyNumberFormat="1" applyFont="1" applyFill="1" applyBorder="1" applyProtection="1">
      <protection locked="0"/>
    </xf>
    <xf numFmtId="3" fontId="13" fillId="0" borderId="0" xfId="0" applyNumberFormat="1" applyFont="1" applyFill="1"/>
    <xf numFmtId="3" fontId="52" fillId="0" borderId="27" xfId="53" applyNumberFormat="1" applyFont="1" applyFill="1" applyBorder="1" applyAlignment="1"/>
    <xf numFmtId="0" fontId="38" fillId="0" borderId="64" xfId="0" applyFont="1" applyFill="1" applyBorder="1"/>
    <xf numFmtId="3" fontId="23" fillId="0" borderId="0" xfId="0" applyNumberFormat="1" applyFont="1" applyFill="1"/>
    <xf numFmtId="0" fontId="3" fillId="0" borderId="10" xfId="0" applyFont="1" applyFill="1" applyBorder="1" applyAlignment="1" applyProtection="1">
      <alignment horizontal="left"/>
    </xf>
    <xf numFmtId="0" fontId="4" fillId="0" borderId="19" xfId="0" applyFont="1" applyFill="1" applyBorder="1"/>
    <xf numFmtId="0" fontId="13" fillId="0" borderId="19" xfId="0" applyFont="1" applyFill="1" applyBorder="1"/>
    <xf numFmtId="0" fontId="4" fillId="0" borderId="14" xfId="0" applyFont="1" applyFill="1" applyBorder="1"/>
    <xf numFmtId="0" fontId="3" fillId="0" borderId="15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right"/>
    </xf>
    <xf numFmtId="0" fontId="40" fillId="0" borderId="15" xfId="0" applyFont="1" applyFill="1" applyBorder="1" applyAlignment="1" applyProtection="1">
      <alignment horizontal="left"/>
    </xf>
    <xf numFmtId="0" fontId="10" fillId="0" borderId="15" xfId="0" applyFont="1" applyFill="1" applyBorder="1" applyAlignment="1" applyProtection="1">
      <alignment horizontal="left"/>
    </xf>
    <xf numFmtId="3" fontId="10" fillId="0" borderId="23" xfId="0" applyNumberFormat="1" applyFont="1" applyFill="1" applyBorder="1" applyProtection="1"/>
    <xf numFmtId="0" fontId="40" fillId="0" borderId="11" xfId="0" applyFont="1" applyFill="1" applyBorder="1" applyProtection="1"/>
    <xf numFmtId="0" fontId="49" fillId="0" borderId="53" xfId="0" applyFont="1" applyFill="1" applyBorder="1" applyProtection="1"/>
    <xf numFmtId="3" fontId="49" fillId="0" borderId="25" xfId="0" applyNumberFormat="1" applyFont="1" applyFill="1" applyBorder="1"/>
    <xf numFmtId="0" fontId="40" fillId="0" borderId="0" xfId="0" applyFont="1" applyFill="1"/>
    <xf numFmtId="3" fontId="11" fillId="0" borderId="33" xfId="0" applyNumberFormat="1" applyFont="1" applyFill="1" applyBorder="1" applyProtection="1">
      <protection locked="0"/>
    </xf>
    <xf numFmtId="3" fontId="11" fillId="0" borderId="53" xfId="0" applyNumberFormat="1" applyFont="1" applyFill="1" applyBorder="1"/>
    <xf numFmtId="0" fontId="24" fillId="0" borderId="20" xfId="0" applyFont="1" applyFill="1" applyBorder="1"/>
    <xf numFmtId="0" fontId="11" fillId="0" borderId="20" xfId="0" applyFont="1" applyFill="1" applyBorder="1" applyAlignment="1">
      <alignment horizontal="left"/>
    </xf>
    <xf numFmtId="0" fontId="10" fillId="0" borderId="20" xfId="0" applyFont="1" applyFill="1" applyBorder="1" applyAlignment="1" applyProtection="1">
      <alignment horizontal="left"/>
    </xf>
    <xf numFmtId="3" fontId="43" fillId="0" borderId="53" xfId="0" applyNumberFormat="1" applyFont="1" applyFill="1" applyBorder="1" applyAlignment="1" applyProtection="1"/>
    <xf numFmtId="0" fontId="11" fillId="0" borderId="0" xfId="54" applyFont="1" applyFill="1" applyBorder="1" applyAlignment="1">
      <alignment horizontal="justify"/>
    </xf>
    <xf numFmtId="0" fontId="11" fillId="0" borderId="33" xfId="0" applyFont="1" applyFill="1" applyBorder="1" applyAlignment="1">
      <alignment horizontal="left" wrapText="1"/>
    </xf>
    <xf numFmtId="3" fontId="38" fillId="0" borderId="0" xfId="0" applyNumberFormat="1" applyFont="1" applyFill="1" applyBorder="1"/>
    <xf numFmtId="0" fontId="12" fillId="0" borderId="19" xfId="0" applyFont="1" applyFill="1" applyBorder="1" applyAlignment="1" applyProtection="1"/>
    <xf numFmtId="0" fontId="12" fillId="0" borderId="19" xfId="0" applyFont="1" applyFill="1" applyBorder="1" applyAlignment="1" applyProtection="1">
      <alignment horizontal="left"/>
    </xf>
    <xf numFmtId="3" fontId="11" fillId="0" borderId="53" xfId="0" applyNumberFormat="1" applyFont="1" applyFill="1" applyBorder="1" applyProtection="1">
      <protection locked="0"/>
    </xf>
    <xf numFmtId="0" fontId="11" fillId="0" borderId="33" xfId="0" applyFont="1" applyFill="1" applyBorder="1" applyAlignment="1" applyProtection="1"/>
    <xf numFmtId="3" fontId="11" fillId="0" borderId="33" xfId="0" applyNumberFormat="1" applyFont="1" applyFill="1" applyBorder="1" applyProtection="1"/>
    <xf numFmtId="0" fontId="10" fillId="0" borderId="0" xfId="0" applyFont="1" applyFill="1"/>
    <xf numFmtId="0" fontId="50" fillId="0" borderId="33" xfId="0" applyFont="1" applyFill="1" applyBorder="1" applyAlignment="1">
      <alignment wrapText="1"/>
    </xf>
    <xf numFmtId="0" fontId="11" fillId="0" borderId="56" xfId="0" applyFont="1" applyFill="1" applyBorder="1" applyAlignment="1" applyProtection="1">
      <alignment horizontal="left"/>
    </xf>
    <xf numFmtId="0" fontId="12" fillId="0" borderId="56" xfId="0" applyFont="1" applyFill="1" applyBorder="1" applyAlignment="1" applyProtection="1">
      <alignment horizontal="left"/>
    </xf>
    <xf numFmtId="3" fontId="10" fillId="0" borderId="56" xfId="0" applyNumberFormat="1" applyFont="1" applyFill="1" applyBorder="1" applyProtection="1"/>
    <xf numFmtId="3" fontId="43" fillId="0" borderId="54" xfId="0" applyNumberFormat="1" applyFont="1" applyFill="1" applyBorder="1" applyProtection="1"/>
    <xf numFmtId="3" fontId="11" fillId="0" borderId="54" xfId="0" applyNumberFormat="1" applyFont="1" applyFill="1" applyBorder="1" applyProtection="1">
      <protection locked="0"/>
    </xf>
    <xf numFmtId="3" fontId="11" fillId="0" borderId="27" xfId="0" applyNumberFormat="1" applyFont="1" applyFill="1" applyBorder="1" applyAlignment="1">
      <alignment horizontal="right"/>
    </xf>
    <xf numFmtId="0" fontId="4" fillId="0" borderId="51" xfId="0" applyFont="1" applyFill="1" applyBorder="1"/>
    <xf numFmtId="0" fontId="4" fillId="0" borderId="27" xfId="0" applyFont="1" applyFill="1" applyBorder="1" applyAlignment="1">
      <alignment wrapText="1" shrinkToFit="1"/>
    </xf>
    <xf numFmtId="0" fontId="61" fillId="0" borderId="0" xfId="56" applyFont="1"/>
    <xf numFmtId="3" fontId="61" fillId="0" borderId="0" xfId="56" applyNumberFormat="1" applyFont="1"/>
    <xf numFmtId="0" fontId="11" fillId="0" borderId="0" xfId="54" applyFont="1" applyFill="1" applyBorder="1" applyAlignment="1">
      <alignment wrapText="1"/>
    </xf>
    <xf numFmtId="0" fontId="4" fillId="0" borderId="0" xfId="56" applyFont="1"/>
    <xf numFmtId="0" fontId="47" fillId="0" borderId="0" xfId="56" applyFont="1"/>
    <xf numFmtId="0" fontId="3" fillId="0" borderId="0" xfId="56" applyFont="1"/>
    <xf numFmtId="0" fontId="3" fillId="0" borderId="0" xfId="56" applyFont="1" applyAlignment="1">
      <alignment horizontal="right"/>
    </xf>
    <xf numFmtId="0" fontId="13" fillId="0" borderId="21" xfId="56" applyFont="1" applyBorder="1" applyAlignment="1">
      <alignment horizontal="center"/>
    </xf>
    <xf numFmtId="0" fontId="3" fillId="0" borderId="10" xfId="56" applyFont="1" applyBorder="1" applyAlignment="1">
      <alignment horizontal="center"/>
    </xf>
    <xf numFmtId="0" fontId="13" fillId="0" borderId="65" xfId="56" applyFont="1" applyBorder="1" applyAlignment="1">
      <alignment horizontal="center"/>
    </xf>
    <xf numFmtId="0" fontId="3" fillId="0" borderId="21" xfId="56" applyFont="1" applyBorder="1" applyAlignment="1">
      <alignment horizontal="center"/>
    </xf>
    <xf numFmtId="0" fontId="13" fillId="0" borderId="22" xfId="56" applyFont="1" applyBorder="1" applyAlignment="1">
      <alignment horizontal="center"/>
    </xf>
    <xf numFmtId="0" fontId="4" fillId="0" borderId="11" xfId="56" applyFont="1" applyBorder="1"/>
    <xf numFmtId="0" fontId="13" fillId="0" borderId="51" xfId="56" applyFont="1" applyBorder="1" applyAlignment="1">
      <alignment horizontal="center"/>
    </xf>
    <xf numFmtId="0" fontId="3" fillId="0" borderId="22" xfId="56" applyFont="1" applyBorder="1" applyAlignment="1">
      <alignment horizontal="center"/>
    </xf>
    <xf numFmtId="0" fontId="13" fillId="0" borderId="23" xfId="56" applyFont="1" applyBorder="1" applyAlignment="1">
      <alignment horizontal="center"/>
    </xf>
    <xf numFmtId="0" fontId="4" fillId="0" borderId="14" xfId="56" applyFont="1" applyBorder="1"/>
    <xf numFmtId="0" fontId="13" fillId="0" borderId="23" xfId="56" applyFont="1" applyBorder="1" applyAlignment="1">
      <alignment horizontal="center" vertical="center" wrapText="1"/>
    </xf>
    <xf numFmtId="0" fontId="13" fillId="0" borderId="66" xfId="56" applyFont="1" applyBorder="1" applyAlignment="1">
      <alignment horizontal="center" vertical="center" wrapText="1"/>
    </xf>
    <xf numFmtId="0" fontId="8" fillId="0" borderId="23" xfId="56" applyFont="1" applyBorder="1" applyAlignment="1">
      <alignment horizontal="center" vertical="center" wrapText="1"/>
    </xf>
    <xf numFmtId="0" fontId="13" fillId="0" borderId="66" xfId="56" applyFont="1" applyBorder="1" applyAlignment="1">
      <alignment horizontal="justify"/>
    </xf>
    <xf numFmtId="0" fontId="3" fillId="0" borderId="23" xfId="56" applyFont="1" applyBorder="1" applyAlignment="1">
      <alignment horizontal="center"/>
    </xf>
    <xf numFmtId="0" fontId="56" fillId="0" borderId="0" xfId="56" applyFont="1" applyAlignment="1">
      <alignment horizontal="center"/>
    </xf>
    <xf numFmtId="0" fontId="13" fillId="0" borderId="11" xfId="56" applyFont="1" applyBorder="1" applyAlignment="1">
      <alignment horizontal="center"/>
    </xf>
    <xf numFmtId="0" fontId="4" fillId="0" borderId="21" xfId="56" applyFont="1" applyBorder="1" applyAlignment="1">
      <alignment horizontal="center"/>
    </xf>
    <xf numFmtId="0" fontId="4" fillId="0" borderId="65" xfId="56" applyFont="1" applyBorder="1" applyAlignment="1">
      <alignment horizontal="center"/>
    </xf>
    <xf numFmtId="0" fontId="13" fillId="0" borderId="10" xfId="56" applyFont="1" applyBorder="1" applyAlignment="1">
      <alignment horizontal="center"/>
    </xf>
    <xf numFmtId="3" fontId="13" fillId="0" borderId="36" xfId="56" applyNumberFormat="1" applyFont="1" applyBorder="1" applyAlignment="1">
      <alignment horizontal="center"/>
    </xf>
    <xf numFmtId="0" fontId="38" fillId="0" borderId="34" xfId="55" applyFont="1" applyBorder="1"/>
    <xf numFmtId="3" fontId="8" fillId="0" borderId="36" xfId="56" applyNumberFormat="1" applyFont="1" applyBorder="1"/>
    <xf numFmtId="3" fontId="4" fillId="0" borderId="36" xfId="56" applyNumberFormat="1" applyFont="1" applyBorder="1"/>
    <xf numFmtId="3" fontId="13" fillId="0" borderId="36" xfId="56" applyNumberFormat="1" applyFont="1" applyBorder="1"/>
    <xf numFmtId="3" fontId="3" fillId="0" borderId="22" xfId="56" applyNumberFormat="1" applyFont="1" applyBorder="1" applyAlignment="1">
      <alignment horizontal="center"/>
    </xf>
    <xf numFmtId="3" fontId="4" fillId="0" borderId="22" xfId="56" applyNumberFormat="1" applyFont="1" applyBorder="1"/>
    <xf numFmtId="3" fontId="4" fillId="0" borderId="0" xfId="56" applyNumberFormat="1" applyFont="1"/>
    <xf numFmtId="3" fontId="13" fillId="0" borderId="40" xfId="56" applyNumberFormat="1" applyFont="1" applyBorder="1" applyAlignment="1">
      <alignment horizontal="center"/>
    </xf>
    <xf numFmtId="0" fontId="38" fillId="0" borderId="58" xfId="55" applyFont="1" applyBorder="1"/>
    <xf numFmtId="3" fontId="3" fillId="0" borderId="40" xfId="56" applyNumberFormat="1" applyFont="1" applyBorder="1" applyAlignment="1">
      <alignment horizontal="center"/>
    </xf>
    <xf numFmtId="0" fontId="38" fillId="0" borderId="58" xfId="55" applyFont="1" applyBorder="1" applyAlignment="1">
      <alignment wrapText="1"/>
    </xf>
    <xf numFmtId="3" fontId="4" fillId="0" borderId="40" xfId="56" applyNumberFormat="1" applyFont="1" applyBorder="1"/>
    <xf numFmtId="3" fontId="3" fillId="0" borderId="29" xfId="56" applyNumberFormat="1" applyFont="1" applyBorder="1" applyAlignment="1">
      <alignment horizontal="center"/>
    </xf>
    <xf numFmtId="0" fontId="38" fillId="0" borderId="44" xfId="55" applyFont="1" applyBorder="1"/>
    <xf numFmtId="3" fontId="13" fillId="0" borderId="22" xfId="56" applyNumberFormat="1" applyFont="1" applyBorder="1"/>
    <xf numFmtId="3" fontId="13" fillId="0" borderId="24" xfId="56" applyNumberFormat="1" applyFont="1" applyBorder="1" applyAlignment="1">
      <alignment horizontal="center"/>
    </xf>
    <xf numFmtId="0" fontId="24" fillId="0" borderId="13" xfId="56" applyFont="1" applyBorder="1"/>
    <xf numFmtId="3" fontId="13" fillId="0" borderId="24" xfId="56" applyNumberFormat="1" applyFont="1" applyBorder="1"/>
    <xf numFmtId="3" fontId="3" fillId="0" borderId="67" xfId="56" applyNumberFormat="1" applyFont="1" applyBorder="1" applyAlignment="1">
      <alignment horizontal="center"/>
    </xf>
    <xf numFmtId="0" fontId="38" fillId="0" borderId="10" xfId="55" applyFont="1" applyBorder="1"/>
    <xf numFmtId="3" fontId="4" fillId="0" borderId="21" xfId="56" applyNumberFormat="1" applyFont="1" applyBorder="1"/>
    <xf numFmtId="0" fontId="13" fillId="0" borderId="0" xfId="56" applyFont="1"/>
    <xf numFmtId="3" fontId="3" fillId="0" borderId="36" xfId="56" applyNumberFormat="1" applyFont="1" applyBorder="1" applyAlignment="1">
      <alignment horizontal="center"/>
    </xf>
    <xf numFmtId="0" fontId="38" fillId="0" borderId="11" xfId="55" applyFont="1" applyBorder="1"/>
    <xf numFmtId="0" fontId="24" fillId="0" borderId="13" xfId="56" applyFont="1" applyBorder="1" applyAlignment="1">
      <alignment horizontal="justify"/>
    </xf>
    <xf numFmtId="3" fontId="13" fillId="0" borderId="24" xfId="56" applyNumberFormat="1" applyFont="1" applyFill="1" applyBorder="1" applyAlignment="1">
      <alignment horizontal="center"/>
    </xf>
    <xf numFmtId="3" fontId="13" fillId="0" borderId="22" xfId="56" applyNumberFormat="1" applyFont="1" applyBorder="1" applyAlignment="1">
      <alignment horizontal="center"/>
    </xf>
    <xf numFmtId="0" fontId="24" fillId="0" borderId="11" xfId="56" applyFont="1" applyBorder="1" applyAlignment="1">
      <alignment horizontal="justify"/>
    </xf>
    <xf numFmtId="3" fontId="4" fillId="0" borderId="24" xfId="56" applyNumberFormat="1" applyFont="1" applyBorder="1"/>
    <xf numFmtId="3" fontId="4" fillId="0" borderId="51" xfId="56" applyNumberFormat="1" applyFont="1" applyBorder="1"/>
    <xf numFmtId="3" fontId="3" fillId="0" borderId="21" xfId="56" applyNumberFormat="1" applyFont="1" applyBorder="1" applyAlignment="1">
      <alignment horizontal="center"/>
    </xf>
    <xf numFmtId="0" fontId="24" fillId="0" borderId="10" xfId="56" applyFont="1" applyBorder="1" applyAlignment="1">
      <alignment horizontal="justify"/>
    </xf>
    <xf numFmtId="3" fontId="4" fillId="0" borderId="65" xfId="56" applyNumberFormat="1" applyFont="1" applyBorder="1"/>
    <xf numFmtId="3" fontId="3" fillId="0" borderId="24" xfId="56" applyNumberFormat="1" applyFont="1" applyBorder="1" applyAlignment="1">
      <alignment horizontal="center"/>
    </xf>
    <xf numFmtId="0" fontId="10" fillId="0" borderId="13" xfId="56" applyFont="1" applyBorder="1"/>
    <xf numFmtId="3" fontId="3" fillId="0" borderId="24" xfId="56" applyNumberFormat="1" applyFont="1" applyBorder="1"/>
    <xf numFmtId="3" fontId="3" fillId="0" borderId="0" xfId="56" applyNumberFormat="1" applyFont="1"/>
    <xf numFmtId="3" fontId="3" fillId="0" borderId="0" xfId="56" applyNumberFormat="1" applyFont="1" applyFill="1"/>
    <xf numFmtId="3" fontId="55" fillId="31" borderId="0" xfId="56" applyNumberFormat="1" applyFont="1" applyFill="1"/>
    <xf numFmtId="3" fontId="11" fillId="0" borderId="22" xfId="0" applyNumberFormat="1" applyFont="1" applyFill="1" applyBorder="1" applyAlignment="1">
      <alignment horizontal="right"/>
    </xf>
    <xf numFmtId="0" fontId="3" fillId="0" borderId="22" xfId="0" applyFont="1" applyFill="1" applyBorder="1" applyAlignment="1" applyProtection="1">
      <alignment horizontal="center"/>
    </xf>
    <xf numFmtId="3" fontId="11" fillId="0" borderId="30" xfId="0" applyNumberFormat="1" applyFont="1" applyFill="1" applyBorder="1" applyProtection="1"/>
    <xf numFmtId="0" fontId="44" fillId="0" borderId="0" xfId="0" applyFont="1" applyAlignment="1"/>
    <xf numFmtId="0" fontId="13" fillId="0" borderId="0" xfId="56" applyFont="1" applyAlignment="1">
      <alignment horizontal="center"/>
    </xf>
    <xf numFmtId="0" fontId="8" fillId="0" borderId="0" xfId="56" applyFont="1"/>
    <xf numFmtId="3" fontId="8" fillId="0" borderId="0" xfId="56" applyNumberFormat="1" applyFont="1"/>
    <xf numFmtId="0" fontId="8" fillId="0" borderId="21" xfId="56" applyFont="1" applyBorder="1" applyAlignment="1">
      <alignment horizontal="center"/>
    </xf>
    <xf numFmtId="0" fontId="8" fillId="0" borderId="11" xfId="56" applyFont="1" applyBorder="1"/>
    <xf numFmtId="0" fontId="8" fillId="0" borderId="22" xfId="56" applyFont="1" applyBorder="1" applyAlignment="1">
      <alignment horizontal="center"/>
    </xf>
    <xf numFmtId="0" fontId="8" fillId="0" borderId="14" xfId="56" applyFont="1" applyBorder="1"/>
    <xf numFmtId="0" fontId="24" fillId="0" borderId="68" xfId="56" applyFont="1" applyBorder="1"/>
    <xf numFmtId="3" fontId="24" fillId="0" borderId="67" xfId="56" applyNumberFormat="1" applyFont="1" applyFill="1" applyBorder="1"/>
    <xf numFmtId="3" fontId="24" fillId="0" borderId="67" xfId="56" applyNumberFormat="1" applyFont="1" applyBorder="1"/>
    <xf numFmtId="3" fontId="13" fillId="28" borderId="0" xfId="56" applyNumberFormat="1" applyFont="1" applyFill="1"/>
    <xf numFmtId="0" fontId="24" fillId="0" borderId="14" xfId="56" applyFont="1" applyBorder="1"/>
    <xf numFmtId="3" fontId="24" fillId="0" borderId="23" xfId="56" applyNumberFormat="1" applyFont="1" applyBorder="1"/>
    <xf numFmtId="3" fontId="24" fillId="0" borderId="24" xfId="56" applyNumberFormat="1" applyFont="1" applyBorder="1"/>
    <xf numFmtId="0" fontId="43" fillId="0" borderId="11" xfId="56" applyFont="1" applyBorder="1" applyAlignment="1">
      <alignment horizontal="justify"/>
    </xf>
    <xf numFmtId="3" fontId="43" fillId="0" borderId="36" xfId="56" applyNumberFormat="1" applyFont="1" applyBorder="1"/>
    <xf numFmtId="3" fontId="43" fillId="0" borderId="22" xfId="56" applyNumberFormat="1" applyFont="1" applyBorder="1"/>
    <xf numFmtId="3" fontId="8" fillId="28" borderId="0" xfId="56" applyNumberFormat="1" applyFont="1" applyFill="1"/>
    <xf numFmtId="0" fontId="24" fillId="0" borderId="23" xfId="56" applyFont="1" applyBorder="1" applyAlignment="1">
      <alignment horizontal="justify"/>
    </xf>
    <xf numFmtId="0" fontId="8" fillId="0" borderId="10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 wrapText="1"/>
    </xf>
    <xf numFmtId="0" fontId="8" fillId="0" borderId="69" xfId="0" applyFont="1" applyFill="1" applyBorder="1" applyAlignment="1">
      <alignment horizontal="center" wrapText="1"/>
    </xf>
    <xf numFmtId="3" fontId="8" fillId="0" borderId="0" xfId="0" applyNumberFormat="1" applyFont="1" applyFill="1"/>
    <xf numFmtId="0" fontId="8" fillId="0" borderId="14" xfId="0" applyFont="1" applyFill="1" applyBorder="1"/>
    <xf numFmtId="0" fontId="13" fillId="0" borderId="70" xfId="0" applyFont="1" applyFill="1" applyBorder="1"/>
    <xf numFmtId="0" fontId="8" fillId="0" borderId="70" xfId="0" applyFont="1" applyFill="1" applyBorder="1"/>
    <xf numFmtId="0" fontId="8" fillId="0" borderId="71" xfId="0" applyFont="1" applyFill="1" applyBorder="1"/>
    <xf numFmtId="3" fontId="43" fillId="0" borderId="34" xfId="0" applyNumberFormat="1" applyFont="1" applyFill="1" applyBorder="1"/>
    <xf numFmtId="3" fontId="43" fillId="0" borderId="72" xfId="0" applyNumberFormat="1" applyFont="1" applyFill="1" applyBorder="1" applyAlignment="1">
      <alignment horizontal="right"/>
    </xf>
    <xf numFmtId="3" fontId="43" fillId="0" borderId="73" xfId="0" applyNumberFormat="1" applyFont="1" applyFill="1" applyBorder="1"/>
    <xf numFmtId="3" fontId="43" fillId="0" borderId="58" xfId="0" applyNumberFormat="1" applyFont="1" applyFill="1" applyBorder="1"/>
    <xf numFmtId="3" fontId="43" fillId="0" borderId="38" xfId="0" applyNumberFormat="1" applyFont="1" applyFill="1" applyBorder="1"/>
    <xf numFmtId="3" fontId="43" fillId="0" borderId="74" xfId="0" applyNumberFormat="1" applyFont="1" applyFill="1" applyBorder="1"/>
    <xf numFmtId="3" fontId="43" fillId="0" borderId="12" xfId="0" applyNumberFormat="1" applyFont="1" applyFill="1" applyBorder="1"/>
    <xf numFmtId="3" fontId="43" fillId="0" borderId="75" xfId="0" applyNumberFormat="1" applyFont="1" applyFill="1" applyBorder="1"/>
    <xf numFmtId="3" fontId="43" fillId="0" borderId="75" xfId="0" applyNumberFormat="1" applyFont="1" applyFill="1" applyBorder="1" applyAlignment="1">
      <alignment horizontal="right"/>
    </xf>
    <xf numFmtId="3" fontId="43" fillId="0" borderId="76" xfId="0" applyNumberFormat="1" applyFont="1" applyFill="1" applyBorder="1"/>
    <xf numFmtId="3" fontId="24" fillId="0" borderId="14" xfId="0" applyNumberFormat="1" applyFont="1" applyFill="1" applyBorder="1"/>
    <xf numFmtId="3" fontId="43" fillId="0" borderId="70" xfId="0" applyNumberFormat="1" applyFont="1" applyFill="1" applyBorder="1"/>
    <xf numFmtId="3" fontId="24" fillId="0" borderId="70" xfId="0" applyNumberFormat="1" applyFont="1" applyFill="1" applyBorder="1" applyAlignment="1">
      <alignment horizontal="right"/>
    </xf>
    <xf numFmtId="3" fontId="43" fillId="0" borderId="71" xfId="0" applyNumberFormat="1" applyFont="1" applyFill="1" applyBorder="1"/>
    <xf numFmtId="3" fontId="41" fillId="0" borderId="25" xfId="54" applyNumberFormat="1" applyFont="1" applyFill="1" applyBorder="1" applyAlignment="1">
      <alignment horizontal="right"/>
    </xf>
    <xf numFmtId="0" fontId="11" fillId="0" borderId="77" xfId="0" applyFont="1" applyFill="1" applyBorder="1"/>
    <xf numFmtId="3" fontId="10" fillId="0" borderId="30" xfId="0" applyNumberFormat="1" applyFont="1" applyFill="1" applyBorder="1" applyProtection="1">
      <protection locked="0"/>
    </xf>
    <xf numFmtId="3" fontId="7" fillId="0" borderId="22" xfId="57" applyNumberFormat="1" applyFont="1" applyFill="1" applyBorder="1" applyAlignment="1">
      <alignment horizontal="right" wrapText="1"/>
    </xf>
    <xf numFmtId="0" fontId="3" fillId="0" borderId="23" xfId="0" applyFont="1" applyFill="1" applyBorder="1"/>
    <xf numFmtId="3" fontId="41" fillId="0" borderId="25" xfId="54" applyNumberFormat="1" applyFont="1" applyFill="1" applyBorder="1"/>
    <xf numFmtId="0" fontId="3" fillId="0" borderId="57" xfId="54" applyFont="1" applyFill="1" applyBorder="1" applyAlignment="1">
      <alignment horizontal="justify"/>
    </xf>
    <xf numFmtId="0" fontId="3" fillId="0" borderId="30" xfId="54" applyFont="1" applyFill="1" applyBorder="1" applyAlignment="1">
      <alignment horizontal="justify"/>
    </xf>
    <xf numFmtId="0" fontId="4" fillId="0" borderId="53" xfId="54" applyFont="1" applyFill="1" applyBorder="1" applyAlignment="1">
      <alignment horizontal="justify"/>
    </xf>
    <xf numFmtId="0" fontId="4" fillId="0" borderId="25" xfId="54" applyFont="1" applyFill="1" applyBorder="1" applyAlignment="1">
      <alignment horizontal="justify"/>
    </xf>
    <xf numFmtId="3" fontId="14" fillId="0" borderId="30" xfId="54" applyNumberFormat="1" applyFont="1" applyFill="1" applyBorder="1"/>
    <xf numFmtId="3" fontId="11" fillId="0" borderId="30" xfId="0" applyNumberFormat="1" applyFont="1" applyFill="1" applyBorder="1" applyAlignment="1">
      <alignment horizontal="right"/>
    </xf>
    <xf numFmtId="0" fontId="11" fillId="0" borderId="64" xfId="54" applyFont="1" applyFill="1" applyBorder="1" applyAlignment="1">
      <alignment wrapText="1"/>
    </xf>
    <xf numFmtId="0" fontId="43" fillId="0" borderId="64" xfId="54" applyFont="1" applyFill="1" applyBorder="1" applyAlignment="1">
      <alignment horizontal="left"/>
    </xf>
    <xf numFmtId="3" fontId="43" fillId="0" borderId="72" xfId="0" applyNumberFormat="1" applyFont="1" applyFill="1" applyBorder="1"/>
    <xf numFmtId="0" fontId="10" fillId="0" borderId="24" xfId="0" applyFont="1" applyFill="1" applyBorder="1"/>
    <xf numFmtId="0" fontId="43" fillId="0" borderId="53" xfId="54" applyFont="1" applyFill="1" applyBorder="1" applyAlignment="1">
      <alignment horizontal="left"/>
    </xf>
    <xf numFmtId="3" fontId="11" fillId="0" borderId="0" xfId="54" applyNumberFormat="1" applyFont="1" applyFill="1"/>
    <xf numFmtId="3" fontId="49" fillId="0" borderId="25" xfId="0" applyNumberFormat="1" applyFont="1" applyFill="1" applyBorder="1" applyProtection="1"/>
    <xf numFmtId="0" fontId="11" fillId="0" borderId="61" xfId="0" applyFont="1" applyFill="1" applyBorder="1" applyAlignment="1" applyProtection="1">
      <alignment horizontal="left"/>
    </xf>
    <xf numFmtId="0" fontId="12" fillId="0" borderId="61" xfId="0" applyFont="1" applyFill="1" applyBorder="1" applyAlignment="1" applyProtection="1">
      <alignment horizontal="left"/>
    </xf>
    <xf numFmtId="3" fontId="10" fillId="0" borderId="61" xfId="0" applyNumberFormat="1" applyFont="1" applyFill="1" applyBorder="1" applyProtection="1"/>
    <xf numFmtId="3" fontId="24" fillId="0" borderId="40" xfId="0" applyNumberFormat="1" applyFont="1" applyFill="1" applyBorder="1" applyProtection="1">
      <protection locked="0"/>
    </xf>
    <xf numFmtId="3" fontId="57" fillId="0" borderId="50" xfId="0" applyNumberFormat="1" applyFont="1" applyFill="1" applyBorder="1"/>
    <xf numFmtId="3" fontId="13" fillId="0" borderId="0" xfId="56" applyNumberFormat="1" applyFont="1"/>
    <xf numFmtId="3" fontId="43" fillId="0" borderId="0" xfId="0" applyNumberFormat="1" applyFont="1" applyFill="1" applyBorder="1" applyAlignment="1" applyProtection="1"/>
    <xf numFmtId="0" fontId="11" fillId="0" borderId="0" xfId="0" applyFont="1" applyFill="1" applyBorder="1" applyAlignment="1">
      <alignment horizontal="left" wrapText="1"/>
    </xf>
    <xf numFmtId="0" fontId="10" fillId="0" borderId="78" xfId="0" applyFont="1" applyFill="1" applyBorder="1" applyAlignment="1" applyProtection="1">
      <alignment horizontal="left"/>
    </xf>
    <xf numFmtId="3" fontId="43" fillId="0" borderId="30" xfId="0" applyNumberFormat="1" applyFont="1" applyFill="1" applyBorder="1" applyProtection="1">
      <protection locked="0"/>
    </xf>
    <xf numFmtId="0" fontId="12" fillId="0" borderId="78" xfId="0" applyFont="1" applyFill="1" applyBorder="1" applyAlignment="1" applyProtection="1"/>
    <xf numFmtId="0" fontId="4" fillId="0" borderId="25" xfId="0" applyFont="1" applyFill="1" applyBorder="1" applyAlignment="1">
      <alignment wrapText="1" shrinkToFit="1"/>
    </xf>
    <xf numFmtId="0" fontId="4" fillId="0" borderId="64" xfId="0" applyFont="1" applyFill="1" applyBorder="1"/>
    <xf numFmtId="3" fontId="4" fillId="0" borderId="27" xfId="0" applyNumberFormat="1" applyFont="1" applyFill="1" applyBorder="1" applyProtection="1">
      <protection locked="0"/>
    </xf>
    <xf numFmtId="0" fontId="4" fillId="0" borderId="30" xfId="0" applyFont="1" applyFill="1" applyBorder="1" applyAlignment="1">
      <alignment horizontal="justify" wrapText="1"/>
    </xf>
    <xf numFmtId="3" fontId="41" fillId="0" borderId="30" xfId="54" applyNumberFormat="1" applyFont="1" applyFill="1" applyBorder="1"/>
    <xf numFmtId="3" fontId="41" fillId="0" borderId="51" xfId="54" applyNumberFormat="1" applyFont="1" applyFill="1" applyBorder="1" applyAlignment="1">
      <alignment horizontal="right"/>
    </xf>
    <xf numFmtId="0" fontId="4" fillId="0" borderId="22" xfId="0" applyFont="1" applyFill="1" applyBorder="1" applyAlignment="1">
      <alignment wrapText="1" shrinkToFit="1"/>
    </xf>
    <xf numFmtId="3" fontId="11" fillId="29" borderId="36" xfId="54" applyNumberFormat="1" applyFont="1" applyFill="1" applyBorder="1" applyAlignment="1">
      <alignment horizontal="right"/>
    </xf>
    <xf numFmtId="3" fontId="4" fillId="0" borderId="0" xfId="54" applyNumberFormat="1" applyFont="1" applyFill="1"/>
    <xf numFmtId="0" fontId="40" fillId="0" borderId="61" xfId="0" applyFont="1" applyFill="1" applyBorder="1" applyProtection="1"/>
    <xf numFmtId="3" fontId="40" fillId="0" borderId="61" xfId="0" applyNumberFormat="1" applyFont="1" applyFill="1" applyBorder="1" applyProtection="1">
      <protection locked="0"/>
    </xf>
    <xf numFmtId="3" fontId="40" fillId="0" borderId="40" xfId="0" applyNumberFormat="1" applyFont="1" applyFill="1" applyBorder="1"/>
    <xf numFmtId="3" fontId="40" fillId="0" borderId="40" xfId="0" applyNumberFormat="1" applyFont="1" applyFill="1" applyBorder="1" applyProtection="1">
      <protection locked="0"/>
    </xf>
    <xf numFmtId="0" fontId="49" fillId="0" borderId="0" xfId="0" applyFont="1" applyFill="1" applyBorder="1" applyProtection="1"/>
    <xf numFmtId="3" fontId="49" fillId="0" borderId="22" xfId="0" applyNumberFormat="1" applyFont="1" applyFill="1" applyBorder="1"/>
    <xf numFmtId="3" fontId="49" fillId="0" borderId="22" xfId="0" applyNumberFormat="1" applyFont="1" applyFill="1" applyBorder="1" applyProtection="1"/>
    <xf numFmtId="0" fontId="49" fillId="0" borderId="35" xfId="0" applyFont="1" applyFill="1" applyBorder="1" applyProtection="1"/>
    <xf numFmtId="0" fontId="40" fillId="0" borderId="35" xfId="0" applyFont="1" applyFill="1" applyBorder="1"/>
    <xf numFmtId="0" fontId="40" fillId="0" borderId="60" xfId="0" applyFont="1" applyFill="1" applyBorder="1" applyProtection="1"/>
    <xf numFmtId="3" fontId="40" fillId="0" borderId="60" xfId="0" applyNumberFormat="1" applyFont="1" applyFill="1" applyBorder="1" applyProtection="1">
      <protection locked="0"/>
    </xf>
    <xf numFmtId="3" fontId="40" fillId="0" borderId="29" xfId="0" applyNumberFormat="1" applyFont="1" applyFill="1" applyBorder="1" applyProtection="1">
      <protection locked="0"/>
    </xf>
    <xf numFmtId="3" fontId="40" fillId="0" borderId="29" xfId="0" applyNumberFormat="1" applyFont="1" applyFill="1" applyBorder="1"/>
    <xf numFmtId="0" fontId="40" fillId="0" borderId="56" xfId="0" applyFont="1" applyFill="1" applyBorder="1" applyProtection="1"/>
    <xf numFmtId="3" fontId="11" fillId="0" borderId="51" xfId="0" applyNumberFormat="1" applyFont="1" applyFill="1" applyBorder="1"/>
    <xf numFmtId="0" fontId="40" fillId="0" borderId="16" xfId="0" applyFont="1" applyFill="1" applyBorder="1" applyProtection="1"/>
    <xf numFmtId="3" fontId="40" fillId="0" borderId="16" xfId="0" applyNumberFormat="1" applyFont="1" applyFill="1" applyBorder="1" applyProtection="1">
      <protection locked="0"/>
    </xf>
    <xf numFmtId="3" fontId="11" fillId="0" borderId="26" xfId="0" applyNumberFormat="1" applyFont="1" applyFill="1" applyBorder="1"/>
    <xf numFmtId="0" fontId="43" fillId="0" borderId="15" xfId="0" applyFont="1" applyFill="1" applyBorder="1" applyAlignment="1" applyProtection="1">
      <alignment horizontal="left"/>
    </xf>
    <xf numFmtId="3" fontId="11" fillId="0" borderId="2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justify" wrapText="1"/>
    </xf>
    <xf numFmtId="0" fontId="4" fillId="0" borderId="25" xfId="0" applyFont="1" applyFill="1" applyBorder="1" applyAlignment="1">
      <alignment horizontal="justify" wrapText="1"/>
    </xf>
    <xf numFmtId="0" fontId="23" fillId="0" borderId="61" xfId="54" applyFont="1" applyFill="1" applyBorder="1" applyAlignment="1">
      <alignment horizontal="left"/>
    </xf>
    <xf numFmtId="3" fontId="51" fillId="0" borderId="4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3" fillId="0" borderId="61" xfId="54" applyFont="1" applyFill="1" applyBorder="1" applyAlignment="1">
      <alignment horizontal="justify"/>
    </xf>
    <xf numFmtId="3" fontId="44" fillId="0" borderId="36" xfId="54" applyNumberFormat="1" applyFont="1" applyFill="1" applyBorder="1"/>
    <xf numFmtId="0" fontId="13" fillId="0" borderId="14" xfId="54" applyFont="1" applyFill="1" applyBorder="1"/>
    <xf numFmtId="0" fontId="23" fillId="0" borderId="16" xfId="54" applyFont="1" applyFill="1" applyBorder="1" applyAlignment="1">
      <alignment horizontal="left" wrapText="1"/>
    </xf>
    <xf numFmtId="3" fontId="51" fillId="0" borderId="26" xfId="0" applyNumberFormat="1" applyFont="1" applyFill="1" applyBorder="1" applyAlignment="1">
      <alignment horizontal="right"/>
    </xf>
    <xf numFmtId="0" fontId="4" fillId="0" borderId="33" xfId="54" applyFont="1" applyFill="1" applyBorder="1" applyAlignment="1">
      <alignment horizontal="left" wrapText="1"/>
    </xf>
    <xf numFmtId="0" fontId="4" fillId="0" borderId="27" xfId="54" applyFont="1" applyFill="1" applyBorder="1" applyAlignment="1">
      <alignment horizontal="left" wrapText="1"/>
    </xf>
    <xf numFmtId="0" fontId="21" fillId="0" borderId="33" xfId="54" applyFont="1" applyFill="1" applyBorder="1" applyAlignment="1">
      <alignment horizontal="left" wrapText="1"/>
    </xf>
    <xf numFmtId="0" fontId="43" fillId="0" borderId="53" xfId="54" applyFont="1" applyFill="1" applyBorder="1"/>
    <xf numFmtId="3" fontId="10" fillId="0" borderId="25" xfId="54" applyNumberFormat="1" applyFont="1" applyFill="1" applyBorder="1"/>
    <xf numFmtId="3" fontId="43" fillId="0" borderId="25" xfId="54" applyNumberFormat="1" applyFont="1" applyFill="1" applyBorder="1"/>
    <xf numFmtId="0" fontId="40" fillId="0" borderId="60" xfId="0" applyFont="1" applyFill="1" applyBorder="1"/>
    <xf numFmtId="3" fontId="40" fillId="0" borderId="60" xfId="0" applyNumberFormat="1" applyFont="1" applyFill="1" applyBorder="1"/>
    <xf numFmtId="3" fontId="40" fillId="0" borderId="35" xfId="0" applyNumberFormat="1" applyFont="1" applyFill="1" applyBorder="1"/>
    <xf numFmtId="3" fontId="40" fillId="0" borderId="36" xfId="0" applyNumberFormat="1" applyFont="1" applyFill="1" applyBorder="1"/>
    <xf numFmtId="3" fontId="11" fillId="0" borderId="29" xfId="0" applyNumberFormat="1" applyFont="1" applyFill="1" applyBorder="1"/>
    <xf numFmtId="0" fontId="24" fillId="0" borderId="11" xfId="0" applyFont="1" applyFill="1" applyBorder="1" applyProtection="1"/>
    <xf numFmtId="3" fontId="3" fillId="0" borderId="26" xfId="0" applyNumberFormat="1" applyFont="1" applyFill="1" applyBorder="1" applyAlignment="1">
      <alignment horizontal="right" wrapText="1"/>
    </xf>
    <xf numFmtId="0" fontId="4" fillId="0" borderId="46" xfId="0" applyFont="1" applyFill="1" applyBorder="1" applyAlignment="1">
      <alignment horizontal="justify"/>
    </xf>
    <xf numFmtId="3" fontId="4" fillId="0" borderId="47" xfId="0" applyNumberFormat="1" applyFont="1" applyFill="1" applyBorder="1"/>
    <xf numFmtId="0" fontId="5" fillId="0" borderId="21" xfId="0" applyFont="1" applyFill="1" applyBorder="1"/>
    <xf numFmtId="0" fontId="4" fillId="0" borderId="47" xfId="0" applyFont="1" applyFill="1" applyBorder="1" applyAlignment="1">
      <alignment horizontal="justify"/>
    </xf>
    <xf numFmtId="3" fontId="7" fillId="0" borderId="11" xfId="57" applyNumberFormat="1" applyFont="1" applyFill="1" applyBorder="1" applyAlignment="1">
      <alignment horizontal="justify" wrapText="1"/>
    </xf>
    <xf numFmtId="3" fontId="7" fillId="0" borderId="32" xfId="57" applyNumberFormat="1" applyFont="1" applyFill="1" applyBorder="1" applyAlignment="1">
      <alignment horizontal="justify" wrapText="1"/>
    </xf>
    <xf numFmtId="3" fontId="43" fillId="0" borderId="33" xfId="0" applyNumberFormat="1" applyFont="1" applyFill="1" applyBorder="1" applyAlignment="1" applyProtection="1"/>
    <xf numFmtId="0" fontId="21" fillId="0" borderId="11" xfId="0" applyFont="1" applyFill="1" applyBorder="1" applyAlignment="1">
      <alignment horizontal="justify"/>
    </xf>
    <xf numFmtId="3" fontId="4" fillId="27" borderId="45" xfId="0" applyNumberFormat="1" applyFont="1" applyFill="1" applyBorder="1"/>
    <xf numFmtId="0" fontId="8" fillId="0" borderId="53" xfId="54" applyFont="1" applyFill="1" applyBorder="1" applyAlignment="1">
      <alignment horizontal="left" wrapText="1"/>
    </xf>
    <xf numFmtId="3" fontId="48" fillId="0" borderId="22" xfId="54" applyNumberFormat="1" applyFont="1" applyFill="1" applyBorder="1"/>
    <xf numFmtId="0" fontId="11" fillId="0" borderId="23" xfId="54" applyFont="1" applyFill="1" applyBorder="1" applyAlignment="1">
      <alignment horizontal="justify"/>
    </xf>
    <xf numFmtId="0" fontId="4" fillId="0" borderId="0" xfId="0" applyFont="1" applyFill="1" applyAlignment="1">
      <alignment horizontal="center" vertical="center"/>
    </xf>
    <xf numFmtId="3" fontId="10" fillId="0" borderId="25" xfId="0" applyNumberFormat="1" applyFont="1" applyFill="1" applyBorder="1" applyAlignment="1">
      <alignment horizontal="left"/>
    </xf>
    <xf numFmtId="3" fontId="3" fillId="0" borderId="23" xfId="0" applyNumberFormat="1" applyFont="1" applyFill="1" applyBorder="1" applyAlignment="1" applyProtection="1">
      <alignment horizontal="center"/>
    </xf>
    <xf numFmtId="3" fontId="7" fillId="0" borderId="17" xfId="57" applyNumberFormat="1" applyFont="1" applyFill="1" applyBorder="1" applyAlignment="1">
      <alignment horizontal="justify" wrapText="1"/>
    </xf>
    <xf numFmtId="0" fontId="4" fillId="0" borderId="54" xfId="0" applyFont="1" applyFill="1" applyBorder="1" applyAlignment="1">
      <alignment wrapText="1" shrinkToFit="1"/>
    </xf>
    <xf numFmtId="0" fontId="13" fillId="0" borderId="52" xfId="0" applyFont="1" applyFill="1" applyBorder="1" applyAlignment="1">
      <alignment horizontal="justify" wrapText="1"/>
    </xf>
    <xf numFmtId="3" fontId="11" fillId="0" borderId="52" xfId="0" applyNumberFormat="1" applyFont="1" applyFill="1" applyBorder="1"/>
    <xf numFmtId="0" fontId="4" fillId="0" borderId="54" xfId="0" applyFont="1" applyFill="1" applyBorder="1" applyAlignment="1">
      <alignment horizontal="justify" wrapText="1"/>
    </xf>
    <xf numFmtId="3" fontId="11" fillId="0" borderId="36" xfId="0" applyNumberFormat="1" applyFont="1" applyFill="1" applyBorder="1"/>
    <xf numFmtId="3" fontId="7" fillId="0" borderId="17" xfId="57" applyNumberFormat="1" applyFont="1" applyFill="1" applyBorder="1" applyAlignment="1">
      <alignment horizontal="justify" vertical="top" wrapText="1"/>
    </xf>
    <xf numFmtId="3" fontId="43" fillId="0" borderId="33" xfId="0" applyNumberFormat="1" applyFont="1" applyFill="1" applyBorder="1" applyAlignment="1">
      <alignment horizontal="center"/>
    </xf>
    <xf numFmtId="2" fontId="8" fillId="0" borderId="0" xfId="56" applyNumberFormat="1" applyFont="1"/>
    <xf numFmtId="4" fontId="8" fillId="0" borderId="0" xfId="0" applyNumberFormat="1" applyFont="1" applyFill="1"/>
    <xf numFmtId="3" fontId="44" fillId="0" borderId="22" xfId="54" applyNumberFormat="1" applyFont="1" applyFill="1" applyBorder="1"/>
    <xf numFmtId="0" fontId="4" fillId="0" borderId="47" xfId="0" applyFont="1" applyFill="1" applyBorder="1"/>
    <xf numFmtId="3" fontId="38" fillId="0" borderId="0" xfId="0" applyNumberFormat="1" applyFont="1" applyFill="1"/>
    <xf numFmtId="0" fontId="38" fillId="0" borderId="0" xfId="0" applyFont="1" applyFill="1"/>
    <xf numFmtId="3" fontId="38" fillId="0" borderId="22" xfId="0" applyNumberFormat="1" applyFont="1" applyFill="1" applyBorder="1"/>
    <xf numFmtId="3" fontId="3" fillId="0" borderId="0" xfId="0" applyNumberFormat="1" applyFont="1" applyFill="1" applyBorder="1" applyProtection="1"/>
    <xf numFmtId="3" fontId="13" fillId="0" borderId="21" xfId="0" applyNumberFormat="1" applyFont="1" applyFill="1" applyBorder="1" applyAlignment="1">
      <alignment horizontal="center"/>
    </xf>
    <xf numFmtId="3" fontId="10" fillId="0" borderId="21" xfId="0" applyNumberFormat="1" applyFont="1" applyFill="1" applyBorder="1" applyAlignment="1" applyProtection="1">
      <alignment horizontal="left"/>
    </xf>
    <xf numFmtId="3" fontId="49" fillId="0" borderId="36" xfId="0" applyNumberFormat="1" applyFont="1" applyFill="1" applyBorder="1" applyProtection="1"/>
    <xf numFmtId="3" fontId="12" fillId="0" borderId="21" xfId="0" applyNumberFormat="1" applyFont="1" applyFill="1" applyBorder="1" applyAlignment="1" applyProtection="1">
      <alignment horizontal="left"/>
    </xf>
    <xf numFmtId="3" fontId="11" fillId="0" borderId="21" xfId="0" applyNumberFormat="1" applyFont="1" applyFill="1" applyBorder="1" applyProtection="1"/>
    <xf numFmtId="3" fontId="12" fillId="0" borderId="22" xfId="0" applyNumberFormat="1" applyFont="1" applyFill="1" applyBorder="1" applyAlignment="1" applyProtection="1">
      <alignment horizontal="left"/>
    </xf>
    <xf numFmtId="3" fontId="10" fillId="0" borderId="22" xfId="0" applyNumberFormat="1" applyFont="1" applyFill="1" applyBorder="1" applyAlignment="1" applyProtection="1">
      <alignment horizontal="left"/>
    </xf>
    <xf numFmtId="3" fontId="10" fillId="0" borderId="22" xfId="0" applyNumberFormat="1" applyFont="1" applyFill="1" applyBorder="1" applyAlignment="1" applyProtection="1">
      <alignment horizontal="right"/>
    </xf>
    <xf numFmtId="3" fontId="11" fillId="0" borderId="21" xfId="0" applyNumberFormat="1" applyFont="1" applyFill="1" applyBorder="1"/>
    <xf numFmtId="3" fontId="11" fillId="0" borderId="65" xfId="0" applyNumberFormat="1" applyFont="1" applyFill="1" applyBorder="1"/>
    <xf numFmtId="3" fontId="4" fillId="27" borderId="21" xfId="0" applyNumberFormat="1" applyFont="1" applyFill="1" applyBorder="1"/>
    <xf numFmtId="3" fontId="10" fillId="0" borderId="0" xfId="54" applyNumberFormat="1" applyFont="1" applyFill="1" applyAlignment="1">
      <alignment horizontal="center"/>
    </xf>
    <xf numFmtId="3" fontId="11" fillId="29" borderId="0" xfId="54" applyNumberFormat="1" applyFont="1" applyFill="1"/>
    <xf numFmtId="3" fontId="10" fillId="0" borderId="21" xfId="54" applyNumberFormat="1" applyFont="1" applyFill="1" applyBorder="1"/>
    <xf numFmtId="3" fontId="10" fillId="29" borderId="21" xfId="54" applyNumberFormat="1" applyFont="1" applyFill="1" applyBorder="1"/>
    <xf numFmtId="3" fontId="12" fillId="0" borderId="22" xfId="54" applyNumberFormat="1" applyFont="1" applyFill="1" applyBorder="1"/>
    <xf numFmtId="0" fontId="58" fillId="0" borderId="0" xfId="0" applyFont="1" applyFill="1" applyAlignment="1">
      <alignment horizontal="left"/>
    </xf>
    <xf numFmtId="3" fontId="38" fillId="0" borderId="30" xfId="0" applyNumberFormat="1" applyFont="1" applyFill="1" applyBorder="1"/>
    <xf numFmtId="3" fontId="38" fillId="0" borderId="27" xfId="0" applyNumberFormat="1" applyFont="1" applyFill="1" applyBorder="1"/>
    <xf numFmtId="3" fontId="53" fillId="0" borderId="26" xfId="0" applyNumberFormat="1" applyFont="1" applyFill="1" applyBorder="1"/>
    <xf numFmtId="3" fontId="53" fillId="0" borderId="22" xfId="0" applyNumberFormat="1" applyFont="1" applyFill="1" applyBorder="1"/>
    <xf numFmtId="3" fontId="38" fillId="27" borderId="25" xfId="0" applyNumberFormat="1" applyFont="1" applyFill="1" applyBorder="1"/>
    <xf numFmtId="3" fontId="38" fillId="27" borderId="27" xfId="0" applyNumberFormat="1" applyFont="1" applyFill="1" applyBorder="1"/>
    <xf numFmtId="3" fontId="53" fillId="0" borderId="40" xfId="0" applyNumberFormat="1" applyFont="1" applyFill="1" applyBorder="1"/>
    <xf numFmtId="3" fontId="38" fillId="0" borderId="25" xfId="0" applyNumberFormat="1" applyFont="1" applyFill="1" applyBorder="1"/>
    <xf numFmtId="3" fontId="38" fillId="0" borderId="52" xfId="0" applyNumberFormat="1" applyFont="1" applyFill="1" applyBorder="1"/>
    <xf numFmtId="3" fontId="38" fillId="0" borderId="54" xfId="0" applyNumberFormat="1" applyFont="1" applyFill="1" applyBorder="1"/>
    <xf numFmtId="3" fontId="38" fillId="27" borderId="36" xfId="0" applyNumberFormat="1" applyFont="1" applyFill="1" applyBorder="1"/>
    <xf numFmtId="3" fontId="53" fillId="0" borderId="23" xfId="0" applyNumberFormat="1" applyFont="1" applyFill="1" applyBorder="1"/>
    <xf numFmtId="0" fontId="58" fillId="0" borderId="0" xfId="0" applyFont="1" applyFill="1" applyBorder="1"/>
    <xf numFmtId="3" fontId="53" fillId="0" borderId="43" xfId="0" applyNumberFormat="1" applyFont="1" applyFill="1" applyBorder="1"/>
    <xf numFmtId="3" fontId="53" fillId="28" borderId="38" xfId="0" applyNumberFormat="1" applyFont="1" applyFill="1" applyBorder="1"/>
    <xf numFmtId="0" fontId="53" fillId="0" borderId="0" xfId="0" applyFont="1" applyFill="1" applyAlignment="1">
      <alignment horizontal="center"/>
    </xf>
    <xf numFmtId="3" fontId="53" fillId="0" borderId="21" xfId="0" applyNumberFormat="1" applyFont="1" applyFill="1" applyBorder="1" applyAlignment="1">
      <alignment horizontal="center"/>
    </xf>
    <xf numFmtId="3" fontId="53" fillId="0" borderId="23" xfId="0" applyNumberFormat="1" applyFont="1" applyFill="1" applyBorder="1" applyAlignment="1">
      <alignment horizontal="center"/>
    </xf>
    <xf numFmtId="0" fontId="53" fillId="0" borderId="0" xfId="0" applyFont="1" applyFill="1" applyBorder="1"/>
    <xf numFmtId="0" fontId="53" fillId="28" borderId="0" xfId="0" applyFont="1" applyFill="1" applyBorder="1"/>
    <xf numFmtId="3" fontId="1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0" fontId="60" fillId="0" borderId="27" xfId="0" applyFont="1" applyFill="1" applyBorder="1" applyAlignment="1">
      <alignment horizontal="center" wrapText="1"/>
    </xf>
    <xf numFmtId="0" fontId="60" fillId="0" borderId="29" xfId="0" applyFont="1" applyFill="1" applyBorder="1" applyAlignment="1">
      <alignment horizontal="center"/>
    </xf>
    <xf numFmtId="0" fontId="60" fillId="0" borderId="3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left"/>
    </xf>
    <xf numFmtId="0" fontId="4" fillId="0" borderId="57" xfId="54" applyFont="1" applyFill="1" applyBorder="1" applyAlignment="1">
      <alignment horizontal="left"/>
    </xf>
    <xf numFmtId="0" fontId="11" fillId="0" borderId="57" xfId="0" applyFont="1" applyFill="1" applyBorder="1" applyAlignment="1">
      <alignment horizontal="left"/>
    </xf>
    <xf numFmtId="3" fontId="40" fillId="0" borderId="0" xfId="0" applyNumberFormat="1" applyFont="1" applyFill="1" applyBorder="1" applyProtection="1">
      <protection locked="0"/>
    </xf>
    <xf numFmtId="3" fontId="40" fillId="0" borderId="22" xfId="0" applyNumberFormat="1" applyFont="1" applyFill="1" applyBorder="1" applyProtection="1">
      <protection locked="0"/>
    </xf>
    <xf numFmtId="3" fontId="40" fillId="0" borderId="22" xfId="0" applyNumberFormat="1" applyFont="1" applyFill="1" applyBorder="1"/>
    <xf numFmtId="3" fontId="21" fillId="0" borderId="27" xfId="0" applyNumberFormat="1" applyFont="1" applyFill="1" applyBorder="1" applyAlignment="1">
      <alignment horizontal="justify"/>
    </xf>
    <xf numFmtId="3" fontId="3" fillId="0" borderId="11" xfId="0" applyNumberFormat="1" applyFont="1" applyFill="1" applyBorder="1"/>
    <xf numFmtId="3" fontId="21" fillId="0" borderId="18" xfId="0" applyNumberFormat="1" applyFont="1" applyFill="1" applyBorder="1" applyAlignment="1">
      <alignment horizontal="justify"/>
    </xf>
    <xf numFmtId="3" fontId="4" fillId="0" borderId="17" xfId="0" applyNumberFormat="1" applyFont="1" applyFill="1" applyBorder="1"/>
    <xf numFmtId="3" fontId="13" fillId="0" borderId="13" xfId="0" applyNumberFormat="1" applyFont="1" applyFill="1" applyBorder="1"/>
    <xf numFmtId="3" fontId="4" fillId="0" borderId="18" xfId="0" applyNumberFormat="1" applyFont="1" applyFill="1" applyBorder="1" applyAlignment="1">
      <alignment horizontal="right"/>
    </xf>
    <xf numFmtId="3" fontId="4" fillId="0" borderId="77" xfId="0" applyNumberFormat="1" applyFont="1" applyFill="1" applyBorder="1"/>
    <xf numFmtId="3" fontId="13" fillId="0" borderId="43" xfId="0" applyNumberFormat="1" applyFont="1" applyFill="1" applyBorder="1"/>
    <xf numFmtId="0" fontId="4" fillId="27" borderId="30" xfId="0" applyFont="1" applyFill="1" applyBorder="1" applyAlignment="1">
      <alignment horizontal="justify"/>
    </xf>
    <xf numFmtId="3" fontId="4" fillId="27" borderId="30" xfId="0" applyNumberFormat="1" applyFont="1" applyFill="1" applyBorder="1" applyAlignment="1">
      <alignment horizontal="right"/>
    </xf>
    <xf numFmtId="0" fontId="4" fillId="27" borderId="82" xfId="0" applyFont="1" applyFill="1" applyBorder="1" applyAlignment="1">
      <alignment horizontal="justify"/>
    </xf>
    <xf numFmtId="0" fontId="4" fillId="27" borderId="82" xfId="0" applyFont="1" applyFill="1" applyBorder="1" applyAlignment="1">
      <alignment horizontal="right"/>
    </xf>
    <xf numFmtId="0" fontId="4" fillId="27" borderId="83" xfId="0" applyFont="1" applyFill="1" applyBorder="1" applyAlignment="1">
      <alignment horizontal="right"/>
    </xf>
    <xf numFmtId="0" fontId="8" fillId="27" borderId="11" xfId="0" applyFont="1" applyFill="1" applyBorder="1" applyAlignment="1">
      <alignment horizontal="justify"/>
    </xf>
    <xf numFmtId="3" fontId="8" fillId="27" borderId="25" xfId="0" applyNumberFormat="1" applyFont="1" applyFill="1" applyBorder="1" applyAlignment="1">
      <alignment horizontal="right"/>
    </xf>
    <xf numFmtId="0" fontId="8" fillId="27" borderId="84" xfId="0" applyFont="1" applyFill="1" applyBorder="1" applyAlignment="1">
      <alignment horizontal="justify"/>
    </xf>
    <xf numFmtId="3" fontId="8" fillId="27" borderId="85" xfId="0" applyNumberFormat="1" applyFont="1" applyFill="1" applyBorder="1" applyAlignment="1">
      <alignment horizontal="right"/>
    </xf>
    <xf numFmtId="3" fontId="8" fillId="27" borderId="30" xfId="0" applyNumberFormat="1" applyFont="1" applyFill="1" applyBorder="1"/>
    <xf numFmtId="3" fontId="8" fillId="27" borderId="85" xfId="0" applyNumberFormat="1" applyFont="1" applyFill="1" applyBorder="1"/>
    <xf numFmtId="0" fontId="13" fillId="28" borderId="38" xfId="0" applyFont="1" applyFill="1" applyBorder="1"/>
    <xf numFmtId="0" fontId="3" fillId="0" borderId="10" xfId="0" applyFont="1" applyFill="1" applyBorder="1" applyAlignment="1">
      <alignment wrapText="1"/>
    </xf>
    <xf numFmtId="0" fontId="13" fillId="0" borderId="21" xfId="0" applyFont="1" applyFill="1" applyBorder="1"/>
    <xf numFmtId="0" fontId="3" fillId="0" borderId="24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3" fillId="0" borderId="26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justify"/>
    </xf>
    <xf numFmtId="3" fontId="8" fillId="0" borderId="22" xfId="0" applyNumberFormat="1" applyFont="1" applyFill="1" applyBorder="1"/>
    <xf numFmtId="0" fontId="8" fillId="0" borderId="0" xfId="0" applyFont="1" applyFill="1" applyAlignment="1">
      <alignment wrapText="1"/>
    </xf>
    <xf numFmtId="3" fontId="4" fillId="0" borderId="27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>
      <alignment wrapText="1"/>
    </xf>
    <xf numFmtId="3" fontId="38" fillId="31" borderId="25" xfId="0" applyNumberFormat="1" applyFont="1" applyFill="1" applyBorder="1"/>
    <xf numFmtId="3" fontId="38" fillId="31" borderId="27" xfId="0" applyNumberFormat="1" applyFont="1" applyFill="1" applyBorder="1"/>
    <xf numFmtId="3" fontId="11" fillId="31" borderId="22" xfId="54" applyNumberFormat="1" applyFont="1" applyFill="1" applyBorder="1" applyAlignment="1">
      <alignment horizontal="right"/>
    </xf>
    <xf numFmtId="3" fontId="11" fillId="31" borderId="25" xfId="54" applyNumberFormat="1" applyFont="1" applyFill="1" applyBorder="1" applyAlignment="1">
      <alignment horizontal="right"/>
    </xf>
    <xf numFmtId="3" fontId="11" fillId="0" borderId="52" xfId="0" applyNumberFormat="1" applyFont="1" applyFill="1" applyBorder="1" applyProtection="1">
      <protection locked="0"/>
    </xf>
    <xf numFmtId="0" fontId="63" fillId="0" borderId="0" xfId="52" applyFont="1" applyAlignment="1"/>
    <xf numFmtId="3" fontId="63" fillId="0" borderId="0" xfId="52" applyNumberFormat="1" applyFont="1" applyFill="1" applyAlignment="1"/>
    <xf numFmtId="3" fontId="63" fillId="0" borderId="0" xfId="52" applyNumberFormat="1" applyFont="1" applyFill="1"/>
    <xf numFmtId="3" fontId="63" fillId="0" borderId="0" xfId="52" applyNumberFormat="1" applyFont="1" applyFill="1" applyBorder="1" applyAlignment="1">
      <alignment horizontal="right"/>
    </xf>
    <xf numFmtId="3" fontId="63" fillId="0" borderId="0" xfId="52" applyNumberFormat="1" applyFont="1" applyFill="1" applyBorder="1"/>
    <xf numFmtId="3" fontId="63" fillId="0" borderId="0" xfId="52" applyNumberFormat="1" applyFont="1" applyFill="1" applyBorder="1" applyAlignment="1">
      <alignment horizontal="center"/>
    </xf>
    <xf numFmtId="3" fontId="63" fillId="0" borderId="21" xfId="52" applyNumberFormat="1" applyFont="1" applyFill="1" applyBorder="1" applyAlignment="1">
      <alignment horizontal="center" vertical="center" wrapText="1"/>
    </xf>
    <xf numFmtId="3" fontId="63" fillId="0" borderId="0" xfId="52" applyNumberFormat="1" applyFont="1" applyFill="1" applyBorder="1" applyAlignment="1">
      <alignment horizontal="justify"/>
    </xf>
    <xf numFmtId="3" fontId="63" fillId="0" borderId="22" xfId="52" applyNumberFormat="1" applyFont="1" applyFill="1" applyBorder="1" applyAlignment="1">
      <alignment horizontal="center" vertical="center" wrapText="1"/>
    </xf>
    <xf numFmtId="3" fontId="63" fillId="0" borderId="14" xfId="52" applyNumberFormat="1" applyFont="1" applyFill="1" applyBorder="1" applyAlignment="1"/>
    <xf numFmtId="3" fontId="63" fillId="0" borderId="15" xfId="52" applyNumberFormat="1" applyFont="1" applyFill="1" applyBorder="1" applyAlignment="1"/>
    <xf numFmtId="3" fontId="63" fillId="0" borderId="66" xfId="52" applyNumberFormat="1" applyFont="1" applyFill="1" applyBorder="1" applyAlignment="1"/>
    <xf numFmtId="3" fontId="63" fillId="0" borderId="15" xfId="52" applyNumberFormat="1" applyFont="1" applyFill="1" applyBorder="1" applyAlignment="1">
      <alignment horizontal="center"/>
    </xf>
    <xf numFmtId="3" fontId="63" fillId="0" borderId="14" xfId="52" applyNumberFormat="1" applyFont="1" applyFill="1" applyBorder="1" applyAlignment="1">
      <alignment wrapText="1"/>
    </xf>
    <xf numFmtId="3" fontId="63" fillId="0" borderId="15" xfId="52" applyNumberFormat="1" applyFont="1" applyFill="1" applyBorder="1" applyAlignment="1">
      <alignment wrapText="1"/>
    </xf>
    <xf numFmtId="3" fontId="63" fillId="0" borderId="66" xfId="52" applyNumberFormat="1" applyFont="1" applyFill="1" applyBorder="1" applyAlignment="1">
      <alignment wrapText="1"/>
    </xf>
    <xf numFmtId="3" fontId="63" fillId="0" borderId="23" xfId="52" applyNumberFormat="1" applyFont="1" applyFill="1" applyBorder="1" applyAlignment="1">
      <alignment vertical="center" wrapText="1"/>
    </xf>
    <xf numFmtId="3" fontId="64" fillId="0" borderId="23" xfId="52" applyNumberFormat="1" applyFont="1" applyFill="1" applyBorder="1" applyAlignment="1">
      <alignment horizontal="center" wrapText="1"/>
    </xf>
    <xf numFmtId="3" fontId="63" fillId="0" borderId="21" xfId="52" applyNumberFormat="1" applyFont="1" applyFill="1" applyBorder="1" applyAlignment="1">
      <alignment horizontal="center" vertical="center"/>
    </xf>
    <xf numFmtId="3" fontId="63" fillId="0" borderId="21" xfId="52" applyNumberFormat="1" applyFont="1" applyFill="1" applyBorder="1" applyAlignment="1">
      <alignment horizontal="right"/>
    </xf>
    <xf numFmtId="3" fontId="63" fillId="0" borderId="21" xfId="52" applyNumberFormat="1" applyFont="1" applyFill="1" applyBorder="1" applyAlignment="1">
      <alignment horizontal="center"/>
    </xf>
    <xf numFmtId="3" fontId="63" fillId="0" borderId="36" xfId="52" applyNumberFormat="1" applyFont="1" applyFill="1" applyBorder="1" applyAlignment="1">
      <alignment horizontal="left"/>
    </xf>
    <xf numFmtId="3" fontId="63" fillId="0" borderId="36" xfId="52" applyNumberFormat="1" applyFont="1" applyFill="1" applyBorder="1" applyAlignment="1">
      <alignment horizontal="right"/>
    </xf>
    <xf numFmtId="3" fontId="63" fillId="0" borderId="40" xfId="52" applyNumberFormat="1" applyFont="1" applyFill="1" applyBorder="1" applyAlignment="1">
      <alignment horizontal="left"/>
    </xf>
    <xf numFmtId="3" fontId="63" fillId="0" borderId="26" xfId="52" applyNumberFormat="1" applyFont="1" applyFill="1" applyBorder="1" applyAlignment="1">
      <alignment horizontal="left"/>
    </xf>
    <xf numFmtId="3" fontId="63" fillId="0" borderId="22" xfId="52" applyNumberFormat="1" applyFont="1" applyFill="1" applyBorder="1" applyAlignment="1">
      <alignment horizontal="right"/>
    </xf>
    <xf numFmtId="3" fontId="63" fillId="0" borderId="22" xfId="52" applyNumberFormat="1" applyFont="1" applyFill="1" applyBorder="1" applyAlignment="1">
      <alignment horizontal="left"/>
    </xf>
    <xf numFmtId="3" fontId="63" fillId="0" borderId="26" xfId="52" applyNumberFormat="1" applyFont="1" applyFill="1" applyBorder="1" applyAlignment="1">
      <alignment horizontal="right"/>
    </xf>
    <xf numFmtId="3" fontId="63" fillId="0" borderId="14" xfId="52" applyNumberFormat="1" applyFont="1" applyFill="1" applyBorder="1" applyAlignment="1" applyProtection="1">
      <alignment horizontal="left"/>
    </xf>
    <xf numFmtId="3" fontId="63" fillId="0" borderId="24" xfId="52" applyNumberFormat="1" applyFont="1" applyFill="1" applyBorder="1" applyAlignment="1">
      <alignment horizontal="right"/>
    </xf>
    <xf numFmtId="3" fontId="63" fillId="0" borderId="12" xfId="52" applyNumberFormat="1" applyFont="1" applyFill="1" applyBorder="1" applyAlignment="1" applyProtection="1">
      <alignment horizontal="left"/>
    </xf>
    <xf numFmtId="3" fontId="63" fillId="0" borderId="14" xfId="52" applyNumberFormat="1" applyFont="1" applyFill="1" applyBorder="1" applyAlignment="1">
      <alignment horizontal="right"/>
    </xf>
    <xf numFmtId="3" fontId="63" fillId="0" borderId="13" xfId="52" applyNumberFormat="1" applyFont="1" applyFill="1" applyBorder="1" applyAlignment="1">
      <alignment horizontal="right"/>
    </xf>
    <xf numFmtId="3" fontId="63" fillId="0" borderId="22" xfId="52" applyNumberFormat="1" applyFont="1" applyFill="1" applyBorder="1" applyAlignment="1" applyProtection="1">
      <alignment horizontal="center" vertical="center"/>
    </xf>
    <xf numFmtId="3" fontId="65" fillId="0" borderId="22" xfId="52" applyNumberFormat="1" applyFont="1" applyFill="1" applyBorder="1" applyAlignment="1" applyProtection="1">
      <alignment horizontal="center"/>
    </xf>
    <xf numFmtId="3" fontId="63" fillId="0" borderId="40" xfId="52" applyNumberFormat="1" applyFont="1" applyFill="1" applyBorder="1" applyAlignment="1">
      <alignment horizontal="right"/>
    </xf>
    <xf numFmtId="3" fontId="63" fillId="0" borderId="29" xfId="52" applyNumberFormat="1" applyFont="1" applyFill="1" applyBorder="1" applyAlignment="1">
      <alignment horizontal="right"/>
    </xf>
    <xf numFmtId="3" fontId="63" fillId="0" borderId="24" xfId="52" applyNumberFormat="1" applyFont="1" applyFill="1" applyBorder="1" applyAlignment="1" applyProtection="1">
      <alignment horizontal="left"/>
    </xf>
    <xf numFmtId="3" fontId="65" fillId="0" borderId="21" xfId="52" applyNumberFormat="1" applyFont="1" applyFill="1" applyBorder="1" applyAlignment="1" applyProtection="1">
      <alignment horizontal="center"/>
    </xf>
    <xf numFmtId="3" fontId="63" fillId="0" borderId="25" xfId="52" applyNumberFormat="1" applyFont="1" applyFill="1" applyBorder="1" applyAlignment="1">
      <alignment horizontal="left"/>
    </xf>
    <xf numFmtId="3" fontId="63" fillId="0" borderId="25" xfId="52" applyNumberFormat="1" applyFont="1" applyFill="1" applyBorder="1" applyAlignment="1">
      <alignment horizontal="right"/>
    </xf>
    <xf numFmtId="3" fontId="63" fillId="0" borderId="26" xfId="52" applyNumberFormat="1" applyFont="1" applyFill="1" applyBorder="1" applyAlignment="1" applyProtection="1">
      <alignment horizontal="left"/>
    </xf>
    <xf numFmtId="3" fontId="63" fillId="0" borderId="10" xfId="52" applyNumberFormat="1" applyFont="1" applyFill="1" applyBorder="1" applyAlignment="1">
      <alignment horizontal="right"/>
    </xf>
    <xf numFmtId="3" fontId="63" fillId="0" borderId="65" xfId="52" applyNumberFormat="1" applyFont="1" applyFill="1" applyBorder="1" applyAlignment="1">
      <alignment horizontal="right"/>
    </xf>
    <xf numFmtId="3" fontId="63" fillId="0" borderId="17" xfId="52" applyNumberFormat="1" applyFont="1" applyFill="1" applyBorder="1" applyAlignment="1">
      <alignment horizontal="right"/>
    </xf>
    <xf numFmtId="3" fontId="63" fillId="0" borderId="77" xfId="52" applyNumberFormat="1" applyFont="1" applyFill="1" applyBorder="1" applyAlignment="1">
      <alignment horizontal="right"/>
    </xf>
    <xf numFmtId="3" fontId="63" fillId="0" borderId="12" xfId="52" applyNumberFormat="1" applyFont="1" applyFill="1" applyBorder="1" applyAlignment="1">
      <alignment horizontal="right"/>
    </xf>
    <xf numFmtId="3" fontId="63" fillId="0" borderId="23" xfId="52" applyNumberFormat="1" applyFont="1" applyFill="1" applyBorder="1" applyAlignment="1">
      <alignment horizontal="right"/>
    </xf>
    <xf numFmtId="3" fontId="63" fillId="0" borderId="50" xfId="52" applyNumberFormat="1" applyFont="1" applyFill="1" applyBorder="1" applyAlignment="1">
      <alignment horizontal="right"/>
    </xf>
    <xf numFmtId="3" fontId="63" fillId="0" borderId="36" xfId="52" applyNumberFormat="1" applyFont="1" applyFill="1" applyBorder="1" applyAlignment="1" applyProtection="1">
      <alignment horizontal="justify"/>
    </xf>
    <xf numFmtId="3" fontId="63" fillId="0" borderId="73" xfId="52" applyNumberFormat="1" applyFont="1" applyFill="1" applyBorder="1" applyAlignment="1">
      <alignment horizontal="right"/>
    </xf>
    <xf numFmtId="3" fontId="63" fillId="0" borderId="22" xfId="52" applyNumberFormat="1" applyFont="1" applyFill="1" applyBorder="1" applyAlignment="1" applyProtection="1">
      <alignment horizontal="justify"/>
    </xf>
    <xf numFmtId="3" fontId="63" fillId="0" borderId="29" xfId="52" applyNumberFormat="1" applyFont="1" applyFill="1" applyBorder="1" applyAlignment="1">
      <alignment horizontal="justify"/>
    </xf>
    <xf numFmtId="3" fontId="63" fillId="0" borderId="24" xfId="52" applyNumberFormat="1" applyFont="1" applyFill="1" applyBorder="1" applyAlignment="1">
      <alignment horizontal="left"/>
    </xf>
    <xf numFmtId="3" fontId="63" fillId="0" borderId="23" xfId="52" applyNumberFormat="1" applyFont="1" applyFill="1" applyBorder="1" applyAlignment="1" applyProtection="1">
      <alignment horizontal="left"/>
    </xf>
    <xf numFmtId="3" fontId="63" fillId="0" borderId="26" xfId="52" applyNumberFormat="1" applyFont="1" applyFill="1" applyBorder="1" applyAlignment="1" applyProtection="1"/>
    <xf numFmtId="3" fontId="63" fillId="0" borderId="21" xfId="52" applyNumberFormat="1" applyFont="1" applyFill="1" applyBorder="1" applyAlignment="1" applyProtection="1">
      <alignment horizontal="left" vertical="center"/>
    </xf>
    <xf numFmtId="3" fontId="63" fillId="0" borderId="67" xfId="52" applyNumberFormat="1" applyFont="1" applyFill="1" applyBorder="1" applyAlignment="1" applyProtection="1">
      <alignment horizontal="left" vertical="center"/>
    </xf>
    <xf numFmtId="3" fontId="63" fillId="0" borderId="67" xfId="52" applyNumberFormat="1" applyFont="1" applyFill="1" applyBorder="1" applyAlignment="1">
      <alignment horizontal="right"/>
    </xf>
    <xf numFmtId="3" fontId="63" fillId="0" borderId="86" xfId="52" applyNumberFormat="1" applyFont="1" applyFill="1" applyBorder="1" applyAlignment="1">
      <alignment horizontal="right"/>
    </xf>
    <xf numFmtId="3" fontId="63" fillId="0" borderId="23" xfId="52" applyNumberFormat="1" applyFont="1" applyFill="1" applyBorder="1" applyAlignment="1" applyProtection="1">
      <alignment horizontal="left" vertical="center"/>
    </xf>
    <xf numFmtId="3" fontId="63" fillId="0" borderId="14" xfId="52" applyNumberFormat="1" applyFont="1" applyFill="1" applyBorder="1" applyAlignment="1" applyProtection="1">
      <alignment horizontal="left" vertical="center"/>
    </xf>
    <xf numFmtId="3" fontId="63" fillId="0" borderId="15" xfId="52" applyNumberFormat="1" applyFont="1" applyFill="1" applyBorder="1" applyAlignment="1">
      <alignment horizontal="right"/>
    </xf>
    <xf numFmtId="3" fontId="63" fillId="0" borderId="24" xfId="52" applyNumberFormat="1" applyFont="1" applyFill="1" applyBorder="1" applyAlignment="1" applyProtection="1">
      <alignment horizontal="left" vertical="center"/>
    </xf>
    <xf numFmtId="0" fontId="63" fillId="0" borderId="0" xfId="52" applyFont="1" applyBorder="1" applyAlignment="1">
      <alignment horizontal="left"/>
    </xf>
    <xf numFmtId="0" fontId="66" fillId="0" borderId="0" xfId="52" applyFont="1" applyBorder="1" applyProtection="1"/>
    <xf numFmtId="0" fontId="63" fillId="0" borderId="0" xfId="52" applyFont="1"/>
    <xf numFmtId="3" fontId="67" fillId="0" borderId="0" xfId="52" applyNumberFormat="1" applyFont="1" applyFill="1"/>
    <xf numFmtId="3" fontId="68" fillId="0" borderId="0" xfId="52" applyNumberFormat="1" applyFont="1" applyFill="1" applyBorder="1" applyAlignment="1">
      <alignment horizontal="right"/>
    </xf>
    <xf numFmtId="3" fontId="69" fillId="0" borderId="0" xfId="52" applyNumberFormat="1" applyFont="1" applyFill="1"/>
    <xf numFmtId="3" fontId="70" fillId="0" borderId="0" xfId="52" applyNumberFormat="1" applyFont="1" applyFill="1" applyAlignment="1">
      <alignment horizontal="center"/>
    </xf>
    <xf numFmtId="3" fontId="68" fillId="0" borderId="0" xfId="52" applyNumberFormat="1" applyFont="1" applyFill="1" applyBorder="1"/>
    <xf numFmtId="3" fontId="70" fillId="0" borderId="0" xfId="52" applyNumberFormat="1" applyFont="1" applyFill="1" applyBorder="1" applyAlignment="1">
      <alignment horizontal="center"/>
    </xf>
    <xf numFmtId="3" fontId="69" fillId="0" borderId="0" xfId="52" applyNumberFormat="1" applyFont="1" applyFill="1" applyBorder="1"/>
    <xf numFmtId="3" fontId="70" fillId="0" borderId="65" xfId="52" applyNumberFormat="1" applyFont="1" applyFill="1" applyBorder="1" applyAlignment="1">
      <alignment horizontal="center" vertical="center"/>
    </xf>
    <xf numFmtId="3" fontId="69" fillId="0" borderId="0" xfId="52" applyNumberFormat="1" applyFont="1" applyFill="1" applyBorder="1" applyAlignment="1">
      <alignment horizontal="center"/>
    </xf>
    <xf numFmtId="3" fontId="70" fillId="0" borderId="51" xfId="52" applyNumberFormat="1" applyFont="1" applyFill="1" applyBorder="1" applyAlignment="1">
      <alignment horizontal="center" vertical="center"/>
    </xf>
    <xf numFmtId="3" fontId="63" fillId="0" borderId="22" xfId="52" applyNumberFormat="1" applyFont="1" applyFill="1" applyBorder="1" applyAlignment="1">
      <alignment horizontal="center" vertical="center"/>
    </xf>
    <xf numFmtId="3" fontId="69" fillId="0" borderId="0" xfId="52" applyNumberFormat="1" applyFont="1" applyFill="1" applyBorder="1" applyAlignment="1">
      <alignment horizontal="justify"/>
    </xf>
    <xf numFmtId="3" fontId="63" fillId="0" borderId="23" xfId="52" applyNumberFormat="1" applyFont="1" applyFill="1" applyBorder="1" applyAlignment="1">
      <alignment vertical="center"/>
    </xf>
    <xf numFmtId="3" fontId="70" fillId="0" borderId="23" xfId="52" applyNumberFormat="1" applyFont="1" applyFill="1" applyBorder="1" applyAlignment="1">
      <alignment horizontal="center"/>
    </xf>
    <xf numFmtId="3" fontId="69" fillId="0" borderId="21" xfId="52" applyNumberFormat="1" applyFont="1" applyFill="1" applyBorder="1" applyAlignment="1">
      <alignment horizontal="right"/>
    </xf>
    <xf numFmtId="3" fontId="69" fillId="0" borderId="21" xfId="52" applyNumberFormat="1" applyFont="1" applyFill="1" applyBorder="1" applyAlignment="1">
      <alignment horizontal="center" vertical="center"/>
    </xf>
    <xf numFmtId="3" fontId="70" fillId="0" borderId="21" xfId="52" applyNumberFormat="1" applyFont="1" applyFill="1" applyBorder="1" applyAlignment="1">
      <alignment horizontal="center" vertical="center"/>
    </xf>
    <xf numFmtId="3" fontId="69" fillId="0" borderId="36" xfId="52" applyNumberFormat="1" applyFont="1" applyFill="1" applyBorder="1" applyAlignment="1">
      <alignment horizontal="right"/>
    </xf>
    <xf numFmtId="3" fontId="69" fillId="0" borderId="36" xfId="52" applyNumberFormat="1" applyFont="1" applyFill="1" applyBorder="1"/>
    <xf numFmtId="3" fontId="70" fillId="0" borderId="36" xfId="52" applyNumberFormat="1" applyFont="1" applyFill="1" applyBorder="1" applyAlignment="1">
      <alignment horizontal="center"/>
    </xf>
    <xf numFmtId="3" fontId="69" fillId="0" borderId="22" xfId="52" applyNumberFormat="1" applyFont="1" applyFill="1" applyBorder="1" applyAlignment="1">
      <alignment horizontal="right"/>
    </xf>
    <xf numFmtId="3" fontId="69" fillId="0" borderId="26" xfId="52" applyNumberFormat="1" applyFont="1" applyFill="1" applyBorder="1" applyAlignment="1">
      <alignment horizontal="right"/>
    </xf>
    <xf numFmtId="3" fontId="69" fillId="0" borderId="16" xfId="52" applyNumberFormat="1" applyFont="1" applyFill="1" applyBorder="1"/>
    <xf numFmtId="3" fontId="69" fillId="0" borderId="24" xfId="52" applyNumberFormat="1" applyFont="1" applyFill="1" applyBorder="1" applyAlignment="1">
      <alignment horizontal="right"/>
    </xf>
    <xf numFmtId="3" fontId="69" fillId="0" borderId="23" xfId="52" applyNumberFormat="1" applyFont="1" applyFill="1" applyBorder="1" applyAlignment="1">
      <alignment horizontal="right"/>
    </xf>
    <xf numFmtId="3" fontId="69" fillId="0" borderId="40" xfId="52" applyNumberFormat="1" applyFont="1" applyFill="1" applyBorder="1" applyAlignment="1">
      <alignment horizontal="right"/>
    </xf>
    <xf numFmtId="3" fontId="69" fillId="0" borderId="25" xfId="52" applyNumberFormat="1" applyFont="1" applyFill="1" applyBorder="1" applyAlignment="1">
      <alignment horizontal="right"/>
    </xf>
    <xf numFmtId="3" fontId="71" fillId="0" borderId="25" xfId="52" applyNumberFormat="1" applyFont="1" applyFill="1" applyBorder="1" applyAlignment="1">
      <alignment horizontal="right"/>
    </xf>
    <xf numFmtId="3" fontId="69" fillId="0" borderId="29" xfId="52" applyNumberFormat="1" applyFont="1" applyFill="1" applyBorder="1" applyAlignment="1">
      <alignment horizontal="right"/>
    </xf>
    <xf numFmtId="3" fontId="70" fillId="0" borderId="22" xfId="52" applyNumberFormat="1" applyFont="1" applyFill="1" applyBorder="1" applyAlignment="1">
      <alignment horizontal="center"/>
    </xf>
    <xf numFmtId="3" fontId="69" fillId="0" borderId="67" xfId="52" applyNumberFormat="1" applyFont="1" applyFill="1" applyBorder="1" applyAlignment="1">
      <alignment horizontal="right"/>
    </xf>
    <xf numFmtId="3" fontId="69" fillId="0" borderId="86" xfId="52" applyNumberFormat="1" applyFont="1" applyFill="1" applyBorder="1" applyAlignment="1">
      <alignment horizontal="right"/>
    </xf>
    <xf numFmtId="3" fontId="69" fillId="0" borderId="67" xfId="52" applyNumberFormat="1" applyFont="1" applyFill="1" applyBorder="1" applyAlignment="1" applyProtection="1">
      <alignment horizontal="right" vertical="center"/>
    </xf>
    <xf numFmtId="3" fontId="70" fillId="0" borderId="86" xfId="52" applyNumberFormat="1" applyFont="1" applyFill="1" applyBorder="1" applyAlignment="1">
      <alignment horizontal="center"/>
    </xf>
    <xf numFmtId="3" fontId="70" fillId="0" borderId="67" xfId="52" applyNumberFormat="1" applyFont="1" applyFill="1" applyBorder="1" applyAlignment="1">
      <alignment horizontal="center"/>
    </xf>
    <xf numFmtId="3" fontId="69" fillId="0" borderId="0" xfId="52" applyNumberFormat="1" applyFont="1" applyFill="1" applyBorder="1" applyAlignment="1">
      <alignment horizontal="right"/>
    </xf>
    <xf numFmtId="3" fontId="69" fillId="0" borderId="23" xfId="52" applyNumberFormat="1" applyFont="1" applyFill="1" applyBorder="1" applyAlignment="1" applyProtection="1">
      <alignment horizontal="right" vertical="center"/>
    </xf>
    <xf numFmtId="3" fontId="69" fillId="0" borderId="15" xfId="52" applyNumberFormat="1" applyFont="1" applyFill="1" applyBorder="1" applyAlignment="1">
      <alignment horizontal="right"/>
    </xf>
    <xf numFmtId="3" fontId="70" fillId="0" borderId="24" xfId="52" applyNumberFormat="1" applyFont="1" applyFill="1" applyBorder="1" applyAlignment="1">
      <alignment horizontal="center"/>
    </xf>
    <xf numFmtId="3" fontId="70" fillId="0" borderId="15" xfId="52" applyNumberFormat="1" applyFont="1" applyFill="1" applyBorder="1" applyAlignment="1">
      <alignment horizontal="center"/>
    </xf>
    <xf numFmtId="3" fontId="72" fillId="0" borderId="0" xfId="52" applyNumberFormat="1" applyFont="1" applyFill="1" applyBorder="1" applyAlignment="1">
      <alignment horizontal="right"/>
    </xf>
    <xf numFmtId="3" fontId="72" fillId="0" borderId="0" xfId="52" applyNumberFormat="1" applyFont="1" applyFill="1" applyBorder="1"/>
    <xf numFmtId="3" fontId="72" fillId="28" borderId="0" xfId="52" applyNumberFormat="1" applyFont="1" applyFill="1" applyBorder="1" applyAlignment="1">
      <alignment horizontal="right"/>
    </xf>
    <xf numFmtId="0" fontId="69" fillId="0" borderId="0" xfId="52" applyFont="1" applyBorder="1" applyAlignment="1">
      <alignment horizontal="left"/>
    </xf>
    <xf numFmtId="0" fontId="70" fillId="0" borderId="0" xfId="52" applyFont="1" applyBorder="1" applyAlignment="1">
      <alignment horizontal="center"/>
    </xf>
    <xf numFmtId="3" fontId="73" fillId="0" borderId="0" xfId="52" applyNumberFormat="1" applyFont="1" applyFill="1" applyBorder="1" applyAlignment="1">
      <alignment horizontal="right"/>
    </xf>
    <xf numFmtId="3" fontId="73" fillId="0" borderId="0" xfId="52" applyNumberFormat="1" applyFont="1" applyBorder="1" applyProtection="1"/>
    <xf numFmtId="0" fontId="73" fillId="0" borderId="0" xfId="52" applyFont="1" applyBorder="1" applyProtection="1"/>
    <xf numFmtId="0" fontId="73" fillId="0" borderId="0" xfId="52" applyFont="1" applyBorder="1" applyAlignment="1" applyProtection="1">
      <alignment horizontal="center"/>
    </xf>
    <xf numFmtId="3" fontId="73" fillId="0" borderId="0" xfId="52" applyNumberFormat="1" applyFont="1" applyFill="1" applyBorder="1"/>
    <xf numFmtId="3" fontId="73" fillId="0" borderId="0" xfId="52" applyNumberFormat="1" applyFont="1" applyFill="1" applyBorder="1" applyAlignment="1">
      <alignment horizontal="center"/>
    </xf>
    <xf numFmtId="0" fontId="75" fillId="0" borderId="0" xfId="62" applyFont="1"/>
    <xf numFmtId="0" fontId="76" fillId="0" borderId="0" xfId="63" applyFont="1"/>
    <xf numFmtId="0" fontId="75" fillId="0" borderId="0" xfId="62" applyFont="1" applyBorder="1"/>
    <xf numFmtId="0" fontId="77" fillId="0" borderId="0" xfId="62" applyFont="1" applyBorder="1" applyAlignment="1">
      <alignment horizontal="center"/>
    </xf>
    <xf numFmtId="0" fontId="77" fillId="0" borderId="0" xfId="62" applyFont="1" applyFill="1" applyBorder="1" applyAlignment="1">
      <alignment horizontal="center"/>
    </xf>
    <xf numFmtId="0" fontId="10" fillId="0" borderId="0" xfId="62" applyFont="1"/>
    <xf numFmtId="0" fontId="59" fillId="0" borderId="0" xfId="63"/>
    <xf numFmtId="0" fontId="75" fillId="0" borderId="21" xfId="62" applyFont="1" applyBorder="1"/>
    <xf numFmtId="0" fontId="79" fillId="0" borderId="0" xfId="63" applyFont="1"/>
    <xf numFmtId="3" fontId="75" fillId="0" borderId="22" xfId="64" applyNumberFormat="1" applyFont="1" applyBorder="1" applyAlignment="1">
      <alignment horizontal="center"/>
    </xf>
    <xf numFmtId="4" fontId="75" fillId="0" borderId="51" xfId="62" applyNumberFormat="1" applyFont="1" applyBorder="1" applyAlignment="1">
      <alignment horizontal="center"/>
    </xf>
    <xf numFmtId="3" fontId="75" fillId="0" borderId="23" xfId="64" applyNumberFormat="1" applyFont="1" applyBorder="1" applyAlignment="1">
      <alignment horizontal="left"/>
    </xf>
    <xf numFmtId="4" fontId="75" fillId="0" borderId="23" xfId="62" applyNumberFormat="1" applyFont="1" applyBorder="1" applyAlignment="1">
      <alignment horizontal="center"/>
    </xf>
    <xf numFmtId="3" fontId="75" fillId="0" borderId="23" xfId="62" applyNumberFormat="1" applyFont="1" applyBorder="1" applyAlignment="1">
      <alignment horizontal="center"/>
    </xf>
    <xf numFmtId="4" fontId="75" fillId="0" borderId="24" xfId="62" applyNumberFormat="1" applyFont="1" applyBorder="1" applyAlignment="1">
      <alignment horizontal="center"/>
    </xf>
    <xf numFmtId="3" fontId="75" fillId="0" borderId="24" xfId="62" applyNumberFormat="1" applyFont="1" applyFill="1" applyBorder="1" applyAlignment="1">
      <alignment horizontal="center"/>
    </xf>
    <xf numFmtId="4" fontId="80" fillId="0" borderId="22" xfId="62" applyNumberFormat="1" applyFont="1" applyBorder="1" applyAlignment="1">
      <alignment horizontal="center"/>
    </xf>
    <xf numFmtId="4" fontId="14" fillId="0" borderId="21" xfId="62" applyNumberFormat="1" applyFont="1" applyBorder="1" applyAlignment="1">
      <alignment horizontal="justify"/>
    </xf>
    <xf numFmtId="4" fontId="14" fillId="0" borderId="65" xfId="62" applyNumberFormat="1" applyFont="1" applyBorder="1" applyAlignment="1">
      <alignment horizontal="justify"/>
    </xf>
    <xf numFmtId="0" fontId="77" fillId="0" borderId="21" xfId="62" applyFont="1" applyBorder="1" applyAlignment="1">
      <alignment horizontal="center" vertical="center" wrapText="1"/>
    </xf>
    <xf numFmtId="4" fontId="14" fillId="0" borderId="65" xfId="62" applyNumberFormat="1" applyFont="1" applyFill="1" applyBorder="1" applyAlignment="1">
      <alignment horizontal="justify"/>
    </xf>
    <xf numFmtId="0" fontId="81" fillId="0" borderId="21" xfId="62" applyFont="1" applyBorder="1" applyAlignment="1">
      <alignment horizontal="center" vertical="center" wrapText="1"/>
    </xf>
    <xf numFmtId="0" fontId="14" fillId="0" borderId="0" xfId="62" applyFont="1" applyAlignment="1">
      <alignment horizontal="justify"/>
    </xf>
    <xf numFmtId="0" fontId="59" fillId="0" borderId="0" xfId="63" applyAlignment="1">
      <alignment horizontal="justify"/>
    </xf>
    <xf numFmtId="3" fontId="82" fillId="0" borderId="36" xfId="0" applyNumberFormat="1" applyFont="1" applyFill="1" applyBorder="1" applyAlignment="1">
      <alignment horizontal="left"/>
    </xf>
    <xf numFmtId="4" fontId="78" fillId="0" borderId="22" xfId="62" applyNumberFormat="1" applyFont="1" applyBorder="1"/>
    <xf numFmtId="3" fontId="78" fillId="0" borderId="51" xfId="62" applyNumberFormat="1" applyFont="1" applyBorder="1"/>
    <xf numFmtId="4" fontId="78" fillId="0" borderId="51" xfId="62" applyNumberFormat="1" applyFont="1" applyBorder="1"/>
    <xf numFmtId="3" fontId="78" fillId="0" borderId="51" xfId="62" applyNumberFormat="1" applyFont="1" applyFill="1" applyBorder="1"/>
    <xf numFmtId="0" fontId="14" fillId="0" borderId="0" xfId="62" applyFont="1"/>
    <xf numFmtId="3" fontId="82" fillId="0" borderId="40" xfId="0" applyNumberFormat="1" applyFont="1" applyFill="1" applyBorder="1" applyAlignment="1">
      <alignment horizontal="left"/>
    </xf>
    <xf numFmtId="4" fontId="78" fillId="0" borderId="40" xfId="62" applyNumberFormat="1" applyFont="1" applyBorder="1"/>
    <xf numFmtId="3" fontId="78" fillId="0" borderId="81" xfId="62" applyNumberFormat="1" applyFont="1" applyFill="1" applyBorder="1"/>
    <xf numFmtId="4" fontId="78" fillId="0" borderId="29" xfId="62" applyNumberFormat="1" applyFont="1" applyBorder="1"/>
    <xf numFmtId="4" fontId="78" fillId="0" borderId="81" xfId="62" applyNumberFormat="1" applyFont="1" applyBorder="1"/>
    <xf numFmtId="3" fontId="78" fillId="0" borderId="80" xfId="62" applyNumberFormat="1" applyFont="1" applyBorder="1"/>
    <xf numFmtId="3" fontId="78" fillId="0" borderId="81" xfId="62" applyNumberFormat="1" applyFont="1" applyBorder="1"/>
    <xf numFmtId="4" fontId="77" fillId="0" borderId="80" xfId="62" applyNumberFormat="1" applyFont="1" applyBorder="1"/>
    <xf numFmtId="4" fontId="78" fillId="0" borderId="80" xfId="62" applyNumberFormat="1" applyFont="1" applyBorder="1"/>
    <xf numFmtId="3" fontId="78" fillId="0" borderId="80" xfId="62" applyNumberFormat="1" applyFont="1" applyFill="1" applyBorder="1"/>
    <xf numFmtId="4" fontId="78" fillId="0" borderId="81" xfId="62" applyNumberFormat="1" applyFont="1" applyBorder="1" applyAlignment="1">
      <alignment horizontal="justify"/>
    </xf>
    <xf numFmtId="4" fontId="70" fillId="0" borderId="40" xfId="62" applyNumberFormat="1" applyFont="1" applyBorder="1"/>
    <xf numFmtId="3" fontId="78" fillId="0" borderId="40" xfId="62" applyNumberFormat="1" applyFont="1" applyBorder="1"/>
    <xf numFmtId="3" fontId="78" fillId="0" borderId="40" xfId="62" applyNumberFormat="1" applyFont="1" applyFill="1" applyBorder="1"/>
    <xf numFmtId="4" fontId="78" fillId="0" borderId="36" xfId="62" applyNumberFormat="1" applyFont="1" applyBorder="1"/>
    <xf numFmtId="4" fontId="78" fillId="0" borderId="79" xfId="62" applyNumberFormat="1" applyFont="1" applyBorder="1"/>
    <xf numFmtId="3" fontId="78" fillId="0" borderId="79" xfId="62" applyNumberFormat="1" applyFont="1" applyFill="1" applyBorder="1"/>
    <xf numFmtId="3" fontId="78" fillId="0" borderId="79" xfId="62" applyNumberFormat="1" applyFont="1" applyBorder="1"/>
    <xf numFmtId="3" fontId="82" fillId="0" borderId="22" xfId="0" applyNumberFormat="1" applyFont="1" applyFill="1" applyBorder="1" applyAlignment="1">
      <alignment horizontal="left"/>
    </xf>
    <xf numFmtId="4" fontId="70" fillId="0" borderId="23" xfId="62" applyNumberFormat="1" applyFont="1" applyBorder="1"/>
    <xf numFmtId="4" fontId="70" fillId="0" borderId="51" xfId="62" applyNumberFormat="1" applyFont="1" applyBorder="1"/>
    <xf numFmtId="4" fontId="75" fillId="0" borderId="24" xfId="62" applyNumberFormat="1" applyFont="1" applyBorder="1"/>
    <xf numFmtId="4" fontId="78" fillId="0" borderId="24" xfId="62" applyNumberFormat="1" applyFont="1" applyBorder="1"/>
    <xf numFmtId="3" fontId="78" fillId="0" borderId="24" xfId="62" applyNumberFormat="1" applyFont="1" applyBorder="1"/>
    <xf numFmtId="3" fontId="78" fillId="0" borderId="24" xfId="62" applyNumberFormat="1" applyFont="1" applyFill="1" applyBorder="1"/>
    <xf numFmtId="4" fontId="75" fillId="0" borderId="24" xfId="62" applyNumberFormat="1" applyFont="1" applyFill="1" applyBorder="1"/>
    <xf numFmtId="4" fontId="78" fillId="0" borderId="22" xfId="62" applyNumberFormat="1" applyFont="1" applyFill="1" applyBorder="1"/>
    <xf numFmtId="4" fontId="78" fillId="0" borderId="51" xfId="62" applyNumberFormat="1" applyFont="1" applyFill="1" applyBorder="1"/>
    <xf numFmtId="4" fontId="78" fillId="0" borderId="79" xfId="62" applyNumberFormat="1" applyFont="1" applyFill="1" applyBorder="1"/>
    <xf numFmtId="4" fontId="78" fillId="0" borderId="81" xfId="62" applyNumberFormat="1" applyFont="1" applyFill="1" applyBorder="1"/>
    <xf numFmtId="0" fontId="14" fillId="0" borderId="0" xfId="62" applyFont="1" applyFill="1"/>
    <xf numFmtId="0" fontId="59" fillId="0" borderId="0" xfId="63" applyFill="1"/>
    <xf numFmtId="4" fontId="78" fillId="0" borderId="43" xfId="62" applyNumberFormat="1" applyFont="1" applyBorder="1"/>
    <xf numFmtId="3" fontId="78" fillId="0" borderId="43" xfId="62" applyNumberFormat="1" applyFont="1" applyBorder="1"/>
    <xf numFmtId="3" fontId="78" fillId="0" borderId="43" xfId="62" applyNumberFormat="1" applyFont="1" applyFill="1" applyBorder="1"/>
    <xf numFmtId="4" fontId="80" fillId="0" borderId="21" xfId="62" applyNumberFormat="1" applyFont="1" applyBorder="1" applyAlignment="1">
      <alignment horizontal="center"/>
    </xf>
    <xf numFmtId="4" fontId="78" fillId="0" borderId="21" xfId="62" applyNumberFormat="1" applyFont="1" applyBorder="1"/>
    <xf numFmtId="4" fontId="78" fillId="0" borderId="0" xfId="62" applyNumberFormat="1" applyFont="1" applyBorder="1"/>
    <xf numFmtId="3" fontId="78" fillId="0" borderId="36" xfId="62" applyNumberFormat="1" applyFont="1" applyBorder="1"/>
    <xf numFmtId="3" fontId="78" fillId="0" borderId="0" xfId="62" applyNumberFormat="1" applyFont="1" applyBorder="1"/>
    <xf numFmtId="3" fontId="78" fillId="0" borderId="61" xfId="62" applyNumberFormat="1" applyFont="1" applyBorder="1"/>
    <xf numFmtId="4" fontId="78" fillId="0" borderId="36" xfId="62" applyNumberFormat="1" applyFont="1" applyFill="1" applyBorder="1"/>
    <xf numFmtId="4" fontId="78" fillId="0" borderId="58" xfId="62" applyNumberFormat="1" applyFont="1" applyBorder="1"/>
    <xf numFmtId="3" fontId="82" fillId="0" borderId="26" xfId="0" applyNumberFormat="1" applyFont="1" applyFill="1" applyBorder="1" applyAlignment="1">
      <alignment horizontal="left"/>
    </xf>
    <xf numFmtId="4" fontId="78" fillId="0" borderId="26" xfId="62" applyNumberFormat="1" applyFont="1" applyBorder="1"/>
    <xf numFmtId="4" fontId="78" fillId="0" borderId="65" xfId="62" applyNumberFormat="1" applyFont="1" applyBorder="1"/>
    <xf numFmtId="4" fontId="78" fillId="0" borderId="65" xfId="62" applyNumberFormat="1" applyFont="1" applyFill="1" applyBorder="1"/>
    <xf numFmtId="3" fontId="82" fillId="0" borderId="25" xfId="0" applyNumberFormat="1" applyFont="1" applyFill="1" applyBorder="1" applyAlignment="1">
      <alignment horizontal="left"/>
    </xf>
    <xf numFmtId="3" fontId="70" fillId="0" borderId="51" xfId="62" applyNumberFormat="1" applyFont="1" applyBorder="1"/>
    <xf numFmtId="3" fontId="82" fillId="0" borderId="36" xfId="0" applyNumberFormat="1" applyFont="1" applyFill="1" applyBorder="1" applyAlignment="1" applyProtection="1">
      <alignment wrapText="1"/>
    </xf>
    <xf numFmtId="3" fontId="82" fillId="0" borderId="29" xfId="0" applyNumberFormat="1" applyFont="1" applyFill="1" applyBorder="1" applyAlignment="1">
      <alignment horizontal="left" wrapText="1"/>
    </xf>
    <xf numFmtId="4" fontId="78" fillId="0" borderId="50" xfId="62" applyNumberFormat="1" applyFont="1" applyBorder="1"/>
    <xf numFmtId="3" fontId="78" fillId="0" borderId="50" xfId="62" applyNumberFormat="1" applyFont="1" applyFill="1" applyBorder="1"/>
    <xf numFmtId="3" fontId="78" fillId="0" borderId="50" xfId="62" applyNumberFormat="1" applyFont="1" applyBorder="1"/>
    <xf numFmtId="4" fontId="75" fillId="0" borderId="23" xfId="62" applyNumberFormat="1" applyFont="1" applyBorder="1"/>
    <xf numFmtId="4" fontId="78" fillId="0" borderId="66" xfId="62" applyNumberFormat="1" applyFont="1" applyBorder="1"/>
    <xf numFmtId="3" fontId="78" fillId="0" borderId="66" xfId="62" applyNumberFormat="1" applyFont="1" applyBorder="1"/>
    <xf numFmtId="3" fontId="78" fillId="0" borderId="66" xfId="62" applyNumberFormat="1" applyFont="1" applyFill="1" applyBorder="1"/>
    <xf numFmtId="3" fontId="82" fillId="0" borderId="67" xfId="0" applyNumberFormat="1" applyFont="1" applyFill="1" applyBorder="1" applyAlignment="1">
      <alignment horizontal="left"/>
    </xf>
    <xf numFmtId="4" fontId="70" fillId="0" borderId="67" xfId="62" applyNumberFormat="1" applyFont="1" applyBorder="1"/>
    <xf numFmtId="4" fontId="78" fillId="0" borderId="67" xfId="62" applyNumberFormat="1" applyFont="1" applyBorder="1"/>
    <xf numFmtId="4" fontId="78" fillId="0" borderId="87" xfId="62" applyNumberFormat="1" applyFont="1" applyBorder="1"/>
    <xf numFmtId="0" fontId="82" fillId="0" borderId="40" xfId="0" applyFont="1" applyBorder="1" applyAlignment="1">
      <alignment horizontal="left"/>
    </xf>
    <xf numFmtId="3" fontId="78" fillId="0" borderId="26" xfId="62" applyNumberFormat="1" applyFont="1" applyBorder="1"/>
    <xf numFmtId="3" fontId="78" fillId="0" borderId="26" xfId="62" applyNumberFormat="1" applyFont="1" applyFill="1" applyBorder="1"/>
    <xf numFmtId="3" fontId="84" fillId="29" borderId="14" xfId="65" applyNumberFormat="1" applyFont="1" applyFill="1" applyBorder="1" applyAlignment="1">
      <alignment horizontal="center"/>
    </xf>
    <xf numFmtId="4" fontId="85" fillId="29" borderId="24" xfId="65" applyNumberFormat="1" applyFont="1" applyFill="1" applyBorder="1" applyAlignment="1">
      <alignment horizontal="right"/>
    </xf>
    <xf numFmtId="3" fontId="78" fillId="29" borderId="24" xfId="65" applyNumberFormat="1" applyFont="1" applyFill="1" applyBorder="1" applyAlignment="1">
      <alignment horizontal="right"/>
    </xf>
    <xf numFmtId="3" fontId="78" fillId="29" borderId="23" xfId="65" applyNumberFormat="1" applyFont="1" applyFill="1" applyBorder="1" applyAlignment="1">
      <alignment horizontal="right"/>
    </xf>
    <xf numFmtId="3" fontId="78" fillId="0" borderId="23" xfId="65" applyNumberFormat="1" applyFont="1" applyFill="1" applyBorder="1" applyAlignment="1">
      <alignment horizontal="right"/>
    </xf>
    <xf numFmtId="0" fontId="14" fillId="29" borderId="0" xfId="62" applyFont="1" applyFill="1"/>
    <xf numFmtId="0" fontId="10" fillId="0" borderId="0" xfId="62" applyFont="1" applyFill="1"/>
    <xf numFmtId="0" fontId="4" fillId="0" borderId="0" xfId="66" applyFont="1" applyBorder="1"/>
    <xf numFmtId="0" fontId="4" fillId="0" borderId="0" xfId="66" applyFont="1" applyAlignment="1">
      <alignment horizontal="center"/>
    </xf>
    <xf numFmtId="0" fontId="4" fillId="0" borderId="0" xfId="66" applyFont="1" applyFill="1" applyBorder="1"/>
    <xf numFmtId="0" fontId="4" fillId="0" borderId="0" xfId="66" applyFont="1"/>
    <xf numFmtId="0" fontId="4" fillId="0" borderId="0" xfId="66" applyFont="1" applyFill="1" applyBorder="1" applyAlignment="1">
      <alignment horizontal="right"/>
    </xf>
    <xf numFmtId="0" fontId="3" fillId="0" borderId="10" xfId="66" applyFont="1" applyBorder="1" applyAlignment="1">
      <alignment horizontal="center"/>
    </xf>
    <xf numFmtId="0" fontId="3" fillId="0" borderId="21" xfId="66" applyFont="1" applyFill="1" applyBorder="1" applyAlignment="1">
      <alignment horizontal="center"/>
    </xf>
    <xf numFmtId="0" fontId="3" fillId="0" borderId="21" xfId="66" applyFont="1" applyBorder="1" applyAlignment="1">
      <alignment horizontal="center"/>
    </xf>
    <xf numFmtId="0" fontId="4" fillId="0" borderId="11" xfId="66" applyFont="1" applyBorder="1"/>
    <xf numFmtId="3" fontId="3" fillId="0" borderId="22" xfId="67" applyNumberFormat="1" applyFont="1" applyFill="1" applyBorder="1" applyAlignment="1">
      <alignment horizontal="center"/>
    </xf>
    <xf numFmtId="3" fontId="3" fillId="0" borderId="22" xfId="67" applyNumberFormat="1" applyFont="1" applyBorder="1" applyAlignment="1">
      <alignment horizontal="center"/>
    </xf>
    <xf numFmtId="0" fontId="4" fillId="0" borderId="14" xfId="66" applyFont="1" applyBorder="1"/>
    <xf numFmtId="14" fontId="3" fillId="0" borderId="23" xfId="67" applyNumberFormat="1" applyFont="1" applyFill="1" applyBorder="1" applyAlignment="1">
      <alignment horizontal="center"/>
    </xf>
    <xf numFmtId="14" fontId="3" fillId="0" borderId="23" xfId="67" applyNumberFormat="1" applyFont="1" applyBorder="1" applyAlignment="1">
      <alignment horizontal="center"/>
    </xf>
    <xf numFmtId="0" fontId="5" fillId="0" borderId="11" xfId="66" applyFont="1" applyBorder="1"/>
    <xf numFmtId="3" fontId="41" fillId="0" borderId="21" xfId="67" applyNumberFormat="1" applyFont="1" applyFill="1" applyBorder="1" applyAlignment="1">
      <alignment horizontal="right"/>
    </xf>
    <xf numFmtId="3" fontId="41" fillId="0" borderId="21" xfId="67" applyNumberFormat="1" applyFont="1" applyBorder="1" applyAlignment="1">
      <alignment horizontal="right"/>
    </xf>
    <xf numFmtId="0" fontId="4" fillId="32" borderId="34" xfId="66" applyFont="1" applyFill="1" applyBorder="1" applyAlignment="1">
      <alignment horizontal="justify"/>
    </xf>
    <xf numFmtId="3" fontId="41" fillId="32" borderId="36" xfId="66" applyNumberFormat="1" applyFont="1" applyFill="1" applyBorder="1" applyAlignment="1">
      <alignment horizontal="right"/>
    </xf>
    <xf numFmtId="0" fontId="4" fillId="32" borderId="11" xfId="66" applyFont="1" applyFill="1" applyBorder="1" applyAlignment="1">
      <alignment horizontal="justify"/>
    </xf>
    <xf numFmtId="3" fontId="41" fillId="32" borderId="22" xfId="66" applyNumberFormat="1" applyFont="1" applyFill="1" applyBorder="1" applyAlignment="1">
      <alignment horizontal="right"/>
    </xf>
    <xf numFmtId="0" fontId="3" fillId="0" borderId="13" xfId="66" applyFont="1" applyFill="1" applyBorder="1" applyAlignment="1">
      <alignment horizontal="justify"/>
    </xf>
    <xf numFmtId="3" fontId="14" fillId="0" borderId="24" xfId="66" applyNumberFormat="1" applyFont="1" applyFill="1" applyBorder="1" applyAlignment="1">
      <alignment horizontal="right"/>
    </xf>
    <xf numFmtId="3" fontId="4" fillId="0" borderId="0" xfId="66" applyNumberFormat="1" applyFont="1" applyBorder="1"/>
    <xf numFmtId="0" fontId="3" fillId="0" borderId="0" xfId="66" applyFont="1" applyBorder="1"/>
    <xf numFmtId="0" fontId="5" fillId="0" borderId="10" xfId="66" applyFont="1" applyBorder="1" applyAlignment="1">
      <alignment horizontal="justify"/>
    </xf>
    <xf numFmtId="3" fontId="41" fillId="0" borderId="21" xfId="66" applyNumberFormat="1" applyFont="1" applyFill="1" applyBorder="1" applyAlignment="1">
      <alignment horizontal="right"/>
    </xf>
    <xf numFmtId="0" fontId="25" fillId="0" borderId="11" xfId="66" applyFont="1" applyBorder="1" applyAlignment="1">
      <alignment horizontal="justify"/>
    </xf>
    <xf numFmtId="3" fontId="41" fillId="0" borderId="22" xfId="66" applyNumberFormat="1" applyFont="1" applyFill="1" applyBorder="1" applyAlignment="1">
      <alignment horizontal="right"/>
    </xf>
    <xf numFmtId="0" fontId="4" fillId="0" borderId="34" xfId="66" applyFont="1" applyFill="1" applyBorder="1" applyAlignment="1">
      <alignment horizontal="left"/>
    </xf>
    <xf numFmtId="3" fontId="41" fillId="0" borderId="36" xfId="66" applyNumberFormat="1" applyFont="1" applyFill="1" applyBorder="1" applyAlignment="1">
      <alignment horizontal="right"/>
    </xf>
    <xf numFmtId="0" fontId="4" fillId="0" borderId="34" xfId="66" applyFont="1" applyFill="1" applyBorder="1" applyAlignment="1">
      <alignment horizontal="justify"/>
    </xf>
    <xf numFmtId="0" fontId="4" fillId="0" borderId="40" xfId="66" applyNumberFormat="1" applyFont="1" applyFill="1" applyBorder="1" applyAlignment="1">
      <alignment vertical="top" wrapText="1"/>
    </xf>
    <xf numFmtId="0" fontId="25" fillId="0" borderId="34" xfId="66" applyFont="1" applyFill="1" applyBorder="1" applyAlignment="1">
      <alignment horizontal="justify"/>
    </xf>
    <xf numFmtId="0" fontId="25" fillId="0" borderId="34" xfId="66" applyFont="1" applyFill="1" applyBorder="1" applyAlignment="1"/>
    <xf numFmtId="0" fontId="13" fillId="32" borderId="13" xfId="66" applyFont="1" applyFill="1" applyBorder="1" applyAlignment="1">
      <alignment horizontal="justify"/>
    </xf>
    <xf numFmtId="3" fontId="14" fillId="32" borderId="24" xfId="66" applyNumberFormat="1" applyFont="1" applyFill="1" applyBorder="1" applyAlignment="1">
      <alignment horizontal="right"/>
    </xf>
    <xf numFmtId="0" fontId="5" fillId="0" borderId="21" xfId="66" applyFont="1" applyBorder="1" applyAlignment="1">
      <alignment horizontal="justify"/>
    </xf>
    <xf numFmtId="3" fontId="14" fillId="0" borderId="21" xfId="66" applyNumberFormat="1" applyFont="1" applyFill="1" applyBorder="1" applyAlignment="1">
      <alignment horizontal="right"/>
    </xf>
    <xf numFmtId="0" fontId="5" fillId="32" borderId="22" xfId="66" applyFont="1" applyFill="1" applyBorder="1" applyAlignment="1">
      <alignment horizontal="justify"/>
    </xf>
    <xf numFmtId="3" fontId="14" fillId="32" borderId="22" xfId="66" applyNumberFormat="1" applyFont="1" applyFill="1" applyBorder="1" applyAlignment="1">
      <alignment horizontal="right"/>
    </xf>
    <xf numFmtId="3" fontId="44" fillId="32" borderId="22" xfId="66" applyNumberFormat="1" applyFont="1" applyFill="1" applyBorder="1" applyAlignment="1">
      <alignment horizontal="right"/>
    </xf>
    <xf numFmtId="0" fontId="23" fillId="0" borderId="22" xfId="66" applyFont="1" applyFill="1" applyBorder="1" applyAlignment="1">
      <alignment horizontal="justify"/>
    </xf>
    <xf numFmtId="3" fontId="14" fillId="0" borderId="22" xfId="66" applyNumberFormat="1" applyFont="1" applyFill="1" applyBorder="1" applyAlignment="1">
      <alignment horizontal="right"/>
    </xf>
    <xf numFmtId="0" fontId="4" fillId="0" borderId="36" xfId="66" applyFont="1" applyFill="1" applyBorder="1" applyAlignment="1">
      <alignment horizontal="justify"/>
    </xf>
    <xf numFmtId="0" fontId="4" fillId="0" borderId="58" xfId="66" applyFont="1" applyFill="1" applyBorder="1" applyAlignment="1">
      <alignment horizontal="justify"/>
    </xf>
    <xf numFmtId="3" fontId="4" fillId="0" borderId="0" xfId="66" applyNumberFormat="1" applyFont="1" applyFill="1" applyBorder="1"/>
    <xf numFmtId="0" fontId="3" fillId="32" borderId="11" xfId="66" applyFont="1" applyFill="1" applyBorder="1" applyAlignment="1">
      <alignment horizontal="justify"/>
    </xf>
    <xf numFmtId="3" fontId="44" fillId="32" borderId="36" xfId="66" applyNumberFormat="1" applyFont="1" applyFill="1" applyBorder="1" applyAlignment="1">
      <alignment horizontal="right"/>
    </xf>
    <xf numFmtId="0" fontId="23" fillId="0" borderId="44" xfId="66" applyFont="1" applyFill="1" applyBorder="1" applyAlignment="1">
      <alignment horizontal="justify"/>
    </xf>
    <xf numFmtId="3" fontId="41" fillId="0" borderId="40" xfId="66" applyNumberFormat="1" applyFont="1" applyFill="1" applyBorder="1" applyAlignment="1">
      <alignment horizontal="right"/>
    </xf>
    <xf numFmtId="0" fontId="13" fillId="0" borderId="44" xfId="66" applyFont="1" applyFill="1" applyBorder="1" applyAlignment="1">
      <alignment horizontal="justify"/>
    </xf>
    <xf numFmtId="0" fontId="13" fillId="0" borderId="34" xfId="66" applyFont="1" applyFill="1" applyBorder="1" applyAlignment="1">
      <alignment horizontal="justify"/>
    </xf>
    <xf numFmtId="3" fontId="44" fillId="32" borderId="40" xfId="66" applyNumberFormat="1" applyFont="1" applyFill="1" applyBorder="1" applyAlignment="1">
      <alignment horizontal="right"/>
    </xf>
    <xf numFmtId="0" fontId="3" fillId="32" borderId="12" xfId="66" applyFont="1" applyFill="1" applyBorder="1" applyAlignment="1">
      <alignment horizontal="left" wrapText="1"/>
    </xf>
    <xf numFmtId="3" fontId="44" fillId="32" borderId="26" xfId="66" applyNumberFormat="1" applyFont="1" applyFill="1" applyBorder="1" applyAlignment="1">
      <alignment horizontal="right"/>
    </xf>
    <xf numFmtId="3" fontId="44" fillId="32" borderId="23" xfId="66" applyNumberFormat="1" applyFont="1" applyFill="1" applyBorder="1" applyAlignment="1">
      <alignment horizontal="right"/>
    </xf>
    <xf numFmtId="0" fontId="3" fillId="32" borderId="14" xfId="66" applyFont="1" applyFill="1" applyBorder="1" applyAlignment="1">
      <alignment horizontal="left" wrapText="1"/>
    </xf>
    <xf numFmtId="0" fontId="5" fillId="33" borderId="13" xfId="66" applyFont="1" applyFill="1" applyBorder="1" applyAlignment="1">
      <alignment horizontal="justify"/>
    </xf>
    <xf numFmtId="3" fontId="42" fillId="34" borderId="24" xfId="66" applyNumberFormat="1" applyFont="1" applyFill="1" applyBorder="1" applyAlignment="1">
      <alignment horizontal="right"/>
    </xf>
    <xf numFmtId="0" fontId="14" fillId="33" borderId="14" xfId="66" applyFont="1" applyFill="1" applyBorder="1" applyAlignment="1">
      <alignment horizontal="justify"/>
    </xf>
    <xf numFmtId="3" fontId="42" fillId="33" borderId="24" xfId="66" applyNumberFormat="1" applyFont="1" applyFill="1" applyBorder="1" applyAlignment="1">
      <alignment horizontal="right"/>
    </xf>
    <xf numFmtId="0" fontId="11" fillId="0" borderId="0" xfId="66" applyFont="1" applyFill="1" applyBorder="1"/>
    <xf numFmtId="0" fontId="4" fillId="0" borderId="0" xfId="66" applyFont="1" applyFill="1"/>
    <xf numFmtId="0" fontId="4" fillId="0" borderId="0" xfId="66" applyFont="1" applyFill="1" applyAlignment="1">
      <alignment wrapText="1"/>
    </xf>
    <xf numFmtId="0" fontId="11" fillId="0" borderId="0" xfId="66" applyFont="1" applyFill="1"/>
    <xf numFmtId="3" fontId="11" fillId="0" borderId="0" xfId="66" applyNumberFormat="1" applyFont="1" applyFill="1" applyBorder="1"/>
    <xf numFmtId="3" fontId="10" fillId="0" borderId="0" xfId="66" applyNumberFormat="1" applyFont="1" applyFill="1" applyBorder="1"/>
    <xf numFmtId="3" fontId="62" fillId="0" borderId="0" xfId="66" applyNumberFormat="1" applyFont="1" applyFill="1" applyBorder="1"/>
    <xf numFmtId="0" fontId="53" fillId="0" borderId="0" xfId="0" applyFont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3" fontId="63" fillId="0" borderId="14" xfId="52" applyNumberFormat="1" applyFont="1" applyFill="1" applyBorder="1" applyAlignment="1">
      <alignment horizontal="center"/>
    </xf>
    <xf numFmtId="3" fontId="63" fillId="0" borderId="15" xfId="52" applyNumberFormat="1" applyFont="1" applyFill="1" applyBorder="1" applyAlignment="1">
      <alignment horizontal="center"/>
    </xf>
    <xf numFmtId="3" fontId="63" fillId="0" borderId="66" xfId="52" applyNumberFormat="1" applyFont="1" applyFill="1" applyBorder="1" applyAlignment="1">
      <alignment horizontal="center"/>
    </xf>
    <xf numFmtId="3" fontId="63" fillId="0" borderId="13" xfId="52" applyNumberFormat="1" applyFont="1" applyFill="1" applyBorder="1" applyAlignment="1">
      <alignment horizontal="center"/>
    </xf>
    <xf numFmtId="3" fontId="63" fillId="0" borderId="20" xfId="52" applyNumberFormat="1" applyFont="1" applyFill="1" applyBorder="1" applyAlignment="1">
      <alignment horizontal="center"/>
    </xf>
    <xf numFmtId="3" fontId="63" fillId="0" borderId="43" xfId="52" applyNumberFormat="1" applyFont="1" applyFill="1" applyBorder="1" applyAlignment="1">
      <alignment horizontal="center"/>
    </xf>
    <xf numFmtId="3" fontId="63" fillId="0" borderId="10" xfId="52" applyNumberFormat="1" applyFont="1" applyFill="1" applyBorder="1" applyAlignment="1">
      <alignment horizontal="center" wrapText="1"/>
    </xf>
    <xf numFmtId="3" fontId="63" fillId="0" borderId="19" xfId="52" applyNumberFormat="1" applyFont="1" applyFill="1" applyBorder="1" applyAlignment="1">
      <alignment horizontal="center" wrapText="1"/>
    </xf>
    <xf numFmtId="3" fontId="63" fillId="0" borderId="65" xfId="52" applyNumberFormat="1" applyFont="1" applyFill="1" applyBorder="1" applyAlignment="1">
      <alignment horizontal="center" wrapText="1"/>
    </xf>
    <xf numFmtId="3" fontId="63" fillId="0" borderId="0" xfId="52" applyNumberFormat="1" applyFont="1" applyFill="1" applyAlignment="1">
      <alignment horizontal="center"/>
    </xf>
    <xf numFmtId="0" fontId="63" fillId="0" borderId="0" xfId="52" applyFont="1" applyAlignment="1">
      <alignment horizontal="center"/>
    </xf>
    <xf numFmtId="3" fontId="63" fillId="0" borderId="10" xfId="52" applyNumberFormat="1" applyFont="1" applyFill="1" applyBorder="1" applyAlignment="1">
      <alignment horizontal="center"/>
    </xf>
    <xf numFmtId="3" fontId="63" fillId="0" borderId="19" xfId="52" applyNumberFormat="1" applyFont="1" applyFill="1" applyBorder="1" applyAlignment="1">
      <alignment horizontal="center"/>
    </xf>
    <xf numFmtId="3" fontId="63" fillId="0" borderId="65" xfId="52" applyNumberFormat="1" applyFont="1" applyFill="1" applyBorder="1" applyAlignment="1">
      <alignment horizontal="center"/>
    </xf>
    <xf numFmtId="0" fontId="3" fillId="0" borderId="0" xfId="66" applyFont="1" applyAlignment="1">
      <alignment horizontal="center"/>
    </xf>
    <xf numFmtId="3" fontId="63" fillId="0" borderId="21" xfId="52" applyNumberFormat="1" applyFont="1" applyFill="1" applyBorder="1" applyAlignment="1">
      <alignment horizontal="center" vertical="center"/>
    </xf>
    <xf numFmtId="3" fontId="63" fillId="0" borderId="22" xfId="52" applyNumberFormat="1" applyFont="1" applyFill="1" applyBorder="1" applyAlignment="1">
      <alignment horizontal="center" vertical="center"/>
    </xf>
    <xf numFmtId="3" fontId="69" fillId="0" borderId="10" xfId="52" applyNumberFormat="1" applyFont="1" applyFill="1" applyBorder="1" applyAlignment="1">
      <alignment horizontal="center" vertical="center" wrapText="1"/>
    </xf>
    <xf numFmtId="3" fontId="69" fillId="0" borderId="19" xfId="52" applyNumberFormat="1" applyFont="1" applyFill="1" applyBorder="1" applyAlignment="1">
      <alignment horizontal="center" vertical="center" wrapText="1"/>
    </xf>
    <xf numFmtId="3" fontId="69" fillId="0" borderId="65" xfId="52" applyNumberFormat="1" applyFont="1" applyFill="1" applyBorder="1" applyAlignment="1">
      <alignment horizontal="center" vertical="center" wrapText="1"/>
    </xf>
    <xf numFmtId="3" fontId="69" fillId="0" borderId="11" xfId="52" applyNumberFormat="1" applyFont="1" applyFill="1" applyBorder="1" applyAlignment="1">
      <alignment horizontal="center" vertical="center" wrapText="1"/>
    </xf>
    <xf numFmtId="3" fontId="69" fillId="0" borderId="0" xfId="52" applyNumberFormat="1" applyFont="1" applyFill="1" applyBorder="1" applyAlignment="1">
      <alignment horizontal="center" vertical="center" wrapText="1"/>
    </xf>
    <xf numFmtId="3" fontId="69" fillId="0" borderId="51" xfId="52" applyNumberFormat="1" applyFont="1" applyFill="1" applyBorder="1" applyAlignment="1">
      <alignment horizontal="center" vertical="center" wrapText="1"/>
    </xf>
    <xf numFmtId="3" fontId="69" fillId="0" borderId="14" xfId="52" applyNumberFormat="1" applyFont="1" applyFill="1" applyBorder="1" applyAlignment="1">
      <alignment horizontal="center" vertical="center" wrapText="1"/>
    </xf>
    <xf numFmtId="3" fontId="69" fillId="0" borderId="15" xfId="52" applyNumberFormat="1" applyFont="1" applyFill="1" applyBorder="1" applyAlignment="1">
      <alignment horizontal="center" vertical="center" wrapText="1"/>
    </xf>
    <xf numFmtId="3" fontId="69" fillId="0" borderId="66" xfId="52" applyNumberFormat="1" applyFont="1" applyFill="1" applyBorder="1" applyAlignment="1">
      <alignment horizontal="center" vertical="center" wrapText="1"/>
    </xf>
    <xf numFmtId="3" fontId="69" fillId="0" borderId="10" xfId="52" applyNumberFormat="1" applyFont="1" applyFill="1" applyBorder="1" applyAlignment="1">
      <alignment horizontal="center" vertical="center"/>
    </xf>
    <xf numFmtId="3" fontId="69" fillId="0" borderId="19" xfId="52" applyNumberFormat="1" applyFont="1" applyFill="1" applyBorder="1" applyAlignment="1">
      <alignment horizontal="center" vertical="center"/>
    </xf>
    <xf numFmtId="3" fontId="69" fillId="0" borderId="65" xfId="52" applyNumberFormat="1" applyFont="1" applyFill="1" applyBorder="1" applyAlignment="1">
      <alignment horizontal="center" vertical="center"/>
    </xf>
    <xf numFmtId="3" fontId="69" fillId="0" borderId="11" xfId="52" applyNumberFormat="1" applyFont="1" applyFill="1" applyBorder="1" applyAlignment="1">
      <alignment horizontal="center" vertical="center"/>
    </xf>
    <xf numFmtId="3" fontId="69" fillId="0" borderId="0" xfId="52" applyNumberFormat="1" applyFont="1" applyFill="1" applyBorder="1" applyAlignment="1">
      <alignment horizontal="center" vertical="center"/>
    </xf>
    <xf numFmtId="3" fontId="69" fillId="0" borderId="51" xfId="52" applyNumberFormat="1" applyFont="1" applyFill="1" applyBorder="1" applyAlignment="1">
      <alignment horizontal="center" vertical="center"/>
    </xf>
    <xf numFmtId="3" fontId="69" fillId="0" borderId="14" xfId="52" applyNumberFormat="1" applyFont="1" applyFill="1" applyBorder="1" applyAlignment="1">
      <alignment horizontal="center" vertical="center"/>
    </xf>
    <xf numFmtId="3" fontId="69" fillId="0" borderId="15" xfId="52" applyNumberFormat="1" applyFont="1" applyFill="1" applyBorder="1" applyAlignment="1">
      <alignment horizontal="center" vertical="center"/>
    </xf>
    <xf numFmtId="3" fontId="69" fillId="0" borderId="66" xfId="52" applyNumberFormat="1" applyFont="1" applyFill="1" applyBorder="1" applyAlignment="1">
      <alignment horizontal="center" vertical="center"/>
    </xf>
    <xf numFmtId="3" fontId="69" fillId="0" borderId="0" xfId="52" applyNumberFormat="1" applyFont="1" applyFill="1" applyBorder="1" applyAlignment="1">
      <alignment horizontal="center"/>
    </xf>
    <xf numFmtId="3" fontId="75" fillId="0" borderId="13" xfId="62" applyNumberFormat="1" applyFont="1" applyBorder="1" applyAlignment="1">
      <alignment horizontal="center" vertical="center" wrapText="1"/>
    </xf>
    <xf numFmtId="3" fontId="75" fillId="0" borderId="20" xfId="62" applyNumberFormat="1" applyFont="1" applyBorder="1" applyAlignment="1">
      <alignment horizontal="center" vertical="center" wrapText="1"/>
    </xf>
    <xf numFmtId="3" fontId="75" fillId="0" borderId="13" xfId="62" applyNumberFormat="1" applyFont="1" applyBorder="1" applyAlignment="1">
      <alignment horizontal="center"/>
    </xf>
    <xf numFmtId="3" fontId="75" fillId="0" borderId="20" xfId="62" applyNumberFormat="1" applyFont="1" applyBorder="1" applyAlignment="1">
      <alignment horizontal="center"/>
    </xf>
    <xf numFmtId="4" fontId="75" fillId="0" borderId="13" xfId="62" applyNumberFormat="1" applyFont="1" applyBorder="1" applyAlignment="1">
      <alignment horizontal="center"/>
    </xf>
    <xf numFmtId="4" fontId="75" fillId="0" borderId="43" xfId="62" applyNumberFormat="1" applyFont="1" applyBorder="1" applyAlignment="1">
      <alignment horizontal="center"/>
    </xf>
    <xf numFmtId="4" fontId="75" fillId="0" borderId="20" xfId="62" applyNumberFormat="1" applyFont="1" applyBorder="1" applyAlignment="1">
      <alignment horizontal="center"/>
    </xf>
    <xf numFmtId="4" fontId="75" fillId="0" borderId="13" xfId="62" applyNumberFormat="1" applyFont="1" applyBorder="1" applyAlignment="1">
      <alignment horizontal="center" wrapText="1"/>
    </xf>
    <xf numFmtId="4" fontId="75" fillId="0" borderId="43" xfId="62" applyNumberFormat="1" applyFont="1" applyBorder="1" applyAlignment="1">
      <alignment horizontal="center" wrapText="1"/>
    </xf>
    <xf numFmtId="0" fontId="74" fillId="0" borderId="0" xfId="62" applyFont="1" applyAlignment="1">
      <alignment horizontal="center"/>
    </xf>
    <xf numFmtId="0" fontId="74" fillId="0" borderId="0" xfId="62" applyFont="1" applyBorder="1" applyAlignment="1">
      <alignment horizontal="center"/>
    </xf>
    <xf numFmtId="0" fontId="77" fillId="0" borderId="15" xfId="62" applyFont="1" applyBorder="1" applyAlignment="1">
      <alignment horizontal="center"/>
    </xf>
    <xf numFmtId="0" fontId="78" fillId="29" borderId="13" xfId="62" applyFont="1" applyFill="1" applyBorder="1" applyAlignment="1">
      <alignment horizontal="center" vertical="center"/>
    </xf>
    <xf numFmtId="0" fontId="78" fillId="29" borderId="20" xfId="62" applyFont="1" applyFill="1" applyBorder="1" applyAlignment="1">
      <alignment horizontal="center" vertical="center"/>
    </xf>
    <xf numFmtId="0" fontId="78" fillId="29" borderId="43" xfId="62" applyFont="1" applyFill="1" applyBorder="1" applyAlignment="1">
      <alignment horizontal="center" vertical="center"/>
    </xf>
    <xf numFmtId="0" fontId="75" fillId="0" borderId="10" xfId="62" applyFont="1" applyBorder="1" applyAlignment="1">
      <alignment horizontal="center" wrapText="1"/>
    </xf>
    <xf numFmtId="0" fontId="75" fillId="0" borderId="65" xfId="62" applyFont="1" applyBorder="1" applyAlignment="1">
      <alignment horizontal="center" wrapText="1"/>
    </xf>
    <xf numFmtId="0" fontId="75" fillId="0" borderId="14" xfId="62" applyFont="1" applyBorder="1" applyAlignment="1">
      <alignment horizontal="center" wrapText="1"/>
    </xf>
    <xf numFmtId="0" fontId="75" fillId="0" borderId="66" xfId="62" applyFont="1" applyBorder="1" applyAlignment="1">
      <alignment horizontal="center" wrapText="1"/>
    </xf>
    <xf numFmtId="0" fontId="3" fillId="0" borderId="1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2" xfId="54" applyFont="1" applyFill="1" applyBorder="1" applyAlignment="1">
      <alignment horizontal="left"/>
    </xf>
    <xf numFmtId="0" fontId="3" fillId="0" borderId="16" xfId="54" applyFont="1" applyFill="1" applyBorder="1" applyAlignment="1">
      <alignment horizontal="left"/>
    </xf>
    <xf numFmtId="0" fontId="3" fillId="0" borderId="58" xfId="54" applyFont="1" applyFill="1" applyBorder="1" applyAlignment="1">
      <alignment horizontal="left"/>
    </xf>
    <xf numFmtId="0" fontId="3" fillId="0" borderId="61" xfId="54" applyFont="1" applyFill="1" applyBorder="1" applyAlignment="1">
      <alignment horizontal="left"/>
    </xf>
    <xf numFmtId="0" fontId="3" fillId="0" borderId="34" xfId="54" applyFont="1" applyFill="1" applyBorder="1" applyAlignment="1">
      <alignment horizontal="left"/>
    </xf>
    <xf numFmtId="0" fontId="3" fillId="0" borderId="35" xfId="54" applyFont="1" applyFill="1" applyBorder="1" applyAlignment="1">
      <alignment horizontal="left"/>
    </xf>
    <xf numFmtId="0" fontId="10" fillId="0" borderId="0" xfId="54" applyFont="1" applyFill="1" applyAlignment="1">
      <alignment horizontal="center"/>
    </xf>
    <xf numFmtId="0" fontId="10" fillId="0" borderId="10" xfId="54" applyFont="1" applyFill="1" applyBorder="1" applyAlignment="1">
      <alignment horizontal="center"/>
    </xf>
    <xf numFmtId="0" fontId="10" fillId="0" borderId="19" xfId="54" applyFont="1" applyFill="1" applyBorder="1" applyAlignment="1">
      <alignment horizontal="center"/>
    </xf>
    <xf numFmtId="0" fontId="40" fillId="0" borderId="11" xfId="54" applyFont="1" applyFill="1" applyBorder="1" applyAlignment="1">
      <alignment horizontal="left"/>
    </xf>
    <xf numFmtId="0" fontId="40" fillId="0" borderId="0" xfId="54" applyFont="1" applyFill="1" applyBorder="1" applyAlignment="1">
      <alignment horizontal="left"/>
    </xf>
    <xf numFmtId="0" fontId="13" fillId="0" borderId="0" xfId="56" applyFont="1" applyAlignment="1">
      <alignment horizontal="center"/>
    </xf>
  </cellXfs>
  <cellStyles count="6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evitel" xfId="26"/>
    <cellStyle name="Calculation" xfId="27"/>
    <cellStyle name="Check Cell" xfId="28"/>
    <cellStyle name="Cím" xfId="29"/>
    <cellStyle name="Címsor 1" xfId="30"/>
    <cellStyle name="Címsor 2" xfId="31"/>
    <cellStyle name="Címsor 3" xfId="32"/>
    <cellStyle name="Címsor 4" xfId="33"/>
    <cellStyle name="Ellenőrzőcella" xfId="34"/>
    <cellStyle name="Explanatory Text" xfId="35"/>
    <cellStyle name="Figyelmeztetés" xfId="36"/>
    <cellStyle name="Good" xfId="37"/>
    <cellStyle name="Hivatkozott cella" xfId="38"/>
    <cellStyle name="Jegyzet" xfId="39"/>
    <cellStyle name="Jelölőszín (1)" xfId="40"/>
    <cellStyle name="Jelölőszín (2)" xfId="41"/>
    <cellStyle name="Jelölőszín (3)" xfId="42"/>
    <cellStyle name="Jelölőszín (4)" xfId="43"/>
    <cellStyle name="Jelölőszín (5)" xfId="44"/>
    <cellStyle name="Jelölőszín (6)" xfId="45"/>
    <cellStyle name="Jó" xfId="46"/>
    <cellStyle name="Kimenet" xfId="47"/>
    <cellStyle name="Magyarázó szöveg" xfId="48"/>
    <cellStyle name="Neutral" xfId="49"/>
    <cellStyle name="Normál" xfId="0" builtinId="0"/>
    <cellStyle name="Normal 2" xfId="50"/>
    <cellStyle name="Normál 2" xfId="51"/>
    <cellStyle name="Normál 3" xfId="52"/>
    <cellStyle name="Normál_2003-05K" xfId="53"/>
    <cellStyle name="Normál_99LETSZ_LETSZ02" xfId="62"/>
    <cellStyle name="Normál_GUCIFEJL" xfId="54"/>
    <cellStyle name="Normál_IKÖZI" xfId="66"/>
    <cellStyle name="Normál_intmind2_00LETSZ" xfId="65"/>
    <cellStyle name="Normál_kiemelt eik 2013" xfId="55"/>
    <cellStyle name="Normál_LETSZ06" xfId="64"/>
    <cellStyle name="Normál_letsz2011" xfId="63"/>
    <cellStyle name="Normál_módIV12önk" xfId="56"/>
    <cellStyle name="Normál_Munkafüzet2" xfId="57"/>
    <cellStyle name="Normál_össz 97 norma kerekítés_1_98 évi norma tény (2)" xfId="67"/>
    <cellStyle name="Összesen" xfId="58"/>
    <cellStyle name="Rossz" xfId="59"/>
    <cellStyle name="Semleges" xfId="60"/>
    <cellStyle name="Számítás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17\K&#246;lts&#233;gvet&#233;s\Int&#233;zm&#233;nyi%20k&#246;lts&#233;gvet&#233;s\Int&#233;zm&#233;nyi%20kgy%20t&#225;bl&#225;k\INTkvet&#233;s%20kgy%20t&#225;bla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14\k&#246;lts&#233;gvet&#233;s\int&#233;zm&#233;nyi%20k&#246;lts&#233;gvet&#233;s\INTkvet&#233;s%20kgy%20t&#225;bla%202014-%20V&#201;GLEG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17\Rendeletm&#243;dos&#237;t&#225;s\Int.l&#233;tsz&#225;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17"/>
      <sheetName val="int.kiadások2017"/>
    </sheetNames>
    <sheetDataSet>
      <sheetData sheetId="0">
        <row r="9">
          <cell r="B9">
            <v>1176</v>
          </cell>
          <cell r="L9">
            <v>146883</v>
          </cell>
        </row>
        <row r="10">
          <cell r="B10">
            <v>924</v>
          </cell>
          <cell r="L10">
            <v>95632</v>
          </cell>
        </row>
        <row r="11">
          <cell r="B11">
            <v>1512</v>
          </cell>
          <cell r="L11">
            <v>90978</v>
          </cell>
        </row>
        <row r="12">
          <cell r="B12">
            <v>700</v>
          </cell>
          <cell r="L12">
            <v>122454</v>
          </cell>
        </row>
        <row r="13">
          <cell r="B13">
            <v>1036</v>
          </cell>
          <cell r="L13">
            <v>105279</v>
          </cell>
        </row>
        <row r="14">
          <cell r="B14">
            <v>756</v>
          </cell>
          <cell r="L14">
            <v>92803</v>
          </cell>
        </row>
        <row r="15">
          <cell r="B15">
            <v>560</v>
          </cell>
          <cell r="L15">
            <v>77410</v>
          </cell>
        </row>
        <row r="16">
          <cell r="B16">
            <v>644</v>
          </cell>
          <cell r="L16">
            <v>78945</v>
          </cell>
        </row>
        <row r="17">
          <cell r="B17">
            <v>588</v>
          </cell>
          <cell r="L17">
            <v>114085</v>
          </cell>
        </row>
        <row r="18">
          <cell r="B18">
            <v>1232</v>
          </cell>
          <cell r="L18">
            <v>128686</v>
          </cell>
        </row>
        <row r="19">
          <cell r="B19">
            <v>504</v>
          </cell>
          <cell r="L19">
            <v>62720</v>
          </cell>
        </row>
        <row r="20">
          <cell r="B20">
            <v>728</v>
          </cell>
          <cell r="L20">
            <v>53769</v>
          </cell>
        </row>
        <row r="21">
          <cell r="B21">
            <v>0</v>
          </cell>
          <cell r="L21">
            <v>65551</v>
          </cell>
        </row>
        <row r="22">
          <cell r="B22">
            <v>1680</v>
          </cell>
          <cell r="L22">
            <v>86404</v>
          </cell>
        </row>
        <row r="23">
          <cell r="B23">
            <v>2016</v>
          </cell>
          <cell r="L23">
            <v>122519</v>
          </cell>
        </row>
        <row r="24">
          <cell r="B24">
            <v>1148</v>
          </cell>
          <cell r="L24">
            <v>94065</v>
          </cell>
        </row>
        <row r="25">
          <cell r="B25">
            <v>1008</v>
          </cell>
          <cell r="L25">
            <v>70149</v>
          </cell>
        </row>
        <row r="26">
          <cell r="B26">
            <v>672</v>
          </cell>
          <cell r="L26">
            <v>50862</v>
          </cell>
        </row>
        <row r="28">
          <cell r="B28">
            <v>396215</v>
          </cell>
          <cell r="L28">
            <v>1000409</v>
          </cell>
        </row>
        <row r="32">
          <cell r="B32">
            <v>247454</v>
          </cell>
          <cell r="L32">
            <v>99994</v>
          </cell>
        </row>
        <row r="33">
          <cell r="B33">
            <v>31030</v>
          </cell>
          <cell r="D33">
            <v>2000</v>
          </cell>
          <cell r="L33">
            <v>80412</v>
          </cell>
        </row>
        <row r="34">
          <cell r="B34">
            <v>87000</v>
          </cell>
          <cell r="D34">
            <v>24000</v>
          </cell>
          <cell r="L34">
            <v>272153</v>
          </cell>
          <cell r="M34">
            <v>10000</v>
          </cell>
        </row>
        <row r="35">
          <cell r="B35">
            <v>24000</v>
          </cell>
          <cell r="L35">
            <v>178734</v>
          </cell>
        </row>
        <row r="36">
          <cell r="B36">
            <v>93050</v>
          </cell>
          <cell r="L36">
            <v>342068</v>
          </cell>
          <cell r="M36">
            <v>3000</v>
          </cell>
        </row>
        <row r="39">
          <cell r="B39">
            <v>142000</v>
          </cell>
        </row>
        <row r="42">
          <cell r="B42">
            <v>32761</v>
          </cell>
          <cell r="C42">
            <v>220077</v>
          </cell>
          <cell r="I42">
            <v>1990</v>
          </cell>
          <cell r="L42">
            <v>249685</v>
          </cell>
          <cell r="M42">
            <v>3139</v>
          </cell>
        </row>
        <row r="45">
          <cell r="B45">
            <v>37961</v>
          </cell>
          <cell r="L45">
            <v>611903</v>
          </cell>
          <cell r="M45">
            <v>6638</v>
          </cell>
        </row>
        <row r="46">
          <cell r="B46">
            <v>90149</v>
          </cell>
          <cell r="L46">
            <v>587605</v>
          </cell>
        </row>
        <row r="51">
          <cell r="L51">
            <v>188406</v>
          </cell>
          <cell r="M51">
            <v>3820</v>
          </cell>
        </row>
        <row r="52">
          <cell r="B52">
            <v>16090</v>
          </cell>
          <cell r="E52">
            <v>700</v>
          </cell>
          <cell r="L52">
            <v>1674024</v>
          </cell>
          <cell r="M52">
            <v>20000</v>
          </cell>
        </row>
      </sheetData>
      <sheetData sheetId="1">
        <row r="9">
          <cell r="B9">
            <v>116367</v>
          </cell>
          <cell r="C9">
            <v>27858</v>
          </cell>
          <cell r="D9">
            <v>3834</v>
          </cell>
        </row>
        <row r="10">
          <cell r="B10">
            <v>76466</v>
          </cell>
          <cell r="C10">
            <v>17273</v>
          </cell>
          <cell r="D10">
            <v>2817</v>
          </cell>
        </row>
        <row r="11">
          <cell r="B11">
            <v>72889</v>
          </cell>
          <cell r="C11">
            <v>16267</v>
          </cell>
          <cell r="D11">
            <v>3334</v>
          </cell>
        </row>
        <row r="12">
          <cell r="B12">
            <v>96734</v>
          </cell>
          <cell r="C12">
            <v>23093</v>
          </cell>
          <cell r="D12">
            <v>3327</v>
          </cell>
        </row>
        <row r="13">
          <cell r="B13">
            <v>83150</v>
          </cell>
          <cell r="C13">
            <v>20020</v>
          </cell>
          <cell r="D13">
            <v>3145</v>
          </cell>
        </row>
        <row r="14">
          <cell r="B14">
            <v>73918</v>
          </cell>
          <cell r="C14">
            <v>16691</v>
          </cell>
          <cell r="D14">
            <v>2950</v>
          </cell>
        </row>
        <row r="15">
          <cell r="B15">
            <v>61689</v>
          </cell>
          <cell r="C15">
            <v>13914</v>
          </cell>
          <cell r="D15">
            <v>2367</v>
          </cell>
        </row>
        <row r="16">
          <cell r="B16">
            <v>62905</v>
          </cell>
          <cell r="C16">
            <v>14175</v>
          </cell>
          <cell r="D16">
            <v>2509</v>
          </cell>
        </row>
        <row r="17">
          <cell r="B17">
            <v>89964</v>
          </cell>
          <cell r="C17">
            <v>21447</v>
          </cell>
          <cell r="D17">
            <v>3262</v>
          </cell>
        </row>
        <row r="18">
          <cell r="B18">
            <v>102087</v>
          </cell>
          <cell r="C18">
            <v>24340</v>
          </cell>
          <cell r="D18">
            <v>3491</v>
          </cell>
        </row>
        <row r="19">
          <cell r="B19">
            <v>49767</v>
          </cell>
          <cell r="C19">
            <v>11213</v>
          </cell>
          <cell r="D19">
            <v>2244</v>
          </cell>
        </row>
        <row r="20">
          <cell r="B20">
            <v>42773</v>
          </cell>
          <cell r="C20">
            <v>9568</v>
          </cell>
          <cell r="D20">
            <v>2156</v>
          </cell>
        </row>
        <row r="21">
          <cell r="B21">
            <v>51294</v>
          </cell>
          <cell r="C21">
            <v>11612</v>
          </cell>
          <cell r="D21">
            <v>2645</v>
          </cell>
        </row>
        <row r="22">
          <cell r="B22">
            <v>69694</v>
          </cell>
          <cell r="C22">
            <v>15584</v>
          </cell>
          <cell r="D22">
            <v>2806</v>
          </cell>
        </row>
        <row r="23">
          <cell r="B23">
            <v>97643</v>
          </cell>
          <cell r="C23">
            <v>23620</v>
          </cell>
          <cell r="D23">
            <v>3272</v>
          </cell>
        </row>
        <row r="24">
          <cell r="B24">
            <v>75411</v>
          </cell>
          <cell r="C24">
            <v>17003</v>
          </cell>
          <cell r="D24">
            <v>2799</v>
          </cell>
        </row>
        <row r="25">
          <cell r="B25">
            <v>56249</v>
          </cell>
          <cell r="C25">
            <v>12593</v>
          </cell>
          <cell r="D25">
            <v>2315</v>
          </cell>
        </row>
        <row r="26">
          <cell r="B26">
            <v>40242</v>
          </cell>
          <cell r="C26">
            <v>9103</v>
          </cell>
          <cell r="D26">
            <v>2189</v>
          </cell>
        </row>
        <row r="28">
          <cell r="B28">
            <v>185979</v>
          </cell>
          <cell r="C28">
            <v>46412</v>
          </cell>
          <cell r="D28">
            <v>1164233</v>
          </cell>
        </row>
        <row r="32">
          <cell r="B32">
            <v>94410</v>
          </cell>
          <cell r="C32">
            <v>23170</v>
          </cell>
          <cell r="D32">
            <v>229868</v>
          </cell>
        </row>
        <row r="33">
          <cell r="B33">
            <v>63490</v>
          </cell>
          <cell r="C33">
            <v>13519</v>
          </cell>
          <cell r="D33">
            <v>36433</v>
          </cell>
        </row>
        <row r="34">
          <cell r="B34">
            <v>227325</v>
          </cell>
          <cell r="C34">
            <v>48412</v>
          </cell>
          <cell r="D34">
            <v>107416</v>
          </cell>
          <cell r="I34">
            <v>10000</v>
          </cell>
        </row>
        <row r="35">
          <cell r="B35">
            <v>115284</v>
          </cell>
          <cell r="C35">
            <v>25320</v>
          </cell>
          <cell r="D35">
            <v>62130</v>
          </cell>
        </row>
        <row r="36">
          <cell r="B36">
            <v>255426</v>
          </cell>
          <cell r="C36">
            <v>61256</v>
          </cell>
          <cell r="D36">
            <v>118436</v>
          </cell>
          <cell r="J36">
            <v>3000</v>
          </cell>
        </row>
        <row r="39">
          <cell r="B39">
            <v>43867</v>
          </cell>
          <cell r="C39">
            <v>10001</v>
          </cell>
          <cell r="D39">
            <v>53899</v>
          </cell>
          <cell r="F39">
            <v>30383</v>
          </cell>
          <cell r="I39">
            <v>3850</v>
          </cell>
        </row>
        <row r="42">
          <cell r="B42">
            <v>300762</v>
          </cell>
          <cell r="C42">
            <v>71052</v>
          </cell>
          <cell r="D42">
            <v>130709</v>
          </cell>
          <cell r="I42">
            <v>5129</v>
          </cell>
        </row>
        <row r="45">
          <cell r="B45">
            <v>404857</v>
          </cell>
          <cell r="C45">
            <v>101345</v>
          </cell>
          <cell r="D45">
            <v>143662</v>
          </cell>
          <cell r="I45">
            <v>6469</v>
          </cell>
          <cell r="J45">
            <v>169</v>
          </cell>
        </row>
        <row r="46">
          <cell r="B46">
            <v>361903</v>
          </cell>
          <cell r="C46">
            <v>90668</v>
          </cell>
          <cell r="D46">
            <v>225183</v>
          </cell>
        </row>
        <row r="51">
          <cell r="B51">
            <v>125944</v>
          </cell>
          <cell r="C51">
            <v>28800</v>
          </cell>
          <cell r="D51">
            <v>33662</v>
          </cell>
          <cell r="I51">
            <v>3000</v>
          </cell>
          <cell r="J51">
            <v>820</v>
          </cell>
        </row>
        <row r="52">
          <cell r="B52">
            <v>1093620</v>
          </cell>
          <cell r="C52">
            <v>264773</v>
          </cell>
          <cell r="D52">
            <v>329421</v>
          </cell>
          <cell r="F52">
            <v>3000</v>
          </cell>
          <cell r="I52">
            <v>20000</v>
          </cell>
        </row>
        <row r="53">
          <cell r="B53">
            <v>4592109</v>
          </cell>
          <cell r="C53">
            <v>1090102</v>
          </cell>
          <cell r="D53">
            <v>2686514</v>
          </cell>
          <cell r="E53">
            <v>0</v>
          </cell>
          <cell r="F53">
            <v>33383</v>
          </cell>
          <cell r="G53">
            <v>8402108</v>
          </cell>
          <cell r="I53">
            <v>48448</v>
          </cell>
          <cell r="J53">
            <v>3989</v>
          </cell>
          <cell r="K53">
            <v>0</v>
          </cell>
          <cell r="L53">
            <v>52437</v>
          </cell>
          <cell r="M53">
            <v>8454545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14 ÚJ"/>
      <sheetName val="int.kiadások2014"/>
    </sheetNames>
    <sheetDataSet>
      <sheetData sheetId="0">
        <row r="40">
          <cell r="C40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2016évi üres"/>
      <sheetName val="létszám ei mód 2016-2017eltérés"/>
      <sheetName val="2017 évi nyitó létszám"/>
      <sheetName val="létszám ei mód RM I."/>
    </sheetNames>
    <sheetDataSet>
      <sheetData sheetId="0"/>
      <sheetData sheetId="1"/>
      <sheetData sheetId="2">
        <row r="9">
          <cell r="B9">
            <v>32</v>
          </cell>
          <cell r="C9">
            <v>32</v>
          </cell>
          <cell r="D9">
            <v>1</v>
          </cell>
          <cell r="E9">
            <v>1</v>
          </cell>
        </row>
        <row r="10">
          <cell r="B10">
            <v>22</v>
          </cell>
          <cell r="C10">
            <v>22</v>
          </cell>
          <cell r="D10">
            <v>1</v>
          </cell>
          <cell r="E10">
            <v>1</v>
          </cell>
        </row>
        <row r="11">
          <cell r="B11">
            <v>22</v>
          </cell>
          <cell r="C11">
            <v>22</v>
          </cell>
          <cell r="D11">
            <v>1</v>
          </cell>
          <cell r="E11">
            <v>1</v>
          </cell>
        </row>
        <row r="12">
          <cell r="B12">
            <v>26</v>
          </cell>
          <cell r="C12">
            <v>26</v>
          </cell>
          <cell r="D12">
            <v>1</v>
          </cell>
          <cell r="E12">
            <v>1</v>
          </cell>
        </row>
        <row r="13">
          <cell r="B13">
            <v>25</v>
          </cell>
          <cell r="C13">
            <v>25</v>
          </cell>
          <cell r="D13">
            <v>1</v>
          </cell>
          <cell r="E13">
            <v>1</v>
          </cell>
        </row>
        <row r="14">
          <cell r="B14">
            <v>22.5</v>
          </cell>
          <cell r="C14">
            <v>23</v>
          </cell>
          <cell r="D14">
            <v>1</v>
          </cell>
          <cell r="E14">
            <v>1</v>
          </cell>
        </row>
        <row r="15">
          <cell r="B15">
            <v>18</v>
          </cell>
          <cell r="C15">
            <v>18</v>
          </cell>
          <cell r="D15">
            <v>1</v>
          </cell>
          <cell r="E15">
            <v>1</v>
          </cell>
        </row>
        <row r="16">
          <cell r="B16">
            <v>18</v>
          </cell>
          <cell r="C16">
            <v>18</v>
          </cell>
          <cell r="D16">
            <v>1</v>
          </cell>
          <cell r="E16">
            <v>1</v>
          </cell>
        </row>
        <row r="17">
          <cell r="B17">
            <v>25</v>
          </cell>
          <cell r="C17">
            <v>25</v>
          </cell>
          <cell r="D17">
            <v>1</v>
          </cell>
          <cell r="E17">
            <v>1</v>
          </cell>
        </row>
        <row r="18">
          <cell r="B18">
            <v>28</v>
          </cell>
          <cell r="C18">
            <v>28</v>
          </cell>
          <cell r="D18">
            <v>1</v>
          </cell>
          <cell r="E18">
            <v>1</v>
          </cell>
        </row>
        <row r="19">
          <cell r="B19">
            <v>15</v>
          </cell>
          <cell r="C19">
            <v>15</v>
          </cell>
          <cell r="D19">
            <v>1</v>
          </cell>
          <cell r="E19">
            <v>1</v>
          </cell>
        </row>
        <row r="20">
          <cell r="B20">
            <v>11.5</v>
          </cell>
          <cell r="C20">
            <v>11</v>
          </cell>
          <cell r="D20">
            <v>1</v>
          </cell>
          <cell r="E20">
            <v>1</v>
          </cell>
        </row>
        <row r="21">
          <cell r="B21">
            <v>15</v>
          </cell>
          <cell r="C21">
            <v>15</v>
          </cell>
          <cell r="D21">
            <v>1</v>
          </cell>
          <cell r="E21">
            <v>1</v>
          </cell>
        </row>
        <row r="22">
          <cell r="B22">
            <v>20</v>
          </cell>
          <cell r="C22">
            <v>20</v>
          </cell>
          <cell r="D22">
            <v>1</v>
          </cell>
          <cell r="E22">
            <v>1</v>
          </cell>
        </row>
        <row r="23">
          <cell r="B23">
            <v>28</v>
          </cell>
          <cell r="C23">
            <v>28</v>
          </cell>
          <cell r="D23">
            <v>1</v>
          </cell>
          <cell r="E23">
            <v>1</v>
          </cell>
        </row>
        <row r="24">
          <cell r="B24">
            <v>22</v>
          </cell>
          <cell r="C24">
            <v>22</v>
          </cell>
          <cell r="D24">
            <v>1</v>
          </cell>
          <cell r="E24">
            <v>1</v>
          </cell>
        </row>
        <row r="25">
          <cell r="B25">
            <v>16</v>
          </cell>
          <cell r="C25">
            <v>16</v>
          </cell>
          <cell r="D25">
            <v>1</v>
          </cell>
          <cell r="E25">
            <v>1</v>
          </cell>
        </row>
        <row r="26">
          <cell r="B26">
            <v>11.5</v>
          </cell>
          <cell r="C26">
            <v>12</v>
          </cell>
          <cell r="D26">
            <v>1</v>
          </cell>
          <cell r="E26">
            <v>1</v>
          </cell>
        </row>
        <row r="28">
          <cell r="B28">
            <v>0</v>
          </cell>
          <cell r="C28">
            <v>0</v>
          </cell>
          <cell r="D28">
            <v>44</v>
          </cell>
          <cell r="E28">
            <v>44</v>
          </cell>
        </row>
        <row r="32">
          <cell r="B32">
            <v>21</v>
          </cell>
          <cell r="C32">
            <v>21</v>
          </cell>
          <cell r="D32">
            <v>15.5</v>
          </cell>
          <cell r="E32">
            <v>16</v>
          </cell>
        </row>
        <row r="33">
          <cell r="B33">
            <v>17</v>
          </cell>
          <cell r="C33">
            <v>17</v>
          </cell>
          <cell r="D33">
            <v>1</v>
          </cell>
          <cell r="E33">
            <v>1</v>
          </cell>
        </row>
        <row r="34">
          <cell r="B34">
            <v>77</v>
          </cell>
          <cell r="C34">
            <v>77</v>
          </cell>
          <cell r="D34">
            <v>7.5</v>
          </cell>
          <cell r="E34">
            <v>7</v>
          </cell>
        </row>
        <row r="35">
          <cell r="B35">
            <v>34.5</v>
          </cell>
          <cell r="C35">
            <v>35</v>
          </cell>
          <cell r="D35">
            <v>11</v>
          </cell>
          <cell r="E35">
            <v>11</v>
          </cell>
        </row>
        <row r="36">
          <cell r="B36">
            <v>61.5</v>
          </cell>
          <cell r="C36">
            <v>62</v>
          </cell>
          <cell r="D36">
            <v>30.25</v>
          </cell>
          <cell r="E36">
            <v>30</v>
          </cell>
        </row>
        <row r="39">
          <cell r="B39">
            <v>1</v>
          </cell>
          <cell r="C39">
            <v>1</v>
          </cell>
          <cell r="D39">
            <v>15</v>
          </cell>
          <cell r="E39">
            <v>15</v>
          </cell>
        </row>
        <row r="42">
          <cell r="B42">
            <v>61</v>
          </cell>
          <cell r="C42">
            <v>61</v>
          </cell>
          <cell r="D42">
            <v>34</v>
          </cell>
          <cell r="E42">
            <v>34</v>
          </cell>
        </row>
        <row r="45">
          <cell r="B45">
            <v>105</v>
          </cell>
          <cell r="C45">
            <v>105</v>
          </cell>
          <cell r="D45">
            <v>68.625</v>
          </cell>
          <cell r="E45">
            <v>69</v>
          </cell>
        </row>
        <row r="46">
          <cell r="B46">
            <v>146.5</v>
          </cell>
          <cell r="C46">
            <v>146</v>
          </cell>
          <cell r="D46">
            <v>19</v>
          </cell>
          <cell r="E46">
            <v>19</v>
          </cell>
        </row>
        <row r="51">
          <cell r="B51">
            <v>30</v>
          </cell>
          <cell r="C51">
            <v>30</v>
          </cell>
          <cell r="D51">
            <v>0</v>
          </cell>
          <cell r="E51">
            <v>0</v>
          </cell>
        </row>
        <row r="52">
          <cell r="B52">
            <v>233</v>
          </cell>
          <cell r="C52">
            <v>233</v>
          </cell>
          <cell r="D52">
            <v>0</v>
          </cell>
          <cell r="E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Normal="100" workbookViewId="0">
      <selection activeCell="G6" sqref="G6"/>
    </sheetView>
  </sheetViews>
  <sheetFormatPr defaultRowHeight="15.75" x14ac:dyDescent="0.25"/>
  <cols>
    <col min="1" max="1" width="10.83203125" style="589" customWidth="1"/>
    <col min="2" max="2" width="102.83203125" style="589" customWidth="1"/>
    <col min="3" max="3" width="31.33203125" style="589" customWidth="1"/>
    <col min="4" max="6" width="27" style="589" customWidth="1"/>
    <col min="7" max="7" width="27.5" style="591" customWidth="1"/>
    <col min="8" max="8" width="14" style="591" customWidth="1"/>
    <col min="9" max="9" width="86.1640625" style="589" customWidth="1"/>
    <col min="10" max="13" width="27" style="589" customWidth="1"/>
    <col min="14" max="14" width="27" style="591" customWidth="1"/>
    <col min="15" max="16" width="18.1640625" style="589" customWidth="1"/>
    <col min="17" max="17" width="15" style="589" bestFit="1" customWidth="1"/>
    <col min="18" max="18" width="17.5" style="589" customWidth="1"/>
    <col min="19" max="16384" width="9.33203125" style="589"/>
  </cols>
  <sheetData>
    <row r="1" spans="1:18" ht="29.25" customHeight="1" x14ac:dyDescent="0.25">
      <c r="B1" s="1184" t="s">
        <v>432</v>
      </c>
      <c r="C1" s="1184"/>
      <c r="D1" s="1184"/>
      <c r="E1" s="1184"/>
      <c r="F1" s="1184"/>
      <c r="G1" s="1184"/>
      <c r="H1"/>
      <c r="I1" s="1184" t="s">
        <v>432</v>
      </c>
      <c r="J1" s="1184"/>
      <c r="K1" s="1184"/>
      <c r="L1" s="1184"/>
      <c r="M1" s="1184"/>
      <c r="N1" s="1184"/>
    </row>
    <row r="2" spans="1:18" ht="36" customHeight="1" x14ac:dyDescent="0.25">
      <c r="B2" s="1184" t="s">
        <v>663</v>
      </c>
      <c r="C2" s="1184"/>
      <c r="D2" s="1184"/>
      <c r="E2" s="1184"/>
      <c r="F2" s="1184"/>
      <c r="G2" s="1184"/>
      <c r="H2"/>
      <c r="I2" s="1184" t="s">
        <v>664</v>
      </c>
      <c r="J2" s="1184"/>
      <c r="K2" s="1184"/>
      <c r="L2" s="1184"/>
      <c r="M2" s="1184"/>
      <c r="N2" s="1184"/>
    </row>
    <row r="3" spans="1:18" ht="16.5" thickBot="1" x14ac:dyDescent="0.3">
      <c r="A3" s="590"/>
      <c r="N3" s="592" t="s">
        <v>419</v>
      </c>
    </row>
    <row r="4" spans="1:18" ht="33.75" customHeight="1" x14ac:dyDescent="0.25">
      <c r="A4" s="593"/>
      <c r="B4" s="594" t="s">
        <v>413</v>
      </c>
      <c r="C4" s="593" t="s">
        <v>482</v>
      </c>
      <c r="D4" s="595" t="s">
        <v>483</v>
      </c>
      <c r="E4" s="593" t="s">
        <v>483</v>
      </c>
      <c r="F4" s="595" t="s">
        <v>483</v>
      </c>
      <c r="G4" s="595" t="s">
        <v>455</v>
      </c>
      <c r="H4" s="596"/>
      <c r="I4" s="594" t="s">
        <v>463</v>
      </c>
      <c r="J4" s="593" t="s">
        <v>482</v>
      </c>
      <c r="K4" s="595" t="s">
        <v>483</v>
      </c>
      <c r="L4" s="593" t="s">
        <v>483</v>
      </c>
      <c r="M4" s="595" t="s">
        <v>483</v>
      </c>
      <c r="N4" s="595" t="s">
        <v>455</v>
      </c>
    </row>
    <row r="5" spans="1:18" ht="20.100000000000001" customHeight="1" x14ac:dyDescent="0.25">
      <c r="A5" s="597"/>
      <c r="B5" s="598"/>
      <c r="C5" s="597" t="s">
        <v>484</v>
      </c>
      <c r="D5" s="599"/>
      <c r="E5" s="597"/>
      <c r="F5" s="599" t="s">
        <v>455</v>
      </c>
      <c r="G5" s="599" t="s">
        <v>456</v>
      </c>
      <c r="H5" s="600"/>
      <c r="I5" s="598"/>
      <c r="J5" s="597" t="s">
        <v>485</v>
      </c>
      <c r="K5" s="599"/>
      <c r="L5" s="597"/>
      <c r="M5" s="599" t="s">
        <v>455</v>
      </c>
      <c r="N5" s="599" t="s">
        <v>464</v>
      </c>
    </row>
    <row r="6" spans="1:18" ht="88.5" customHeight="1" thickBot="1" x14ac:dyDescent="0.3">
      <c r="A6" s="601"/>
      <c r="B6" s="602"/>
      <c r="C6" s="603" t="s">
        <v>384</v>
      </c>
      <c r="D6" s="604" t="s">
        <v>486</v>
      </c>
      <c r="E6" s="605" t="s">
        <v>487</v>
      </c>
      <c r="F6" s="604"/>
      <c r="G6" s="606"/>
      <c r="H6" s="607"/>
      <c r="I6" s="602"/>
      <c r="J6" s="603" t="s">
        <v>384</v>
      </c>
      <c r="K6" s="604" t="s">
        <v>488</v>
      </c>
      <c r="L6" s="605" t="s">
        <v>487</v>
      </c>
      <c r="M6" s="604"/>
      <c r="N6" s="606"/>
      <c r="O6" s="608"/>
      <c r="P6" s="608"/>
    </row>
    <row r="7" spans="1:18" ht="24" customHeight="1" x14ac:dyDescent="0.25">
      <c r="A7" s="597"/>
      <c r="B7" s="609" t="s">
        <v>489</v>
      </c>
      <c r="C7" s="610"/>
      <c r="D7" s="611"/>
      <c r="E7" s="611"/>
      <c r="F7" s="611"/>
      <c r="G7" s="595"/>
      <c r="H7" s="600"/>
      <c r="I7" s="612" t="s">
        <v>490</v>
      </c>
      <c r="J7" s="610"/>
      <c r="K7" s="611"/>
      <c r="L7" s="611"/>
      <c r="M7" s="611"/>
      <c r="N7" s="595"/>
      <c r="O7" s="608"/>
      <c r="P7" s="608"/>
    </row>
    <row r="8" spans="1:18" ht="24" customHeight="1" x14ac:dyDescent="0.25">
      <c r="A8" s="613" t="s">
        <v>491</v>
      </c>
      <c r="B8" s="614" t="s">
        <v>492</v>
      </c>
      <c r="C8" s="615">
        <v>221472</v>
      </c>
      <c r="D8" s="616">
        <v>3311129</v>
      </c>
      <c r="E8" s="616">
        <v>1338209</v>
      </c>
      <c r="F8" s="616">
        <f>SUM(D8:E8)</f>
        <v>4649338</v>
      </c>
      <c r="G8" s="617">
        <f>SUM(C8+F8)</f>
        <v>4870810</v>
      </c>
      <c r="H8" s="618" t="s">
        <v>493</v>
      </c>
      <c r="I8" s="614" t="s">
        <v>494</v>
      </c>
      <c r="J8" s="619">
        <v>4989522</v>
      </c>
      <c r="K8" s="619">
        <v>204294</v>
      </c>
      <c r="L8" s="616"/>
      <c r="M8" s="616">
        <f>SUM(K8:L8)</f>
        <v>204294</v>
      </c>
      <c r="N8" s="616">
        <f>SUM(J8+M8)</f>
        <v>5193816</v>
      </c>
      <c r="O8" s="620"/>
      <c r="P8" s="620"/>
      <c r="Q8" s="620"/>
      <c r="R8" s="620"/>
    </row>
    <row r="9" spans="1:18" ht="44.45" customHeight="1" x14ac:dyDescent="0.25">
      <c r="A9" s="621" t="s">
        <v>495</v>
      </c>
      <c r="B9" s="622" t="s">
        <v>373</v>
      </c>
      <c r="C9" s="615">
        <v>700</v>
      </c>
      <c r="D9" s="616">
        <v>9723200</v>
      </c>
      <c r="E9" s="616"/>
      <c r="F9" s="616">
        <f>SUM(D9:E9)</f>
        <v>9723200</v>
      </c>
      <c r="G9" s="617">
        <f>SUM(C9+F9)</f>
        <v>9723900</v>
      </c>
      <c r="H9" s="623" t="s">
        <v>496</v>
      </c>
      <c r="I9" s="624" t="s">
        <v>497</v>
      </c>
      <c r="J9" s="625">
        <v>1184859</v>
      </c>
      <c r="K9" s="625">
        <v>48578</v>
      </c>
      <c r="L9" s="616"/>
      <c r="M9" s="616">
        <f>SUM(K9:L9)</f>
        <v>48578</v>
      </c>
      <c r="N9" s="616">
        <f>SUM(J9+M9)</f>
        <v>1233437</v>
      </c>
      <c r="O9" s="620"/>
      <c r="P9" s="620"/>
      <c r="Q9" s="620"/>
      <c r="R9" s="620"/>
    </row>
    <row r="10" spans="1:18" ht="24" customHeight="1" x14ac:dyDescent="0.25">
      <c r="A10" s="613" t="s">
        <v>498</v>
      </c>
      <c r="B10" s="614" t="s">
        <v>499</v>
      </c>
      <c r="C10" s="615">
        <v>1214594</v>
      </c>
      <c r="D10" s="616">
        <v>2025491</v>
      </c>
      <c r="E10" s="616"/>
      <c r="F10" s="616">
        <f>SUM(D10:E10)</f>
        <v>2025491</v>
      </c>
      <c r="G10" s="617">
        <f>SUM(C10+F10)</f>
        <v>3240085</v>
      </c>
      <c r="H10" s="623" t="s">
        <v>500</v>
      </c>
      <c r="I10" s="622" t="s">
        <v>501</v>
      </c>
      <c r="J10" s="625">
        <f>3119832+30000</f>
        <v>3149832</v>
      </c>
      <c r="K10" s="625">
        <v>3405005</v>
      </c>
      <c r="L10" s="616">
        <f>1805202+127</f>
        <v>1805329</v>
      </c>
      <c r="M10" s="616">
        <f>SUM(K10:L10)</f>
        <v>5210334</v>
      </c>
      <c r="N10" s="616">
        <f>SUM(J10+M10)</f>
        <v>8360166</v>
      </c>
      <c r="O10" s="620"/>
      <c r="P10" s="620"/>
      <c r="Q10" s="620"/>
      <c r="R10" s="620"/>
    </row>
    <row r="11" spans="1:18" ht="24" customHeight="1" x14ac:dyDescent="0.25">
      <c r="A11" s="621" t="s">
        <v>502</v>
      </c>
      <c r="B11" s="622" t="s">
        <v>203</v>
      </c>
      <c r="C11" s="615">
        <v>26000</v>
      </c>
      <c r="D11" s="616">
        <v>140000</v>
      </c>
      <c r="E11" s="616"/>
      <c r="F11" s="616">
        <f>SUM(D11:E11)</f>
        <v>140000</v>
      </c>
      <c r="G11" s="617">
        <f>SUM(C11+F11)</f>
        <v>166000</v>
      </c>
      <c r="H11" s="626" t="s">
        <v>503</v>
      </c>
      <c r="I11" s="627" t="s">
        <v>504</v>
      </c>
      <c r="J11" s="625">
        <v>0</v>
      </c>
      <c r="K11" s="625">
        <v>142665</v>
      </c>
      <c r="L11" s="616"/>
      <c r="M11" s="616">
        <f>SUM(K11:L11)</f>
        <v>142665</v>
      </c>
      <c r="N11" s="616">
        <f>SUM(J11+M11)</f>
        <v>142665</v>
      </c>
      <c r="O11" s="620"/>
      <c r="P11" s="620"/>
      <c r="Q11" s="620"/>
      <c r="R11" s="620"/>
    </row>
    <row r="12" spans="1:18" ht="24" customHeight="1" thickBot="1" x14ac:dyDescent="0.3">
      <c r="A12" s="613"/>
      <c r="B12" s="614"/>
      <c r="C12" s="628"/>
      <c r="D12" s="616"/>
      <c r="E12" s="619"/>
      <c r="F12" s="616">
        <f>SUM(D12:E12)</f>
        <v>0</v>
      </c>
      <c r="G12" s="617">
        <f>SUM(C12+F12)</f>
        <v>0</v>
      </c>
      <c r="H12" s="623" t="s">
        <v>505</v>
      </c>
      <c r="I12" s="622" t="s">
        <v>506</v>
      </c>
      <c r="J12" s="616">
        <v>57753</v>
      </c>
      <c r="K12" s="616">
        <f>3279309-30000</f>
        <v>3249309</v>
      </c>
      <c r="L12" s="616">
        <v>700</v>
      </c>
      <c r="M12" s="616">
        <f>SUM(K12:L12)</f>
        <v>3250009</v>
      </c>
      <c r="N12" s="616">
        <f>SUM(J12+M12)</f>
        <v>3307762</v>
      </c>
      <c r="O12" s="620"/>
      <c r="P12" s="620"/>
      <c r="Q12" s="620"/>
      <c r="R12" s="620"/>
    </row>
    <row r="13" spans="1:18" ht="24" customHeight="1" thickBot="1" x14ac:dyDescent="0.3">
      <c r="A13" s="629"/>
      <c r="B13" s="630" t="s">
        <v>458</v>
      </c>
      <c r="C13" s="631">
        <f>SUM(C8:C12)</f>
        <v>1462766</v>
      </c>
      <c r="D13" s="631">
        <f>SUM(D8:D12)</f>
        <v>15199820</v>
      </c>
      <c r="E13" s="631">
        <f>SUM(E8:E12)</f>
        <v>1338209</v>
      </c>
      <c r="F13" s="631">
        <f>SUM(F8:F12)</f>
        <v>16538029</v>
      </c>
      <c r="G13" s="631">
        <f>SUM(G8:G12)</f>
        <v>18000795</v>
      </c>
      <c r="H13" s="629"/>
      <c r="I13" s="630" t="s">
        <v>465</v>
      </c>
      <c r="J13" s="631">
        <f>SUM(J8:J12)</f>
        <v>9381966</v>
      </c>
      <c r="K13" s="631">
        <f>SUM(K8:K12)</f>
        <v>7049851</v>
      </c>
      <c r="L13" s="631">
        <f>SUM(L8:L12)</f>
        <v>1806029</v>
      </c>
      <c r="M13" s="631">
        <f>SUM(M8:M12)</f>
        <v>8855880</v>
      </c>
      <c r="N13" s="631">
        <f>SUM(N8:N12)</f>
        <v>18237846</v>
      </c>
      <c r="O13" s="620"/>
      <c r="P13" s="620"/>
      <c r="Q13" s="620"/>
      <c r="R13" s="620"/>
    </row>
    <row r="14" spans="1:18" s="635" customFormat="1" ht="24" customHeight="1" x14ac:dyDescent="0.25">
      <c r="A14" s="613" t="s">
        <v>507</v>
      </c>
      <c r="B14" s="622" t="s">
        <v>133</v>
      </c>
      <c r="C14" s="615">
        <v>1990</v>
      </c>
      <c r="D14" s="616">
        <v>4335922</v>
      </c>
      <c r="E14" s="616">
        <v>-1338209</v>
      </c>
      <c r="F14" s="616">
        <f>SUM(D14:E14)</f>
        <v>2997713</v>
      </c>
      <c r="G14" s="617">
        <f>SUM(C14+F14)</f>
        <v>2999703</v>
      </c>
      <c r="H14" s="632" t="s">
        <v>508</v>
      </c>
      <c r="I14" s="633" t="s">
        <v>296</v>
      </c>
      <c r="J14" s="634">
        <v>206854</v>
      </c>
      <c r="K14" s="634">
        <v>3856810</v>
      </c>
      <c r="L14" s="634">
        <v>-113644</v>
      </c>
      <c r="M14" s="616">
        <f>SUM(K14:L14)</f>
        <v>3743166</v>
      </c>
      <c r="N14" s="616">
        <f>SUM(J14+M14)</f>
        <v>3950020</v>
      </c>
      <c r="O14" s="620"/>
      <c r="P14" s="620"/>
      <c r="Q14" s="620"/>
      <c r="R14" s="620"/>
    </row>
    <row r="15" spans="1:18" ht="24" customHeight="1" x14ac:dyDescent="0.25">
      <c r="A15" s="613" t="s">
        <v>509</v>
      </c>
      <c r="B15" s="622" t="s">
        <v>132</v>
      </c>
      <c r="C15" s="615">
        <v>34</v>
      </c>
      <c r="D15" s="616">
        <v>550000</v>
      </c>
      <c r="E15" s="616"/>
      <c r="F15" s="616">
        <f>SUM(D15:E15)</f>
        <v>550000</v>
      </c>
      <c r="G15" s="617">
        <f>SUM(C15+F15)</f>
        <v>550034</v>
      </c>
      <c r="H15" s="636" t="s">
        <v>510</v>
      </c>
      <c r="I15" s="622" t="s">
        <v>511</v>
      </c>
      <c r="J15" s="625">
        <v>43783</v>
      </c>
      <c r="K15" s="625">
        <v>12252684</v>
      </c>
      <c r="L15" s="625">
        <v>-1692135</v>
      </c>
      <c r="M15" s="616">
        <f>SUM(K15:L15)</f>
        <v>10560549</v>
      </c>
      <c r="N15" s="616">
        <f>SUM(J15+M15)</f>
        <v>10604332</v>
      </c>
      <c r="O15" s="620"/>
      <c r="P15" s="620"/>
      <c r="Q15" s="620"/>
      <c r="R15" s="620"/>
    </row>
    <row r="16" spans="1:18" ht="24" customHeight="1" thickBot="1" x14ac:dyDescent="0.3">
      <c r="A16" s="613" t="s">
        <v>512</v>
      </c>
      <c r="B16" s="622" t="s">
        <v>513</v>
      </c>
      <c r="C16" s="615">
        <v>0</v>
      </c>
      <c r="D16" s="616">
        <v>34027</v>
      </c>
      <c r="E16" s="619"/>
      <c r="F16" s="616">
        <f>SUM(D16:E16)</f>
        <v>34027</v>
      </c>
      <c r="G16" s="617">
        <f>SUM(C16+F16)</f>
        <v>34027</v>
      </c>
      <c r="H16" s="626" t="s">
        <v>514</v>
      </c>
      <c r="I16" s="637" t="s">
        <v>515</v>
      </c>
      <c r="J16" s="619">
        <v>0</v>
      </c>
      <c r="K16" s="619">
        <v>200807</v>
      </c>
      <c r="L16" s="616">
        <v>-250</v>
      </c>
      <c r="M16" s="616">
        <f>SUM(K16:L16)</f>
        <v>200557</v>
      </c>
      <c r="N16" s="616">
        <f>SUM(J16+M16)</f>
        <v>200557</v>
      </c>
      <c r="O16" s="620"/>
      <c r="P16" s="620"/>
      <c r="Q16" s="620"/>
      <c r="R16" s="620"/>
    </row>
    <row r="17" spans="1:17" ht="24" customHeight="1" thickBot="1" x14ac:dyDescent="0.3">
      <c r="A17" s="629"/>
      <c r="B17" s="630" t="s">
        <v>459</v>
      </c>
      <c r="C17" s="631">
        <f>SUM(C14:C16)</f>
        <v>2024</v>
      </c>
      <c r="D17" s="631">
        <f>SUM(D14:D16)</f>
        <v>4919949</v>
      </c>
      <c r="E17" s="631">
        <f>SUM(E14:E16)</f>
        <v>-1338209</v>
      </c>
      <c r="F17" s="631">
        <f>SUM(F14:F16)</f>
        <v>3581740</v>
      </c>
      <c r="G17" s="631">
        <f>SUM(G14:G16)</f>
        <v>3583764</v>
      </c>
      <c r="H17" s="629"/>
      <c r="I17" s="638" t="s">
        <v>466</v>
      </c>
      <c r="J17" s="631">
        <f>SUM(J14:J16)</f>
        <v>250637</v>
      </c>
      <c r="K17" s="631">
        <f>SUM(K14:K16)</f>
        <v>16310301</v>
      </c>
      <c r="L17" s="631">
        <f>SUM(L14:L16)</f>
        <v>-1806029</v>
      </c>
      <c r="M17" s="631">
        <f>SUM(M14:M16)</f>
        <v>14504272</v>
      </c>
      <c r="N17" s="631">
        <f>SUM(N14:N16)</f>
        <v>14754909</v>
      </c>
      <c r="O17" s="620"/>
      <c r="P17" s="620"/>
      <c r="Q17" s="620"/>
    </row>
    <row r="18" spans="1:17" ht="24" customHeight="1" thickBot="1" x14ac:dyDescent="0.3">
      <c r="A18" s="639"/>
      <c r="B18" s="638" t="s">
        <v>460</v>
      </c>
      <c r="C18" s="631">
        <f>+C13+C17</f>
        <v>1464790</v>
      </c>
      <c r="D18" s="631">
        <f>D13+D17</f>
        <v>20119769</v>
      </c>
      <c r="E18" s="631">
        <f>+E13+E17</f>
        <v>0</v>
      </c>
      <c r="F18" s="631">
        <f>F13+F17</f>
        <v>20119769</v>
      </c>
      <c r="G18" s="631">
        <f>SUM(G13+G17)</f>
        <v>21584559</v>
      </c>
      <c r="H18" s="629"/>
      <c r="I18" s="630" t="s">
        <v>467</v>
      </c>
      <c r="J18" s="631">
        <f>SUM(J17,J13)</f>
        <v>9632603</v>
      </c>
      <c r="K18" s="631">
        <f>SUM(K17,K13)</f>
        <v>23360152</v>
      </c>
      <c r="L18" s="631">
        <f>+L13+L17</f>
        <v>0</v>
      </c>
      <c r="M18" s="631">
        <f>SUM(M13+M17)</f>
        <v>23360152</v>
      </c>
      <c r="N18" s="631">
        <f>SUM(N17,N13)</f>
        <v>32992755</v>
      </c>
      <c r="O18" s="620"/>
      <c r="P18" s="620"/>
      <c r="Q18" s="620"/>
    </row>
    <row r="19" spans="1:17" ht="24" customHeight="1" thickBot="1" x14ac:dyDescent="0.3">
      <c r="A19" s="640" t="s">
        <v>516</v>
      </c>
      <c r="B19" s="641" t="s">
        <v>461</v>
      </c>
      <c r="C19" s="642">
        <v>161407</v>
      </c>
      <c r="D19" s="643">
        <v>11342804</v>
      </c>
      <c r="E19" s="643"/>
      <c r="F19" s="643">
        <f>SUM(D19:E19)</f>
        <v>11342804</v>
      </c>
      <c r="G19" s="617">
        <f>SUM(C19+F19)</f>
        <v>11504211</v>
      </c>
      <c r="H19" s="644" t="s">
        <v>517</v>
      </c>
      <c r="I19" s="645" t="s">
        <v>468</v>
      </c>
      <c r="J19" s="625"/>
      <c r="K19" s="625">
        <v>96015</v>
      </c>
      <c r="L19" s="646"/>
      <c r="M19" s="616">
        <f>SUM(K19:L19)</f>
        <v>96015</v>
      </c>
      <c r="N19" s="616">
        <f>SUM(J19+M19)</f>
        <v>96015</v>
      </c>
      <c r="O19" s="620"/>
      <c r="P19" s="620"/>
      <c r="Q19" s="620"/>
    </row>
    <row r="20" spans="1:17" ht="49.5" customHeight="1" thickBot="1" x14ac:dyDescent="0.3">
      <c r="A20" s="647"/>
      <c r="B20" s="648" t="s">
        <v>462</v>
      </c>
      <c r="C20" s="649">
        <f>SUM(C18:C19)</f>
        <v>1626197</v>
      </c>
      <c r="D20" s="649">
        <f>SUM(D18:D19)</f>
        <v>31462573</v>
      </c>
      <c r="E20" s="649">
        <f>+E18+E19</f>
        <v>0</v>
      </c>
      <c r="F20" s="649">
        <f>SUM(F18:F19)</f>
        <v>31462573</v>
      </c>
      <c r="G20" s="631">
        <f>SUM(C20:D20)</f>
        <v>33088770</v>
      </c>
      <c r="H20" s="647"/>
      <c r="I20" s="648" t="s">
        <v>469</v>
      </c>
      <c r="J20" s="649">
        <f>SUM(J18:J19)</f>
        <v>9632603</v>
      </c>
      <c r="K20" s="649">
        <f>SUM(K18:K19)</f>
        <v>23456167</v>
      </c>
      <c r="L20" s="649">
        <f>SUM(L18:L19)</f>
        <v>0</v>
      </c>
      <c r="M20" s="649">
        <f>SUM(M18:M19)</f>
        <v>23456167</v>
      </c>
      <c r="N20" s="649">
        <f>SUM(N18:N19)</f>
        <v>33088770</v>
      </c>
      <c r="O20" s="620"/>
      <c r="P20" s="652">
        <f>G20-N20</f>
        <v>0</v>
      </c>
      <c r="Q20" s="620"/>
    </row>
    <row r="21" spans="1:17" ht="24" customHeight="1" x14ac:dyDescent="0.25">
      <c r="G21" s="589"/>
      <c r="H21" s="650"/>
      <c r="N21" s="589"/>
    </row>
    <row r="22" spans="1:17" ht="24" customHeight="1" x14ac:dyDescent="0.25">
      <c r="G22" s="651"/>
      <c r="H22" s="651"/>
      <c r="N22" s="651"/>
    </row>
    <row r="23" spans="1:17" ht="24" customHeight="1" x14ac:dyDescent="0.25"/>
    <row r="24" spans="1:17" ht="24" customHeight="1" x14ac:dyDescent="0.25"/>
    <row r="25" spans="1:17" ht="24" customHeight="1" x14ac:dyDescent="0.25"/>
    <row r="26" spans="1:17" ht="24" customHeight="1" x14ac:dyDescent="0.25"/>
    <row r="27" spans="1:17" ht="24" customHeight="1" x14ac:dyDescent="0.25"/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>&amp;R&amp;"Times New Roman CE,Félkövér"&amp;16 1. melléklet a 12/2017. (V.3.) önkormányzati rendelethez
"1. melléklet a 4/2017. (III.7.)  önkormányzati rendelethez"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M51"/>
  <sheetViews>
    <sheetView view="pageLayout" zoomScaleNormal="96" workbookViewId="0">
      <selection activeCell="G9" sqref="G9"/>
    </sheetView>
  </sheetViews>
  <sheetFormatPr defaultRowHeight="15" customHeight="1" x14ac:dyDescent="0.2"/>
  <cols>
    <col min="1" max="1" width="18.33203125" style="5" customWidth="1"/>
    <col min="2" max="2" width="90.1640625" style="5" customWidth="1"/>
    <col min="3" max="3" width="31.6640625" style="5" customWidth="1"/>
    <col min="4" max="4" width="34.6640625" style="5" bestFit="1" customWidth="1"/>
    <col min="5" max="5" width="37.33203125" style="5" bestFit="1" customWidth="1"/>
    <col min="6" max="6" width="9.33203125" style="5"/>
    <col min="7" max="7" width="14" style="5" bestFit="1" customWidth="1"/>
    <col min="8" max="8" width="17" style="5" customWidth="1"/>
    <col min="9" max="9" width="14.83203125" style="5" customWidth="1"/>
    <col min="10" max="10" width="19.6640625" style="5" customWidth="1"/>
    <col min="11" max="11" width="20.5" style="5" customWidth="1"/>
    <col min="12" max="12" width="16.1640625" style="5" customWidth="1"/>
    <col min="13" max="13" width="16.5" style="5" customWidth="1"/>
    <col min="14" max="16384" width="9.33203125" style="5"/>
  </cols>
  <sheetData>
    <row r="1" spans="1:13" ht="15" customHeight="1" x14ac:dyDescent="0.25">
      <c r="B1" s="3"/>
      <c r="C1" s="3"/>
      <c r="D1" s="3"/>
      <c r="E1" s="3"/>
    </row>
    <row r="2" spans="1:13" ht="23.25" customHeight="1" x14ac:dyDescent="0.25">
      <c r="B2" s="1186" t="s">
        <v>113</v>
      </c>
      <c r="C2" s="1186"/>
      <c r="D2" s="1186"/>
      <c r="E2" s="1186"/>
    </row>
    <row r="3" spans="1:13" ht="15" customHeight="1" x14ac:dyDescent="0.25">
      <c r="B3" s="3"/>
      <c r="C3" s="3"/>
      <c r="D3" s="3"/>
      <c r="E3" s="3"/>
    </row>
    <row r="4" spans="1:13" ht="19.5" thickBot="1" x14ac:dyDescent="0.35">
      <c r="B4" s="134" t="s">
        <v>56</v>
      </c>
      <c r="C4" s="134"/>
      <c r="D4" s="134"/>
      <c r="E4" s="536" t="s">
        <v>419</v>
      </c>
    </row>
    <row r="5" spans="1:13" ht="20.100000000000001" customHeight="1" x14ac:dyDescent="0.25">
      <c r="B5" s="116" t="s">
        <v>329</v>
      </c>
      <c r="C5" s="439" t="s">
        <v>542</v>
      </c>
      <c r="D5" s="399" t="s">
        <v>677</v>
      </c>
      <c r="E5" s="811" t="s">
        <v>750</v>
      </c>
      <c r="J5" s="792"/>
      <c r="K5" s="792"/>
      <c r="L5" s="792"/>
      <c r="M5" s="792"/>
    </row>
    <row r="6" spans="1:13" ht="20.100000000000001" customHeight="1" thickBot="1" x14ac:dyDescent="0.3">
      <c r="B6" s="196"/>
      <c r="C6" s="440" t="s">
        <v>159</v>
      </c>
      <c r="D6" s="400" t="s">
        <v>678</v>
      </c>
      <c r="E6" s="440" t="s">
        <v>541</v>
      </c>
    </row>
    <row r="7" spans="1:13" ht="30" x14ac:dyDescent="0.2">
      <c r="A7" s="10">
        <v>631000</v>
      </c>
      <c r="B7" s="365" t="s">
        <v>188</v>
      </c>
      <c r="C7" s="360">
        <v>587605</v>
      </c>
      <c r="D7" s="360">
        <f>33058+2660+1177+838</f>
        <v>37733</v>
      </c>
      <c r="E7" s="821">
        <f>C7+D7</f>
        <v>625338</v>
      </c>
      <c r="F7" s="10"/>
      <c r="G7" s="4"/>
      <c r="H7" s="10"/>
      <c r="I7" s="217"/>
      <c r="J7" s="217"/>
      <c r="K7" s="4"/>
      <c r="L7" s="4"/>
      <c r="M7" s="4"/>
    </row>
    <row r="8" spans="1:13" ht="30" x14ac:dyDescent="0.2">
      <c r="B8" s="366" t="s">
        <v>169</v>
      </c>
      <c r="C8" s="148">
        <v>90149</v>
      </c>
      <c r="D8" s="148"/>
      <c r="E8" s="148">
        <f>C8+D8</f>
        <v>90149</v>
      </c>
      <c r="G8" s="4"/>
      <c r="I8" s="4"/>
    </row>
    <row r="9" spans="1:13" ht="30" x14ac:dyDescent="0.2">
      <c r="B9" s="367" t="s">
        <v>682</v>
      </c>
      <c r="C9" s="352"/>
      <c r="D9" s="352">
        <v>29240</v>
      </c>
      <c r="E9" s="149">
        <f>C9+D9</f>
        <v>29240</v>
      </c>
      <c r="G9" s="4"/>
    </row>
    <row r="10" spans="1:13" ht="41.25" customHeight="1" thickBot="1" x14ac:dyDescent="0.3">
      <c r="B10" s="113" t="s">
        <v>729</v>
      </c>
      <c r="C10" s="101">
        <f>SUM(C7:C9)</f>
        <v>677754</v>
      </c>
      <c r="D10" s="101">
        <f>SUM(D7:D9)</f>
        <v>66973</v>
      </c>
      <c r="E10" s="101">
        <f>SUM(E7:E9)</f>
        <v>744727</v>
      </c>
      <c r="G10" s="4"/>
      <c r="H10" s="339"/>
    </row>
    <row r="11" spans="1:13" ht="20.100000000000001" customHeight="1" x14ac:dyDescent="0.25">
      <c r="B11" s="53" t="s">
        <v>392</v>
      </c>
      <c r="C11" s="53"/>
      <c r="D11" s="97"/>
      <c r="E11" s="782"/>
      <c r="G11" s="4"/>
      <c r="H11" s="339"/>
    </row>
    <row r="12" spans="1:13" ht="20.100000000000001" customHeight="1" thickBot="1" x14ac:dyDescent="0.25">
      <c r="A12" s="5">
        <v>404110</v>
      </c>
      <c r="B12" s="368" t="s">
        <v>361</v>
      </c>
      <c r="C12" s="442"/>
      <c r="D12" s="369">
        <v>1738</v>
      </c>
      <c r="E12" s="369">
        <f>C12+D12</f>
        <v>1738</v>
      </c>
      <c r="G12" s="4"/>
      <c r="H12" s="339"/>
    </row>
    <row r="13" spans="1:13" ht="19.5" customHeight="1" thickBot="1" x14ac:dyDescent="0.25">
      <c r="B13" s="50" t="s">
        <v>394</v>
      </c>
      <c r="C13" s="91">
        <f>SUM(C12:C12)</f>
        <v>0</v>
      </c>
      <c r="D13" s="91">
        <f>SUM(D12:D12)</f>
        <v>1738</v>
      </c>
      <c r="E13" s="91">
        <f>SUM(E12:E12)</f>
        <v>1738</v>
      </c>
      <c r="G13" s="4"/>
    </row>
    <row r="14" spans="1:13" ht="20.100000000000001" customHeight="1" x14ac:dyDescent="0.25">
      <c r="B14" s="53" t="s">
        <v>393</v>
      </c>
      <c r="C14" s="53"/>
      <c r="D14" s="97"/>
      <c r="E14" s="782"/>
      <c r="G14" s="4"/>
    </row>
    <row r="15" spans="1:13" ht="20.100000000000001" customHeight="1" x14ac:dyDescent="0.2">
      <c r="A15" s="5">
        <v>404130</v>
      </c>
      <c r="B15" s="29" t="s">
        <v>293</v>
      </c>
      <c r="C15" s="91">
        <v>118000</v>
      </c>
      <c r="D15" s="91">
        <v>6663</v>
      </c>
      <c r="E15" s="91">
        <f>C15+D15</f>
        <v>124663</v>
      </c>
      <c r="G15" s="4"/>
    </row>
    <row r="16" spans="1:13" ht="20.100000000000001" customHeight="1" x14ac:dyDescent="0.2">
      <c r="A16" s="5">
        <v>404010</v>
      </c>
      <c r="B16" s="29" t="s">
        <v>84</v>
      </c>
      <c r="C16" s="91">
        <v>5000</v>
      </c>
      <c r="D16" s="91">
        <v>740</v>
      </c>
      <c r="E16" s="91">
        <f t="shared" ref="E16:E29" si="0">C16+D16</f>
        <v>5740</v>
      </c>
      <c r="G16" s="4"/>
    </row>
    <row r="17" spans="1:7" x14ac:dyDescent="0.2">
      <c r="B17" s="367" t="s">
        <v>445</v>
      </c>
      <c r="C17" s="149">
        <v>120000</v>
      </c>
      <c r="D17" s="149"/>
      <c r="E17" s="149">
        <f t="shared" si="0"/>
        <v>120000</v>
      </c>
      <c r="G17" s="4"/>
    </row>
    <row r="18" spans="1:7" ht="20.100000000000001" customHeight="1" x14ac:dyDescent="0.2">
      <c r="A18" s="5">
        <v>404080</v>
      </c>
      <c r="B18" s="26" t="s">
        <v>534</v>
      </c>
      <c r="C18" s="91">
        <v>2210</v>
      </c>
      <c r="D18" s="91"/>
      <c r="E18" s="91">
        <f t="shared" si="0"/>
        <v>2210</v>
      </c>
      <c r="G18" s="4"/>
    </row>
    <row r="19" spans="1:7" ht="20.100000000000001" customHeight="1" x14ac:dyDescent="0.2">
      <c r="A19" s="5">
        <v>404140</v>
      </c>
      <c r="B19" s="26" t="s">
        <v>34</v>
      </c>
      <c r="C19" s="91">
        <v>2000</v>
      </c>
      <c r="D19" s="91">
        <v>29</v>
      </c>
      <c r="E19" s="91">
        <f t="shared" si="0"/>
        <v>2029</v>
      </c>
      <c r="G19" s="4"/>
    </row>
    <row r="20" spans="1:7" ht="20.100000000000001" customHeight="1" x14ac:dyDescent="0.2">
      <c r="A20" s="5">
        <v>404250</v>
      </c>
      <c r="B20" s="26" t="s">
        <v>31</v>
      </c>
      <c r="C20" s="91">
        <v>2000</v>
      </c>
      <c r="D20" s="91"/>
      <c r="E20" s="91">
        <f t="shared" si="0"/>
        <v>2000</v>
      </c>
      <c r="G20" s="4"/>
    </row>
    <row r="21" spans="1:7" ht="20.100000000000001" customHeight="1" x14ac:dyDescent="0.2">
      <c r="A21" s="5">
        <v>404300</v>
      </c>
      <c r="B21" s="26" t="s">
        <v>176</v>
      </c>
      <c r="C21" s="91">
        <v>5000</v>
      </c>
      <c r="D21" s="93"/>
      <c r="E21" s="91">
        <f t="shared" si="0"/>
        <v>5000</v>
      </c>
      <c r="G21" s="4"/>
    </row>
    <row r="22" spans="1:7" ht="20.100000000000001" customHeight="1" x14ac:dyDescent="0.2">
      <c r="A22" s="5">
        <v>404301</v>
      </c>
      <c r="B22" s="26" t="s">
        <v>544</v>
      </c>
      <c r="C22" s="91">
        <v>4000</v>
      </c>
      <c r="D22" s="93"/>
      <c r="E22" s="91">
        <f t="shared" si="0"/>
        <v>4000</v>
      </c>
      <c r="G22" s="4"/>
    </row>
    <row r="23" spans="1:7" ht="20.100000000000001" customHeight="1" x14ac:dyDescent="0.2">
      <c r="A23" s="5">
        <v>404302</v>
      </c>
      <c r="B23" s="26" t="s">
        <v>220</v>
      </c>
      <c r="C23" s="91">
        <v>12000</v>
      </c>
      <c r="D23" s="93">
        <v>3380</v>
      </c>
      <c r="E23" s="91">
        <f t="shared" si="0"/>
        <v>15380</v>
      </c>
      <c r="G23" s="4"/>
    </row>
    <row r="24" spans="1:7" ht="20.100000000000001" customHeight="1" x14ac:dyDescent="0.2">
      <c r="B24" s="26" t="s">
        <v>453</v>
      </c>
      <c r="C24" s="91"/>
      <c r="D24" s="93">
        <v>30</v>
      </c>
      <c r="E24" s="91">
        <f t="shared" si="0"/>
        <v>30</v>
      </c>
      <c r="G24" s="4"/>
    </row>
    <row r="25" spans="1:7" ht="19.5" customHeight="1" x14ac:dyDescent="0.2">
      <c r="A25" s="5">
        <v>404400</v>
      </c>
      <c r="B25" s="54" t="s">
        <v>0</v>
      </c>
      <c r="C25" s="91">
        <v>42000</v>
      </c>
      <c r="D25" s="93">
        <v>3036</v>
      </c>
      <c r="E25" s="91">
        <f t="shared" si="0"/>
        <v>45036</v>
      </c>
      <c r="G25" s="4"/>
    </row>
    <row r="26" spans="1:7" x14ac:dyDescent="0.2">
      <c r="A26" s="5">
        <v>404410</v>
      </c>
      <c r="B26" s="228" t="s">
        <v>281</v>
      </c>
      <c r="C26" s="91">
        <v>1500</v>
      </c>
      <c r="D26" s="93"/>
      <c r="E26" s="91">
        <f t="shared" si="0"/>
        <v>1500</v>
      </c>
      <c r="G26" s="4"/>
    </row>
    <row r="27" spans="1:7" x14ac:dyDescent="0.2">
      <c r="A27" s="213"/>
      <c r="B27" s="47" t="s">
        <v>530</v>
      </c>
      <c r="C27" s="91">
        <v>0</v>
      </c>
      <c r="D27" s="93">
        <f>10544-838</f>
        <v>9706</v>
      </c>
      <c r="E27" s="91">
        <f t="shared" si="0"/>
        <v>9706</v>
      </c>
      <c r="G27" s="4"/>
    </row>
    <row r="28" spans="1:7" x14ac:dyDescent="0.2">
      <c r="A28" s="213"/>
      <c r="B28" s="47" t="s">
        <v>548</v>
      </c>
      <c r="C28" s="93"/>
      <c r="D28" s="93">
        <v>7156</v>
      </c>
      <c r="E28" s="91">
        <f t="shared" si="0"/>
        <v>7156</v>
      </c>
      <c r="G28" s="4"/>
    </row>
    <row r="29" spans="1:7" ht="55.5" customHeight="1" thickBot="1" x14ac:dyDescent="0.25">
      <c r="A29" s="213"/>
      <c r="B29" s="783" t="s">
        <v>86</v>
      </c>
      <c r="C29" s="527">
        <v>15000</v>
      </c>
      <c r="D29" s="527"/>
      <c r="E29" s="91">
        <f t="shared" si="0"/>
        <v>15000</v>
      </c>
      <c r="G29" s="4"/>
    </row>
    <row r="30" spans="1:7" ht="37.5" customHeight="1" thickBot="1" x14ac:dyDescent="0.25">
      <c r="B30" s="51" t="s">
        <v>25</v>
      </c>
      <c r="C30" s="98">
        <f>SUM(C14:C29)</f>
        <v>328710</v>
      </c>
      <c r="D30" s="98">
        <f>SUM(D14:D29)</f>
        <v>30740</v>
      </c>
      <c r="E30" s="98">
        <f>SUM(E14:E29)</f>
        <v>359450</v>
      </c>
      <c r="G30" s="4"/>
    </row>
    <row r="31" spans="1:7" ht="20.100000000000001" customHeight="1" thickBot="1" x14ac:dyDescent="0.3">
      <c r="B31" s="7" t="s">
        <v>230</v>
      </c>
      <c r="C31" s="92">
        <f>C13+C30</f>
        <v>328710</v>
      </c>
      <c r="D31" s="92">
        <f>D13+D30</f>
        <v>32478</v>
      </c>
      <c r="E31" s="92">
        <f>E13+E30</f>
        <v>361188</v>
      </c>
      <c r="G31" s="4"/>
    </row>
    <row r="32" spans="1:7" s="9" customFormat="1" ht="20.100000000000001" customHeight="1" thickBot="1" x14ac:dyDescent="0.3">
      <c r="B32" s="12" t="s">
        <v>231</v>
      </c>
      <c r="C32" s="99">
        <f>+C10+C31</f>
        <v>1006464</v>
      </c>
      <c r="D32" s="99">
        <f>+D10+D31</f>
        <v>99451</v>
      </c>
      <c r="E32" s="99">
        <f>+E10+E31</f>
        <v>1105915</v>
      </c>
      <c r="G32" s="4"/>
    </row>
    <row r="33" spans="1:7" ht="15" customHeight="1" x14ac:dyDescent="0.2">
      <c r="G33" s="4"/>
    </row>
    <row r="34" spans="1:7" ht="19.5" thickBot="1" x14ac:dyDescent="0.35">
      <c r="B34" s="134" t="s">
        <v>152</v>
      </c>
      <c r="C34" s="134"/>
      <c r="D34" s="134"/>
      <c r="E34" s="134"/>
      <c r="G34" s="4"/>
    </row>
    <row r="35" spans="1:7" ht="15" customHeight="1" x14ac:dyDescent="0.25">
      <c r="B35" s="2" t="s">
        <v>329</v>
      </c>
      <c r="C35" s="439" t="s">
        <v>542</v>
      </c>
      <c r="D35" s="399" t="s">
        <v>677</v>
      </c>
      <c r="E35" s="811" t="s">
        <v>750</v>
      </c>
      <c r="G35" s="4"/>
    </row>
    <row r="36" spans="1:7" ht="15" customHeight="1" thickBot="1" x14ac:dyDescent="0.3">
      <c r="B36" s="30"/>
      <c r="C36" s="440" t="s">
        <v>159</v>
      </c>
      <c r="D36" s="400" t="s">
        <v>678</v>
      </c>
      <c r="E36" s="87" t="s">
        <v>541</v>
      </c>
      <c r="G36" s="4"/>
    </row>
    <row r="37" spans="1:7" ht="30" x14ac:dyDescent="0.2">
      <c r="B37" s="867" t="s">
        <v>188</v>
      </c>
      <c r="C37" s="867"/>
      <c r="D37" s="868"/>
      <c r="E37" s="868">
        <f>C37+D37</f>
        <v>0</v>
      </c>
      <c r="G37" s="4"/>
    </row>
    <row r="38" spans="1:7" ht="48" customHeight="1" x14ac:dyDescent="0.2">
      <c r="A38" s="5">
        <v>631000</v>
      </c>
      <c r="B38" s="869" t="s">
        <v>169</v>
      </c>
      <c r="C38" s="869"/>
      <c r="D38" s="870"/>
      <c r="E38" s="871">
        <f>C38+D38</f>
        <v>0</v>
      </c>
      <c r="G38" s="4"/>
    </row>
    <row r="39" spans="1:7" ht="30.75" thickBot="1" x14ac:dyDescent="0.25">
      <c r="B39" s="366" t="s">
        <v>682</v>
      </c>
      <c r="C39" s="366"/>
      <c r="D39" s="149">
        <v>9515</v>
      </c>
      <c r="E39" s="149">
        <f>C39+D39</f>
        <v>9515</v>
      </c>
      <c r="G39" s="4"/>
    </row>
    <row r="40" spans="1:7" ht="15" customHeight="1" thickBot="1" x14ac:dyDescent="0.3">
      <c r="B40" s="8" t="s">
        <v>730</v>
      </c>
      <c r="C40" s="98">
        <f>SUM(C37:C39)</f>
        <v>0</v>
      </c>
      <c r="D40" s="98">
        <f>SUM(D37:D39)</f>
        <v>9515</v>
      </c>
      <c r="E40" s="98">
        <f>SUM(E37:E39)</f>
        <v>9515</v>
      </c>
      <c r="G40" s="4"/>
    </row>
    <row r="41" spans="1:7" ht="15" customHeight="1" thickBot="1" x14ac:dyDescent="0.3">
      <c r="B41" s="8"/>
      <c r="C41" s="246"/>
      <c r="D41" s="246"/>
      <c r="E41" s="246"/>
      <c r="G41" s="4"/>
    </row>
    <row r="42" spans="1:7" ht="18.75" thickBot="1" x14ac:dyDescent="0.3">
      <c r="B42" s="135" t="s">
        <v>407</v>
      </c>
      <c r="C42" s="244">
        <f>+C40+C32</f>
        <v>1006464</v>
      </c>
      <c r="D42" s="244">
        <f>+D40+D32</f>
        <v>108966</v>
      </c>
      <c r="E42" s="244">
        <f>+E40+E32</f>
        <v>1115430</v>
      </c>
      <c r="G42" s="4"/>
    </row>
    <row r="44" spans="1:7" ht="15" customHeight="1" x14ac:dyDescent="0.25">
      <c r="B44" s="38" t="s">
        <v>138</v>
      </c>
      <c r="C44" s="38"/>
      <c r="D44" s="38"/>
      <c r="E44" s="530"/>
    </row>
    <row r="45" spans="1:7" ht="15" customHeight="1" x14ac:dyDescent="0.25">
      <c r="B45" s="38" t="s">
        <v>139</v>
      </c>
      <c r="C45" s="38"/>
      <c r="D45" s="38"/>
      <c r="E45" s="38"/>
    </row>
    <row r="50" spans="2:5" ht="15" customHeight="1" x14ac:dyDescent="0.25">
      <c r="B50" s="193" t="s">
        <v>721</v>
      </c>
      <c r="C50" s="193"/>
      <c r="D50" s="193"/>
      <c r="E50" s="193"/>
    </row>
    <row r="51" spans="2:5" ht="48.75" customHeight="1" x14ac:dyDescent="0.25">
      <c r="B51" s="247" t="s">
        <v>58</v>
      </c>
      <c r="C51" s="200">
        <f>C10+C40</f>
        <v>677754</v>
      </c>
      <c r="D51" s="200">
        <f>D10+D40</f>
        <v>76488</v>
      </c>
      <c r="E51" s="200">
        <f>E10+E40</f>
        <v>754242</v>
      </c>
    </row>
  </sheetData>
  <customSheetViews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53" orientation="portrait" r:id="rId3"/>
  <headerFooter alignWithMargins="0">
    <oddHeader xml:space="preserve">&amp;L&amp;F&amp;A&amp;R&amp;"Times New Roman CE,Félkövér"&amp;12 10. melléklet a 12/2017. (V.3.) önkormányzati rendelethez
"10. melléklet a 4/2017. (III.7.) önkormányzati rendelethez”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M45"/>
  <sheetViews>
    <sheetView view="pageLayout" topLeftCell="C1" zoomScaleNormal="100" workbookViewId="0">
      <selection activeCell="Q3" sqref="Q3"/>
    </sheetView>
  </sheetViews>
  <sheetFormatPr defaultRowHeight="15" customHeight="1" x14ac:dyDescent="0.25"/>
  <cols>
    <col min="1" max="1" width="19.83203125" style="52" customWidth="1"/>
    <col min="2" max="2" width="91.1640625" style="5" customWidth="1"/>
    <col min="3" max="3" width="31.6640625" style="5" customWidth="1"/>
    <col min="4" max="4" width="34.6640625" style="5" bestFit="1" customWidth="1"/>
    <col min="5" max="5" width="37.33203125" style="5" bestFit="1" customWidth="1"/>
    <col min="6" max="6" width="9.33203125" style="5"/>
    <col min="7" max="7" width="14" style="5" bestFit="1" customWidth="1"/>
    <col min="8" max="8" width="11.1640625" style="4" bestFit="1" customWidth="1"/>
    <col min="9" max="9" width="10.83203125" style="5" bestFit="1" customWidth="1"/>
    <col min="10" max="10" width="17.5" style="5" customWidth="1"/>
    <col min="11" max="11" width="19" style="5" customWidth="1"/>
    <col min="12" max="12" width="18.33203125" style="5" customWidth="1"/>
    <col min="13" max="13" width="25" style="5" customWidth="1"/>
    <col min="14" max="16384" width="9.33203125" style="5"/>
  </cols>
  <sheetData>
    <row r="1" spans="1:13" ht="15" customHeight="1" x14ac:dyDescent="0.25">
      <c r="B1" s="3"/>
      <c r="C1" s="3"/>
      <c r="D1" s="3"/>
      <c r="E1" s="3"/>
    </row>
    <row r="2" spans="1:13" ht="24" customHeight="1" x14ac:dyDescent="0.25">
      <c r="B2" s="1186" t="s">
        <v>114</v>
      </c>
      <c r="C2" s="1186"/>
      <c r="D2" s="1186"/>
      <c r="E2" s="1186"/>
    </row>
    <row r="3" spans="1:13" ht="15" customHeight="1" x14ac:dyDescent="0.25">
      <c r="B3" s="3"/>
      <c r="C3" s="3"/>
      <c r="D3" s="3"/>
      <c r="E3" s="3"/>
    </row>
    <row r="4" spans="1:13" ht="19.5" thickBot="1" x14ac:dyDescent="0.35">
      <c r="B4" s="134" t="s">
        <v>56</v>
      </c>
      <c r="C4" s="134"/>
      <c r="D4" s="134"/>
      <c r="E4" s="536" t="s">
        <v>419</v>
      </c>
    </row>
    <row r="5" spans="1:13" ht="20.100000000000001" customHeight="1" x14ac:dyDescent="0.25">
      <c r="B5" s="116" t="s">
        <v>329</v>
      </c>
      <c r="C5" s="439" t="s">
        <v>542</v>
      </c>
      <c r="D5" s="399" t="s">
        <v>677</v>
      </c>
      <c r="E5" s="811" t="s">
        <v>750</v>
      </c>
      <c r="F5" s="444"/>
      <c r="J5" s="792"/>
      <c r="K5" s="792"/>
      <c r="L5" s="792"/>
      <c r="M5" s="792"/>
    </row>
    <row r="6" spans="1:13" ht="20.100000000000001" customHeight="1" thickBot="1" x14ac:dyDescent="0.3">
      <c r="B6" s="196"/>
      <c r="C6" s="440" t="s">
        <v>159</v>
      </c>
      <c r="D6" s="400" t="s">
        <v>678</v>
      </c>
      <c r="E6" s="440" t="s">
        <v>541</v>
      </c>
      <c r="F6" s="445"/>
    </row>
    <row r="7" spans="1:13" s="9" customFormat="1" ht="41.25" customHeight="1" x14ac:dyDescent="0.25">
      <c r="A7" s="187">
        <v>641000</v>
      </c>
      <c r="B7" s="370" t="s">
        <v>389</v>
      </c>
      <c r="C7" s="371">
        <v>249685</v>
      </c>
      <c r="D7" s="371">
        <f>406+252+12530+1000</f>
        <v>14188</v>
      </c>
      <c r="E7" s="371">
        <f>C7+D7</f>
        <v>263873</v>
      </c>
      <c r="F7" s="38"/>
      <c r="G7" s="4"/>
      <c r="H7" s="32"/>
      <c r="I7" s="38"/>
      <c r="J7" s="340"/>
      <c r="K7" s="340"/>
      <c r="L7" s="340"/>
      <c r="M7" s="679"/>
    </row>
    <row r="8" spans="1:13" s="9" customFormat="1" ht="47.25" customHeight="1" x14ac:dyDescent="0.25">
      <c r="A8" s="112"/>
      <c r="B8" s="370" t="s">
        <v>390</v>
      </c>
      <c r="C8" s="371">
        <v>252838</v>
      </c>
      <c r="D8" s="371"/>
      <c r="E8" s="371">
        <f>C8+D8</f>
        <v>252838</v>
      </c>
      <c r="G8" s="4"/>
      <c r="H8" s="212"/>
      <c r="J8" s="212"/>
    </row>
    <row r="9" spans="1:13" s="9" customFormat="1" ht="47.25" customHeight="1" thickBot="1" x14ac:dyDescent="0.3">
      <c r="A9" s="112"/>
      <c r="B9" s="372" t="s">
        <v>683</v>
      </c>
      <c r="C9" s="371"/>
      <c r="D9" s="373">
        <v>25732</v>
      </c>
      <c r="E9" s="371">
        <f>C9+D9</f>
        <v>25732</v>
      </c>
      <c r="G9" s="4"/>
      <c r="H9" s="212"/>
    </row>
    <row r="10" spans="1:13" s="9" customFormat="1" ht="21" customHeight="1" thickBot="1" x14ac:dyDescent="0.3">
      <c r="A10" s="112"/>
      <c r="B10" s="879" t="s">
        <v>731</v>
      </c>
      <c r="C10" s="97">
        <f>SUM(C7:C9)</f>
        <v>502523</v>
      </c>
      <c r="D10" s="97">
        <f>SUM(D7:D9)</f>
        <v>39920</v>
      </c>
      <c r="E10" s="97">
        <f>SUM(E7:E9)</f>
        <v>542443</v>
      </c>
      <c r="G10" s="4"/>
      <c r="H10" s="212"/>
    </row>
    <row r="11" spans="1:13" ht="20.100000000000001" customHeight="1" x14ac:dyDescent="0.2">
      <c r="A11" s="112">
        <v>405010</v>
      </c>
      <c r="B11" s="374" t="s">
        <v>374</v>
      </c>
      <c r="C11" s="360">
        <v>11770</v>
      </c>
      <c r="D11" s="360">
        <v>-11770</v>
      </c>
      <c r="E11" s="360">
        <f>C11+D11</f>
        <v>0</v>
      </c>
      <c r="G11" s="4"/>
    </row>
    <row r="12" spans="1:13" ht="20.100000000000001" customHeight="1" x14ac:dyDescent="0.2">
      <c r="A12" s="112"/>
      <c r="B12" s="29" t="s">
        <v>414</v>
      </c>
      <c r="C12" s="91">
        <v>1500</v>
      </c>
      <c r="D12" s="91">
        <v>1000</v>
      </c>
      <c r="E12" s="91">
        <f t="shared" ref="E12:E24" si="0">C12+D12</f>
        <v>2500</v>
      </c>
      <c r="G12" s="4"/>
    </row>
    <row r="13" spans="1:13" ht="20.100000000000001" customHeight="1" x14ac:dyDescent="0.2">
      <c r="A13" s="112">
        <v>405020</v>
      </c>
      <c r="B13" s="26" t="s">
        <v>83</v>
      </c>
      <c r="C13" s="93">
        <v>2000</v>
      </c>
      <c r="D13" s="93">
        <v>-2000</v>
      </c>
      <c r="E13" s="93">
        <f t="shared" si="0"/>
        <v>0</v>
      </c>
      <c r="G13" s="4"/>
    </row>
    <row r="14" spans="1:13" ht="20.100000000000001" customHeight="1" x14ac:dyDescent="0.2">
      <c r="A14" s="112">
        <v>405030</v>
      </c>
      <c r="B14" s="26" t="s">
        <v>289</v>
      </c>
      <c r="C14" s="93">
        <v>1500</v>
      </c>
      <c r="D14" s="93">
        <v>-1500</v>
      </c>
      <c r="E14" s="93">
        <f t="shared" si="0"/>
        <v>0</v>
      </c>
      <c r="G14" s="4"/>
    </row>
    <row r="15" spans="1:13" ht="20.100000000000001" customHeight="1" x14ac:dyDescent="0.2">
      <c r="A15" s="112">
        <v>405050</v>
      </c>
      <c r="B15" s="26" t="s">
        <v>290</v>
      </c>
      <c r="C15" s="93">
        <v>700</v>
      </c>
      <c r="D15" s="93"/>
      <c r="E15" s="93">
        <f t="shared" si="0"/>
        <v>700</v>
      </c>
      <c r="G15" s="4"/>
    </row>
    <row r="16" spans="1:13" ht="20.100000000000001" customHeight="1" x14ac:dyDescent="0.2">
      <c r="A16" s="112">
        <v>405060</v>
      </c>
      <c r="B16" s="26" t="s">
        <v>531</v>
      </c>
      <c r="C16" s="93">
        <v>3000</v>
      </c>
      <c r="D16" s="93"/>
      <c r="E16" s="93">
        <f t="shared" si="0"/>
        <v>3000</v>
      </c>
      <c r="G16" s="4"/>
    </row>
    <row r="17" spans="1:8" ht="20.100000000000001" customHeight="1" x14ac:dyDescent="0.2">
      <c r="A17" s="112">
        <v>405070</v>
      </c>
      <c r="B17" s="26" t="s">
        <v>297</v>
      </c>
      <c r="C17" s="93">
        <v>2000</v>
      </c>
      <c r="D17" s="93"/>
      <c r="E17" s="93">
        <f t="shared" si="0"/>
        <v>2000</v>
      </c>
      <c r="G17" s="4"/>
    </row>
    <row r="18" spans="1:8" ht="20.100000000000001" customHeight="1" x14ac:dyDescent="0.2">
      <c r="A18" s="112">
        <v>405080</v>
      </c>
      <c r="B18" s="26" t="s">
        <v>291</v>
      </c>
      <c r="C18" s="93">
        <v>3000</v>
      </c>
      <c r="D18" s="93">
        <v>-3000</v>
      </c>
      <c r="E18" s="93">
        <f t="shared" si="0"/>
        <v>0</v>
      </c>
      <c r="G18" s="4"/>
    </row>
    <row r="19" spans="1:8" ht="30" x14ac:dyDescent="0.2">
      <c r="A19" s="112">
        <v>405090</v>
      </c>
      <c r="B19" s="47" t="s">
        <v>359</v>
      </c>
      <c r="C19" s="93">
        <v>2000</v>
      </c>
      <c r="D19" s="93"/>
      <c r="E19" s="93">
        <f t="shared" si="0"/>
        <v>2000</v>
      </c>
      <c r="G19" s="4"/>
    </row>
    <row r="20" spans="1:8" ht="20.100000000000001" customHeight="1" x14ac:dyDescent="0.2">
      <c r="A20" s="112">
        <v>405100</v>
      </c>
      <c r="B20" s="351" t="s">
        <v>80</v>
      </c>
      <c r="C20" s="148">
        <v>34334</v>
      </c>
      <c r="D20" s="148"/>
      <c r="E20" s="148">
        <f t="shared" si="0"/>
        <v>34334</v>
      </c>
      <c r="G20" s="4"/>
    </row>
    <row r="21" spans="1:8" ht="20.100000000000001" customHeight="1" x14ac:dyDescent="0.2">
      <c r="A21" s="112">
        <v>405110</v>
      </c>
      <c r="B21" s="26" t="s">
        <v>142</v>
      </c>
      <c r="C21" s="93">
        <v>3000</v>
      </c>
      <c r="D21" s="93"/>
      <c r="E21" s="93">
        <f t="shared" si="0"/>
        <v>3000</v>
      </c>
      <c r="G21" s="4"/>
    </row>
    <row r="22" spans="1:8" ht="20.100000000000001" customHeight="1" x14ac:dyDescent="0.2">
      <c r="A22" s="112">
        <v>405120</v>
      </c>
      <c r="B22" s="100" t="s">
        <v>111</v>
      </c>
      <c r="C22" s="93">
        <v>160</v>
      </c>
      <c r="D22" s="93"/>
      <c r="E22" s="93">
        <f t="shared" si="0"/>
        <v>160</v>
      </c>
      <c r="G22" s="4"/>
    </row>
    <row r="23" spans="1:8" ht="20.100000000000001" customHeight="1" x14ac:dyDescent="0.2">
      <c r="A23" s="112"/>
      <c r="B23" s="214" t="s">
        <v>446</v>
      </c>
      <c r="C23" s="93">
        <v>15000</v>
      </c>
      <c r="D23" s="93">
        <v>14651</v>
      </c>
      <c r="E23" s="93">
        <f t="shared" si="0"/>
        <v>29651</v>
      </c>
      <c r="G23" s="4"/>
    </row>
    <row r="24" spans="1:8" s="888" customFormat="1" ht="30" x14ac:dyDescent="0.2">
      <c r="A24" s="886"/>
      <c r="B24" s="214" t="s">
        <v>740</v>
      </c>
      <c r="C24" s="887"/>
      <c r="D24" s="887">
        <v>500</v>
      </c>
      <c r="E24" s="887">
        <f t="shared" si="0"/>
        <v>500</v>
      </c>
      <c r="G24" s="4"/>
      <c r="H24" s="889"/>
    </row>
    <row r="25" spans="1:8" ht="20.100000000000001" customHeight="1" thickBot="1" x14ac:dyDescent="0.3">
      <c r="A25" s="112"/>
      <c r="B25" s="39" t="s">
        <v>232</v>
      </c>
      <c r="C25" s="92">
        <f>SUM(C11:C24)</f>
        <v>79964</v>
      </c>
      <c r="D25" s="92">
        <f>SUM(D11:D24)</f>
        <v>-2119</v>
      </c>
      <c r="E25" s="92">
        <f>SUM(E11:E24)</f>
        <v>77845</v>
      </c>
      <c r="G25" s="4"/>
    </row>
    <row r="26" spans="1:8" s="9" customFormat="1" ht="20.100000000000001" customHeight="1" thickBot="1" x14ac:dyDescent="0.3">
      <c r="A26" s="112"/>
      <c r="B26" s="40" t="s">
        <v>233</v>
      </c>
      <c r="C26" s="101">
        <f>C10+C25</f>
        <v>582487</v>
      </c>
      <c r="D26" s="101">
        <f>D10+D25</f>
        <v>37801</v>
      </c>
      <c r="E26" s="101">
        <f>E10+E25</f>
        <v>620288</v>
      </c>
      <c r="G26" s="4"/>
      <c r="H26" s="212"/>
    </row>
    <row r="27" spans="1:8" ht="15" customHeight="1" x14ac:dyDescent="0.2">
      <c r="A27" s="112"/>
      <c r="G27" s="4"/>
    </row>
    <row r="28" spans="1:8" ht="15" customHeight="1" x14ac:dyDescent="0.2">
      <c r="A28" s="112"/>
      <c r="G28" s="4"/>
    </row>
    <row r="29" spans="1:8" ht="19.5" thickBot="1" x14ac:dyDescent="0.35">
      <c r="A29" s="112"/>
      <c r="B29" s="134" t="s">
        <v>152</v>
      </c>
      <c r="C29" s="134"/>
      <c r="D29" s="134"/>
      <c r="E29" s="134"/>
      <c r="G29" s="4"/>
    </row>
    <row r="30" spans="1:8" ht="15" customHeight="1" x14ac:dyDescent="0.25">
      <c r="A30" s="112"/>
      <c r="B30" s="2" t="s">
        <v>329</v>
      </c>
      <c r="C30" s="439" t="s">
        <v>542</v>
      </c>
      <c r="D30" s="399" t="s">
        <v>677</v>
      </c>
      <c r="E30" s="811" t="s">
        <v>750</v>
      </c>
      <c r="G30" s="4"/>
    </row>
    <row r="31" spans="1:8" ht="15" customHeight="1" thickBot="1" x14ac:dyDescent="0.3">
      <c r="A31" s="112"/>
      <c r="B31" s="30"/>
      <c r="C31" s="440" t="s">
        <v>159</v>
      </c>
      <c r="D31" s="400" t="s">
        <v>678</v>
      </c>
      <c r="E31" s="440" t="s">
        <v>541</v>
      </c>
      <c r="G31" s="4"/>
    </row>
    <row r="32" spans="1:8" ht="62.25" customHeight="1" x14ac:dyDescent="0.2">
      <c r="A32" s="112"/>
      <c r="B32" s="872" t="s">
        <v>389</v>
      </c>
      <c r="C32" s="446">
        <v>3139</v>
      </c>
      <c r="D32" s="446">
        <f>5740+80640</f>
        <v>86380</v>
      </c>
      <c r="E32" s="446">
        <f>C32+D32</f>
        <v>89519</v>
      </c>
      <c r="G32" s="4"/>
    </row>
    <row r="33" spans="1:7" ht="59.25" customHeight="1" x14ac:dyDescent="0.2">
      <c r="A33" s="112"/>
      <c r="B33" s="874" t="s">
        <v>390</v>
      </c>
      <c r="C33" s="875">
        <v>1990</v>
      </c>
      <c r="D33" s="875"/>
      <c r="E33" s="875">
        <f>C33+D33</f>
        <v>1990</v>
      </c>
      <c r="G33" s="4"/>
    </row>
    <row r="34" spans="1:7" ht="59.25" customHeight="1" thickBot="1" x14ac:dyDescent="0.25">
      <c r="A34" s="112"/>
      <c r="B34" s="370" t="s">
        <v>684</v>
      </c>
      <c r="C34" s="873"/>
      <c r="D34" s="873">
        <v>4417</v>
      </c>
      <c r="E34" s="873">
        <f>C34+D34</f>
        <v>4417</v>
      </c>
      <c r="G34" s="4"/>
    </row>
    <row r="35" spans="1:7" ht="16.5" thickBot="1" x14ac:dyDescent="0.3">
      <c r="A35" s="112"/>
      <c r="B35" s="881" t="s">
        <v>732</v>
      </c>
      <c r="C35" s="99">
        <f>SUM(C32:C34)</f>
        <v>5129</v>
      </c>
      <c r="D35" s="99">
        <f>SUM(D32:D34)</f>
        <v>90797</v>
      </c>
      <c r="E35" s="99">
        <f>SUM(E32:E34)</f>
        <v>95926</v>
      </c>
      <c r="G35" s="4"/>
    </row>
    <row r="36" spans="1:7" ht="15" customHeight="1" thickBot="1" x14ac:dyDescent="0.3">
      <c r="A36" s="248"/>
      <c r="B36" s="137"/>
      <c r="C36" s="38"/>
      <c r="D36" s="38"/>
      <c r="E36" s="38"/>
      <c r="G36" s="4"/>
    </row>
    <row r="37" spans="1:7" ht="18.75" thickBot="1" x14ac:dyDescent="0.3">
      <c r="A37" s="112"/>
      <c r="B37" s="135" t="s">
        <v>405</v>
      </c>
      <c r="C37" s="89">
        <f>+C26+C35</f>
        <v>587616</v>
      </c>
      <c r="D37" s="136">
        <f>+D26+D35</f>
        <v>128598</v>
      </c>
      <c r="E37" s="89">
        <f>+E26+E35</f>
        <v>716214</v>
      </c>
      <c r="G37" s="4"/>
    </row>
    <row r="38" spans="1:7" ht="15" customHeight="1" x14ac:dyDescent="0.2">
      <c r="A38" s="112"/>
    </row>
    <row r="39" spans="1:7" ht="15" customHeight="1" x14ac:dyDescent="0.25">
      <c r="A39" s="112"/>
      <c r="B39" s="38" t="s">
        <v>138</v>
      </c>
      <c r="C39" s="38"/>
      <c r="D39" s="38"/>
      <c r="E39" s="530"/>
    </row>
    <row r="40" spans="1:7" ht="15" customHeight="1" x14ac:dyDescent="0.25">
      <c r="A40" s="112"/>
      <c r="B40" s="38" t="s">
        <v>139</v>
      </c>
      <c r="C40" s="38"/>
      <c r="D40" s="38"/>
      <c r="E40" s="38"/>
    </row>
    <row r="41" spans="1:7" ht="15" customHeight="1" x14ac:dyDescent="0.2">
      <c r="A41" s="112"/>
    </row>
    <row r="42" spans="1:7" ht="15" customHeight="1" x14ac:dyDescent="0.2">
      <c r="A42" s="112"/>
    </row>
    <row r="43" spans="1:7" ht="15" customHeight="1" x14ac:dyDescent="0.2">
      <c r="A43" s="112"/>
    </row>
    <row r="44" spans="1:7" ht="15" customHeight="1" x14ac:dyDescent="0.25">
      <c r="A44" s="112"/>
      <c r="B44" s="193" t="s">
        <v>721</v>
      </c>
      <c r="C44" s="193"/>
      <c r="D44" s="193"/>
      <c r="E44" s="193"/>
    </row>
    <row r="45" spans="1:7" ht="24.75" customHeight="1" x14ac:dyDescent="0.25">
      <c r="A45" s="112"/>
      <c r="B45" s="443" t="s">
        <v>391</v>
      </c>
      <c r="C45" s="200">
        <f>C10+C35</f>
        <v>507652</v>
      </c>
      <c r="D45" s="200">
        <f>D10+D35</f>
        <v>130717</v>
      </c>
      <c r="E45" s="200">
        <f>E10+E35</f>
        <v>638369</v>
      </c>
    </row>
  </sheetData>
  <customSheetViews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39370078740157483" right="0" top="0.98425196850393704" bottom="0.98425196850393704" header="0.51181102362204722" footer="0.51181102362204722"/>
  <pageSetup paperSize="9" scale="60" orientation="portrait" r:id="rId3"/>
  <headerFooter alignWithMargins="0">
    <oddHeader xml:space="preserve">&amp;L&amp;F&amp;A&amp;R&amp;"Times New Roman CE,Félkövér"&amp;12 11. melléklet a 12/2017. (V.3.) önkormányzati rendelethez
"11. melléklet a 4/2017. (III.7.) önkormányzati rendelethez”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M32"/>
  <sheetViews>
    <sheetView zoomScale="81" zoomScaleNormal="81" workbookViewId="0">
      <selection activeCell="H6" sqref="H6"/>
    </sheetView>
  </sheetViews>
  <sheetFormatPr defaultRowHeight="15" customHeight="1" x14ac:dyDescent="0.2"/>
  <cols>
    <col min="1" max="1" width="19.83203125" style="5" customWidth="1"/>
    <col min="2" max="2" width="84.6640625" style="5" customWidth="1"/>
    <col min="3" max="3" width="31.83203125" style="5" customWidth="1"/>
    <col min="4" max="4" width="35" style="5" bestFit="1" customWidth="1"/>
    <col min="5" max="5" width="37.33203125" style="5" bestFit="1" customWidth="1"/>
    <col min="6" max="6" width="9.33203125" style="4"/>
    <col min="7" max="7" width="14" style="4" bestFit="1" customWidth="1"/>
    <col min="8" max="9" width="11.1640625" style="4" bestFit="1" customWidth="1"/>
    <col min="10" max="10" width="20.33203125" style="4" customWidth="1"/>
    <col min="11" max="11" width="23" style="4" customWidth="1"/>
    <col min="12" max="12" width="21.1640625" style="5" customWidth="1"/>
    <col min="13" max="13" width="23.33203125" style="5" customWidth="1"/>
    <col min="14" max="16384" width="9.33203125" style="5"/>
  </cols>
  <sheetData>
    <row r="1" spans="1:13" ht="15" customHeight="1" x14ac:dyDescent="0.25">
      <c r="B1" s="3"/>
      <c r="C1" s="3"/>
      <c r="D1" s="3"/>
      <c r="E1" s="3"/>
    </row>
    <row r="2" spans="1:13" ht="27" customHeight="1" x14ac:dyDescent="0.25">
      <c r="B2" s="1186" t="s">
        <v>307</v>
      </c>
      <c r="C2" s="1186"/>
      <c r="D2" s="1186"/>
      <c r="E2" s="1186"/>
    </row>
    <row r="4" spans="1:13" ht="19.5" thickBot="1" x14ac:dyDescent="0.35">
      <c r="B4" s="134" t="s">
        <v>56</v>
      </c>
      <c r="C4" s="134"/>
      <c r="D4" s="134"/>
      <c r="E4" s="535" t="s">
        <v>419</v>
      </c>
    </row>
    <row r="5" spans="1:13" ht="20.100000000000001" customHeight="1" x14ac:dyDescent="0.25">
      <c r="B5" s="116" t="s">
        <v>329</v>
      </c>
      <c r="C5" s="439" t="s">
        <v>542</v>
      </c>
      <c r="D5" s="399" t="s">
        <v>677</v>
      </c>
      <c r="E5" s="811" t="s">
        <v>750</v>
      </c>
      <c r="J5" s="792"/>
      <c r="K5" s="792"/>
      <c r="L5" s="792"/>
      <c r="M5" s="792"/>
    </row>
    <row r="6" spans="1:13" ht="20.100000000000001" customHeight="1" thickBot="1" x14ac:dyDescent="0.3">
      <c r="B6" s="117"/>
      <c r="C6" s="440" t="s">
        <v>159</v>
      </c>
      <c r="D6" s="400" t="s">
        <v>678</v>
      </c>
      <c r="E6" s="440" t="s">
        <v>541</v>
      </c>
    </row>
    <row r="7" spans="1:13" ht="57.75" customHeight="1" x14ac:dyDescent="0.2">
      <c r="A7" s="10">
        <v>651000</v>
      </c>
      <c r="B7" s="391" t="s">
        <v>189</v>
      </c>
      <c r="C7" s="149">
        <v>611903</v>
      </c>
      <c r="D7" s="149">
        <f>9443+10920+1691+800</f>
        <v>22854</v>
      </c>
      <c r="E7" s="149">
        <f>C7+D7</f>
        <v>634757</v>
      </c>
      <c r="F7" s="217"/>
      <c r="H7" s="217"/>
      <c r="I7" s="217"/>
      <c r="J7" s="217"/>
      <c r="K7" s="217"/>
      <c r="L7" s="217"/>
      <c r="M7" s="4"/>
    </row>
    <row r="8" spans="1:13" ht="37.5" customHeight="1" x14ac:dyDescent="0.2">
      <c r="B8" s="370" t="s">
        <v>190</v>
      </c>
      <c r="C8" s="149">
        <v>37961</v>
      </c>
      <c r="D8" s="371"/>
      <c r="E8" s="149">
        <f>C8+D8</f>
        <v>37961</v>
      </c>
    </row>
    <row r="9" spans="1:13" ht="37.5" customHeight="1" thickBot="1" x14ac:dyDescent="0.25">
      <c r="B9" s="372" t="s">
        <v>685</v>
      </c>
      <c r="C9" s="149"/>
      <c r="D9" s="371">
        <v>1040</v>
      </c>
      <c r="E9" s="149">
        <f>C9+D9</f>
        <v>1040</v>
      </c>
    </row>
    <row r="10" spans="1:13" ht="24.75" customHeight="1" thickBot="1" x14ac:dyDescent="0.3">
      <c r="B10" s="8" t="s">
        <v>733</v>
      </c>
      <c r="C10" s="99">
        <f>SUM(C7:C9)</f>
        <v>649864</v>
      </c>
      <c r="D10" s="99">
        <f>SUM(D7:D9)</f>
        <v>23894</v>
      </c>
      <c r="E10" s="99">
        <f>SUM(E7:E9)</f>
        <v>673758</v>
      </c>
    </row>
    <row r="11" spans="1:13" ht="20.100000000000001" customHeight="1" x14ac:dyDescent="0.2">
      <c r="A11" s="5">
        <v>406120</v>
      </c>
      <c r="B11" s="374" t="s">
        <v>381</v>
      </c>
      <c r="C11" s="374">
        <v>300</v>
      </c>
      <c r="D11" s="360"/>
      <c r="E11" s="360">
        <f>C11+D11</f>
        <v>300</v>
      </c>
    </row>
    <row r="12" spans="1:13" ht="20.100000000000001" customHeight="1" x14ac:dyDescent="0.2">
      <c r="B12" s="26" t="s">
        <v>533</v>
      </c>
      <c r="C12" s="26">
        <v>255</v>
      </c>
      <c r="D12" s="93"/>
      <c r="E12" s="109">
        <f>C12+D12</f>
        <v>255</v>
      </c>
    </row>
    <row r="13" spans="1:13" ht="45.75" thickBot="1" x14ac:dyDescent="0.25">
      <c r="A13" s="5">
        <v>406140</v>
      </c>
      <c r="B13" s="780" t="s">
        <v>245</v>
      </c>
      <c r="C13" s="781">
        <v>3000</v>
      </c>
      <c r="D13" s="781"/>
      <c r="E13" s="781">
        <f>C13+D13</f>
        <v>3000</v>
      </c>
    </row>
    <row r="14" spans="1:13" ht="24.75" customHeight="1" thickBot="1" x14ac:dyDescent="0.3">
      <c r="B14" s="8" t="s">
        <v>234</v>
      </c>
      <c r="C14" s="99">
        <f>SUM(C11:C13)</f>
        <v>3555</v>
      </c>
      <c r="D14" s="99">
        <f>SUM(D11:D13)</f>
        <v>0</v>
      </c>
      <c r="E14" s="99">
        <f>SUM(E11:E13)</f>
        <v>3555</v>
      </c>
    </row>
    <row r="15" spans="1:13" ht="20.100000000000001" customHeight="1" thickBot="1" x14ac:dyDescent="0.3">
      <c r="B15" s="12" t="s">
        <v>236</v>
      </c>
      <c r="C15" s="101">
        <f>C10+C14</f>
        <v>653419</v>
      </c>
      <c r="D15" s="101">
        <f>D10+D14</f>
        <v>23894</v>
      </c>
      <c r="E15" s="101">
        <f>E10+E14</f>
        <v>677313</v>
      </c>
    </row>
    <row r="16" spans="1:13" ht="20.100000000000001" customHeight="1" x14ac:dyDescent="0.25">
      <c r="B16" s="48"/>
      <c r="C16" s="48"/>
      <c r="D16" s="49"/>
      <c r="E16" s="48"/>
    </row>
    <row r="17" spans="2:5" ht="19.5" thickBot="1" x14ac:dyDescent="0.35">
      <c r="B17" s="134" t="s">
        <v>152</v>
      </c>
      <c r="C17" s="134"/>
      <c r="D17" s="61"/>
      <c r="E17" s="134"/>
    </row>
    <row r="18" spans="2:5" ht="15" customHeight="1" x14ac:dyDescent="0.25">
      <c r="B18" s="2" t="s">
        <v>329</v>
      </c>
      <c r="C18" s="439" t="s">
        <v>542</v>
      </c>
      <c r="D18" s="399" t="s">
        <v>677</v>
      </c>
      <c r="E18" s="811" t="s">
        <v>750</v>
      </c>
    </row>
    <row r="19" spans="2:5" ht="15" customHeight="1" thickBot="1" x14ac:dyDescent="0.3">
      <c r="B19" s="30"/>
      <c r="C19" s="440" t="s">
        <v>159</v>
      </c>
      <c r="D19" s="400" t="s">
        <v>678</v>
      </c>
      <c r="E19" s="440" t="s">
        <v>541</v>
      </c>
    </row>
    <row r="20" spans="2:5" ht="39" customHeight="1" x14ac:dyDescent="0.2">
      <c r="B20" s="375" t="s">
        <v>189</v>
      </c>
      <c r="C20" s="876">
        <v>6638</v>
      </c>
      <c r="D20" s="876"/>
      <c r="E20" s="876">
        <f>C20+D20</f>
        <v>6638</v>
      </c>
    </row>
    <row r="21" spans="2:5" ht="46.5" customHeight="1" x14ac:dyDescent="0.2">
      <c r="B21" s="874" t="s">
        <v>190</v>
      </c>
      <c r="C21" s="877"/>
      <c r="D21" s="877"/>
      <c r="E21" s="877">
        <f>C21+D21</f>
        <v>0</v>
      </c>
    </row>
    <row r="22" spans="2:5" ht="35.25" customHeight="1" thickBot="1" x14ac:dyDescent="0.25">
      <c r="B22" s="370" t="s">
        <v>685</v>
      </c>
      <c r="C22" s="371"/>
      <c r="D22" s="371">
        <v>913</v>
      </c>
      <c r="E22" s="371">
        <f>C22+D22</f>
        <v>913</v>
      </c>
    </row>
    <row r="23" spans="2:5" ht="16.5" thickBot="1" x14ac:dyDescent="0.3">
      <c r="B23" s="882" t="s">
        <v>734</v>
      </c>
      <c r="C23" s="99">
        <f>SUM(C20:C22)</f>
        <v>6638</v>
      </c>
      <c r="D23" s="99">
        <f>SUM(D20:D22)</f>
        <v>913</v>
      </c>
      <c r="E23" s="99">
        <f>SUM(E20:E22)</f>
        <v>7551</v>
      </c>
    </row>
    <row r="24" spans="2:5" ht="15" customHeight="1" thickBot="1" x14ac:dyDescent="0.3">
      <c r="B24" s="137"/>
      <c r="C24" s="32"/>
      <c r="D24" s="32"/>
      <c r="E24" s="32"/>
    </row>
    <row r="25" spans="2:5" ht="18.75" thickBot="1" x14ac:dyDescent="0.3">
      <c r="B25" s="135" t="s">
        <v>191</v>
      </c>
      <c r="C25" s="136">
        <f>C15+C23</f>
        <v>660057</v>
      </c>
      <c r="D25" s="136">
        <f>D15+D23</f>
        <v>24807</v>
      </c>
      <c r="E25" s="136">
        <f>E15+E23</f>
        <v>684864</v>
      </c>
    </row>
    <row r="27" spans="2:5" ht="15" customHeight="1" x14ac:dyDescent="0.25">
      <c r="B27" s="38" t="s">
        <v>138</v>
      </c>
      <c r="C27" s="38"/>
      <c r="D27" s="38"/>
      <c r="E27" s="531"/>
    </row>
    <row r="28" spans="2:5" ht="15" customHeight="1" x14ac:dyDescent="0.25">
      <c r="B28" s="38" t="s">
        <v>139</v>
      </c>
      <c r="C28" s="38"/>
      <c r="D28" s="38"/>
      <c r="E28" s="38"/>
    </row>
    <row r="31" spans="2:5" ht="15" customHeight="1" x14ac:dyDescent="0.25">
      <c r="B31" s="193" t="s">
        <v>721</v>
      </c>
      <c r="C31" s="193"/>
      <c r="D31" s="193"/>
      <c r="E31" s="193"/>
    </row>
    <row r="32" spans="2:5" ht="24" customHeight="1" x14ac:dyDescent="0.25">
      <c r="B32" s="247" t="s">
        <v>23</v>
      </c>
      <c r="C32" s="200">
        <f>C10+C23</f>
        <v>656502</v>
      </c>
      <c r="D32" s="200">
        <f>D10+D23</f>
        <v>24807</v>
      </c>
      <c r="E32" s="200">
        <f>E10+E23</f>
        <v>681309</v>
      </c>
    </row>
  </sheetData>
  <customSheetViews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39370078740157483" right="0" top="0" bottom="0" header="0.51181102362204722" footer="0.51181102362204722"/>
  <pageSetup paperSize="9" scale="65" orientation="portrait" r:id="rId3"/>
  <headerFooter alignWithMargins="0">
    <oddHeader xml:space="preserve">&amp;L&amp;F&amp;A&amp;R&amp;"Times New Roman CE,Félkövér"&amp;12 12. melléklet a 12/2017. (V.3.) önkormányzati rendelethez
"12. melléklet a 4/2017. (III.7.) önkormányzati rendelethez”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N112"/>
  <sheetViews>
    <sheetView topLeftCell="A2" zoomScale="75" zoomScaleNormal="75" workbookViewId="0">
      <selection activeCell="Q23" sqref="Q23"/>
    </sheetView>
  </sheetViews>
  <sheetFormatPr defaultRowHeight="15" customHeight="1" x14ac:dyDescent="0.25"/>
  <cols>
    <col min="1" max="1" width="20.5" style="5" customWidth="1"/>
    <col min="2" max="2" width="111.6640625" style="5" customWidth="1"/>
    <col min="3" max="3" width="35.5" style="5" customWidth="1"/>
    <col min="4" max="4" width="34.6640625" style="808" bestFit="1" customWidth="1"/>
    <col min="5" max="5" width="37.33203125" style="4" bestFit="1" customWidth="1"/>
    <col min="6" max="6" width="9.33203125" style="4"/>
    <col min="7" max="7" width="14.83203125" style="4" bestFit="1" customWidth="1"/>
    <col min="8" max="8" width="15" style="4" bestFit="1" customWidth="1"/>
    <col min="9" max="9" width="30.83203125" style="4" customWidth="1"/>
    <col min="10" max="14" width="9.33203125" style="4"/>
    <col min="15" max="16384" width="9.33203125" style="5"/>
  </cols>
  <sheetData>
    <row r="1" spans="1:12" ht="8.25" customHeight="1" x14ac:dyDescent="0.25">
      <c r="B1" s="3"/>
      <c r="C1" s="3"/>
      <c r="D1" s="843"/>
      <c r="E1" s="397"/>
    </row>
    <row r="2" spans="1:12" ht="15" customHeight="1" x14ac:dyDescent="0.25">
      <c r="B2" s="1186" t="s">
        <v>246</v>
      </c>
      <c r="C2" s="1186"/>
      <c r="D2" s="1186"/>
      <c r="E2" s="1186"/>
    </row>
    <row r="3" spans="1:12" ht="19.5" thickBot="1" x14ac:dyDescent="0.35">
      <c r="B3" s="190" t="s">
        <v>56</v>
      </c>
      <c r="C3" s="190"/>
      <c r="D3" s="827"/>
      <c r="E3" s="535" t="s">
        <v>419</v>
      </c>
    </row>
    <row r="4" spans="1:12" ht="17.100000000000001" customHeight="1" x14ac:dyDescent="0.25">
      <c r="B4" s="116" t="s">
        <v>329</v>
      </c>
      <c r="C4" s="439" t="s">
        <v>542</v>
      </c>
      <c r="D4" s="844" t="s">
        <v>677</v>
      </c>
      <c r="E4" s="811" t="s">
        <v>750</v>
      </c>
      <c r="F4" s="848"/>
    </row>
    <row r="5" spans="1:12" ht="17.100000000000001" customHeight="1" thickBot="1" x14ac:dyDescent="0.3">
      <c r="B5" s="196"/>
      <c r="C5" s="440" t="s">
        <v>159</v>
      </c>
      <c r="D5" s="845" t="s">
        <v>678</v>
      </c>
      <c r="E5" s="440" t="s">
        <v>541</v>
      </c>
      <c r="F5" s="849"/>
    </row>
    <row r="6" spans="1:12" ht="17.100000000000001" customHeight="1" x14ac:dyDescent="0.25">
      <c r="A6" s="5">
        <v>662000</v>
      </c>
      <c r="B6" s="119" t="s">
        <v>299</v>
      </c>
      <c r="C6" s="403">
        <v>138150</v>
      </c>
      <c r="D6" s="828">
        <f>23145+5243+219+99</f>
        <v>28706</v>
      </c>
      <c r="E6" s="403">
        <f>C6+D6</f>
        <v>166856</v>
      </c>
    </row>
    <row r="7" spans="1:12" ht="17.100000000000001" customHeight="1" x14ac:dyDescent="0.25">
      <c r="A7" s="10"/>
      <c r="B7" s="109" t="s">
        <v>10</v>
      </c>
      <c r="C7" s="403">
        <v>1690814</v>
      </c>
      <c r="D7" s="829">
        <f>265730+828+347+1527+1649+5674</f>
        <v>275755</v>
      </c>
      <c r="E7" s="403">
        <f>C7+D7</f>
        <v>1966569</v>
      </c>
      <c r="F7" s="217"/>
      <c r="G7" s="217"/>
      <c r="I7" s="217"/>
      <c r="J7" s="217"/>
      <c r="K7" s="217"/>
      <c r="L7" s="217"/>
    </row>
    <row r="8" spans="1:12" ht="17.100000000000001" customHeight="1" x14ac:dyDescent="0.25">
      <c r="B8" s="119" t="s">
        <v>313</v>
      </c>
      <c r="C8" s="403">
        <v>188406</v>
      </c>
      <c r="D8" s="809">
        <f>9338+126+51</f>
        <v>9515</v>
      </c>
      <c r="E8" s="403">
        <f>C8+D8</f>
        <v>197921</v>
      </c>
    </row>
    <row r="9" spans="1:12" ht="18.75" thickBot="1" x14ac:dyDescent="0.3">
      <c r="B9" s="883" t="s">
        <v>735</v>
      </c>
      <c r="C9" s="404">
        <f>SUM(C6:C8)</f>
        <v>2017370</v>
      </c>
      <c r="D9" s="830">
        <f>SUM(D6:D8)</f>
        <v>313976</v>
      </c>
      <c r="E9" s="404">
        <f>SUM(E6:E8)</f>
        <v>2331346</v>
      </c>
      <c r="G9" s="340"/>
    </row>
    <row r="10" spans="1:12" ht="17.100000000000001" customHeight="1" x14ac:dyDescent="0.25">
      <c r="B10" s="201" t="s">
        <v>364</v>
      </c>
      <c r="C10" s="201"/>
      <c r="D10" s="831"/>
      <c r="E10" s="201"/>
      <c r="G10" s="340"/>
    </row>
    <row r="11" spans="1:12" ht="17.100000000000001" customHeight="1" x14ac:dyDescent="0.25">
      <c r="A11" s="5">
        <v>407110</v>
      </c>
      <c r="B11" s="376" t="s">
        <v>400</v>
      </c>
      <c r="C11" s="405">
        <v>250000</v>
      </c>
      <c r="D11" s="832"/>
      <c r="E11" s="405">
        <f>C11+D11</f>
        <v>250000</v>
      </c>
      <c r="G11" s="340"/>
    </row>
    <row r="12" spans="1:12" ht="16.5" customHeight="1" x14ac:dyDescent="0.25">
      <c r="A12" s="5">
        <v>407120</v>
      </c>
      <c r="B12" s="357" t="s">
        <v>409</v>
      </c>
      <c r="C12" s="405">
        <v>600000</v>
      </c>
      <c r="D12" s="832"/>
      <c r="E12" s="405">
        <f>C12+D12</f>
        <v>600000</v>
      </c>
      <c r="G12" s="340"/>
    </row>
    <row r="13" spans="1:12" ht="16.5" customHeight="1" x14ac:dyDescent="0.25">
      <c r="B13" s="357" t="s">
        <v>527</v>
      </c>
      <c r="C13" s="405">
        <v>70000</v>
      </c>
      <c r="D13" s="832">
        <v>-70000</v>
      </c>
      <c r="E13" s="405">
        <f>C13+D13</f>
        <v>0</v>
      </c>
      <c r="G13" s="340"/>
    </row>
    <row r="14" spans="1:12" ht="16.5" customHeight="1" x14ac:dyDescent="0.25">
      <c r="A14" s="5">
        <v>407150</v>
      </c>
      <c r="B14" s="357" t="s">
        <v>109</v>
      </c>
      <c r="C14" s="405"/>
      <c r="D14" s="832">
        <v>728</v>
      </c>
      <c r="E14" s="405">
        <f>C14+D14</f>
        <v>728</v>
      </c>
      <c r="G14" s="340"/>
    </row>
    <row r="15" spans="1:12" ht="18" x14ac:dyDescent="0.25">
      <c r="A15" s="5">
        <v>407190</v>
      </c>
      <c r="B15" s="377" t="s">
        <v>263</v>
      </c>
      <c r="C15" s="405">
        <v>366370</v>
      </c>
      <c r="D15" s="833">
        <v>19050</v>
      </c>
      <c r="E15" s="405">
        <f>C15+D15</f>
        <v>385420</v>
      </c>
      <c r="G15" s="340"/>
    </row>
    <row r="16" spans="1:12" ht="17.100000000000001" customHeight="1" x14ac:dyDescent="0.25">
      <c r="B16" s="203" t="s">
        <v>384</v>
      </c>
      <c r="C16" s="406">
        <f>SUM(C11:C15)</f>
        <v>1286370</v>
      </c>
      <c r="D16" s="834">
        <f>SUM(D11:D15)</f>
        <v>-50222</v>
      </c>
      <c r="E16" s="406">
        <f>SUM(E11:E15)</f>
        <v>1236148</v>
      </c>
      <c r="G16" s="340"/>
    </row>
    <row r="17" spans="1:7" ht="17.100000000000001" customHeight="1" x14ac:dyDescent="0.25">
      <c r="B17" s="851" t="s">
        <v>12</v>
      </c>
      <c r="C17" s="201"/>
      <c r="D17" s="831"/>
      <c r="E17" s="201"/>
      <c r="G17" s="340"/>
    </row>
    <row r="18" spans="1:7" ht="17.100000000000001" customHeight="1" x14ac:dyDescent="0.25">
      <c r="A18" s="5">
        <v>407220</v>
      </c>
      <c r="B18" s="376" t="s">
        <v>320</v>
      </c>
      <c r="C18" s="405">
        <v>48000</v>
      </c>
      <c r="D18" s="832"/>
      <c r="E18" s="405">
        <f t="shared" ref="E18:E73" si="0">C18+D18</f>
        <v>48000</v>
      </c>
      <c r="G18" s="340"/>
    </row>
    <row r="19" spans="1:7" ht="18" x14ac:dyDescent="0.25">
      <c r="A19" s="5">
        <v>407280</v>
      </c>
      <c r="B19" s="120" t="s">
        <v>430</v>
      </c>
      <c r="C19" s="276">
        <v>12000</v>
      </c>
      <c r="D19" s="835">
        <f>453-700-30</f>
        <v>-277</v>
      </c>
      <c r="E19" s="276">
        <f t="shared" si="0"/>
        <v>11723</v>
      </c>
    </row>
    <row r="20" spans="1:7" ht="17.100000000000001" customHeight="1" x14ac:dyDescent="0.25">
      <c r="A20" s="5">
        <v>407281</v>
      </c>
      <c r="B20" s="357" t="s">
        <v>401</v>
      </c>
      <c r="C20" s="405">
        <v>9000</v>
      </c>
      <c r="D20" s="832"/>
      <c r="E20" s="405">
        <f t="shared" si="0"/>
        <v>9000</v>
      </c>
    </row>
    <row r="21" spans="1:7" ht="17.100000000000001" customHeight="1" x14ac:dyDescent="0.25">
      <c r="A21" s="5">
        <v>407283</v>
      </c>
      <c r="B21" s="109" t="s">
        <v>221</v>
      </c>
      <c r="C21" s="276">
        <v>4000</v>
      </c>
      <c r="D21" s="835">
        <v>210</v>
      </c>
      <c r="E21" s="276">
        <f t="shared" si="0"/>
        <v>4210</v>
      </c>
    </row>
    <row r="22" spans="1:7" ht="17.100000000000001" customHeight="1" x14ac:dyDescent="0.25">
      <c r="A22" s="5">
        <v>407284</v>
      </c>
      <c r="B22" s="109" t="s">
        <v>28</v>
      </c>
      <c r="C22" s="276">
        <v>6000</v>
      </c>
      <c r="D22" s="835">
        <v>55</v>
      </c>
      <c r="E22" s="276">
        <f t="shared" si="0"/>
        <v>6055</v>
      </c>
    </row>
    <row r="23" spans="1:7" ht="16.5" customHeight="1" x14ac:dyDescent="0.25">
      <c r="A23" s="5">
        <v>407286</v>
      </c>
      <c r="B23" s="109" t="s">
        <v>396</v>
      </c>
      <c r="C23" s="276">
        <v>11000</v>
      </c>
      <c r="D23" s="835">
        <v>63</v>
      </c>
      <c r="E23" s="276">
        <f t="shared" si="0"/>
        <v>11063</v>
      </c>
    </row>
    <row r="24" spans="1:7" ht="17.100000000000001" customHeight="1" x14ac:dyDescent="0.25">
      <c r="A24" s="5">
        <v>407301</v>
      </c>
      <c r="B24" s="376" t="s">
        <v>247</v>
      </c>
      <c r="C24" s="405">
        <v>13040</v>
      </c>
      <c r="D24" s="832"/>
      <c r="E24" s="405">
        <f t="shared" si="0"/>
        <v>13040</v>
      </c>
    </row>
    <row r="25" spans="1:7" ht="18" x14ac:dyDescent="0.25">
      <c r="A25" s="5">
        <v>407302</v>
      </c>
      <c r="B25" s="321" t="s">
        <v>653</v>
      </c>
      <c r="C25" s="276">
        <v>1000</v>
      </c>
      <c r="D25" s="835"/>
      <c r="E25" s="276">
        <f t="shared" si="0"/>
        <v>1000</v>
      </c>
    </row>
    <row r="26" spans="1:7" ht="18" x14ac:dyDescent="0.25">
      <c r="B26" s="321" t="s">
        <v>609</v>
      </c>
      <c r="C26" s="276">
        <v>720</v>
      </c>
      <c r="D26" s="835"/>
      <c r="E26" s="276">
        <f t="shared" si="0"/>
        <v>720</v>
      </c>
    </row>
    <row r="27" spans="1:7" ht="18" x14ac:dyDescent="0.25">
      <c r="A27" s="5">
        <v>407323</v>
      </c>
      <c r="B27" s="214" t="s">
        <v>317</v>
      </c>
      <c r="C27" s="276">
        <v>500</v>
      </c>
      <c r="D27" s="829"/>
      <c r="E27" s="276">
        <f t="shared" si="0"/>
        <v>500</v>
      </c>
    </row>
    <row r="28" spans="1:7" ht="17.100000000000001" customHeight="1" x14ac:dyDescent="0.25">
      <c r="A28" s="5">
        <v>407303</v>
      </c>
      <c r="B28" s="122" t="s">
        <v>411</v>
      </c>
      <c r="C28" s="276">
        <v>3335</v>
      </c>
      <c r="D28" s="835"/>
      <c r="E28" s="276">
        <f t="shared" si="0"/>
        <v>3335</v>
      </c>
    </row>
    <row r="29" spans="1:7" ht="17.100000000000001" customHeight="1" x14ac:dyDescent="0.25">
      <c r="A29" s="5">
        <v>407304</v>
      </c>
      <c r="B29" s="109" t="s">
        <v>410</v>
      </c>
      <c r="C29" s="276">
        <v>4400</v>
      </c>
      <c r="D29" s="835">
        <v>30</v>
      </c>
      <c r="E29" s="276">
        <f t="shared" si="0"/>
        <v>4430</v>
      </c>
    </row>
    <row r="30" spans="1:7" ht="17.100000000000001" customHeight="1" x14ac:dyDescent="0.25">
      <c r="A30" s="5">
        <v>407306</v>
      </c>
      <c r="B30" s="109" t="s">
        <v>244</v>
      </c>
      <c r="C30" s="276">
        <v>10000</v>
      </c>
      <c r="D30" s="835"/>
      <c r="E30" s="276">
        <f t="shared" si="0"/>
        <v>10000</v>
      </c>
    </row>
    <row r="31" spans="1:7" ht="17.100000000000001" customHeight="1" x14ac:dyDescent="0.25">
      <c r="A31" s="5">
        <v>407309</v>
      </c>
      <c r="B31" s="109" t="s">
        <v>287</v>
      </c>
      <c r="C31" s="276">
        <v>4000</v>
      </c>
      <c r="D31" s="835">
        <v>950</v>
      </c>
      <c r="E31" s="276">
        <f t="shared" si="0"/>
        <v>4950</v>
      </c>
    </row>
    <row r="32" spans="1:7" ht="18" x14ac:dyDescent="0.25">
      <c r="A32" s="5">
        <v>407310</v>
      </c>
      <c r="B32" s="110" t="s">
        <v>149</v>
      </c>
      <c r="C32" s="276">
        <v>2200</v>
      </c>
      <c r="D32" s="835"/>
      <c r="E32" s="276">
        <f t="shared" si="0"/>
        <v>2200</v>
      </c>
    </row>
    <row r="33" spans="1:14" ht="17.100000000000001" customHeight="1" x14ac:dyDescent="0.25">
      <c r="A33" s="5">
        <v>407314</v>
      </c>
      <c r="B33" s="109" t="s">
        <v>520</v>
      </c>
      <c r="C33" s="276">
        <v>320000</v>
      </c>
      <c r="D33" s="835"/>
      <c r="E33" s="276">
        <f t="shared" si="0"/>
        <v>320000</v>
      </c>
    </row>
    <row r="34" spans="1:14" ht="17.100000000000001" customHeight="1" x14ac:dyDescent="0.25">
      <c r="A34" s="5">
        <v>407316</v>
      </c>
      <c r="B34" s="109" t="s">
        <v>124</v>
      </c>
      <c r="C34" s="276">
        <v>1600</v>
      </c>
      <c r="D34" s="835"/>
      <c r="E34" s="276">
        <f t="shared" si="0"/>
        <v>1600</v>
      </c>
    </row>
    <row r="35" spans="1:14" ht="35.25" customHeight="1" x14ac:dyDescent="0.25">
      <c r="A35" s="5">
        <v>407320</v>
      </c>
      <c r="B35" s="110" t="s">
        <v>148</v>
      </c>
      <c r="C35" s="276">
        <v>2300</v>
      </c>
      <c r="D35" s="835"/>
      <c r="E35" s="276">
        <f t="shared" si="0"/>
        <v>2300</v>
      </c>
    </row>
    <row r="36" spans="1:14" ht="18" x14ac:dyDescent="0.25">
      <c r="A36" s="5">
        <v>407332</v>
      </c>
      <c r="B36" s="202" t="s">
        <v>376</v>
      </c>
      <c r="C36" s="276">
        <v>16776</v>
      </c>
      <c r="D36" s="829"/>
      <c r="E36" s="276">
        <f t="shared" si="0"/>
        <v>16776</v>
      </c>
    </row>
    <row r="37" spans="1:14" ht="30.75" x14ac:dyDescent="0.25">
      <c r="B37" s="731" t="s">
        <v>549</v>
      </c>
      <c r="C37" s="88">
        <v>5500</v>
      </c>
      <c r="D37" s="828">
        <v>550</v>
      </c>
      <c r="E37" s="88">
        <f t="shared" si="0"/>
        <v>6050</v>
      </c>
    </row>
    <row r="38" spans="1:14" ht="18" x14ac:dyDescent="0.25">
      <c r="A38" s="5">
        <v>407336</v>
      </c>
      <c r="B38" s="797" t="s">
        <v>617</v>
      </c>
      <c r="C38" s="798"/>
      <c r="D38" s="836"/>
      <c r="E38" s="798"/>
    </row>
    <row r="39" spans="1:14" ht="18" x14ac:dyDescent="0.25">
      <c r="A39" s="5">
        <v>407331</v>
      </c>
      <c r="B39" s="202" t="s">
        <v>679</v>
      </c>
      <c r="C39" s="276">
        <v>20000</v>
      </c>
      <c r="D39" s="829"/>
      <c r="E39" s="276">
        <f t="shared" si="0"/>
        <v>20000</v>
      </c>
    </row>
    <row r="40" spans="1:14" ht="18" x14ac:dyDescent="0.25">
      <c r="A40" s="5">
        <v>401640</v>
      </c>
      <c r="B40" s="47" t="s">
        <v>666</v>
      </c>
      <c r="C40" s="276">
        <v>20000</v>
      </c>
      <c r="D40" s="835">
        <v>2000</v>
      </c>
      <c r="E40" s="276">
        <f t="shared" si="0"/>
        <v>22000</v>
      </c>
      <c r="J40" s="5"/>
      <c r="K40" s="5"/>
      <c r="L40" s="5"/>
      <c r="M40" s="5"/>
      <c r="N40" s="5"/>
    </row>
    <row r="41" spans="1:14" ht="18" x14ac:dyDescent="0.25">
      <c r="B41" s="47" t="s">
        <v>667</v>
      </c>
      <c r="C41" s="276">
        <v>5000</v>
      </c>
      <c r="D41" s="829">
        <v>10000</v>
      </c>
      <c r="E41" s="276">
        <f t="shared" si="0"/>
        <v>15000</v>
      </c>
      <c r="J41" s="5"/>
      <c r="K41" s="5"/>
      <c r="L41" s="5"/>
      <c r="M41" s="5"/>
      <c r="N41" s="5"/>
    </row>
    <row r="42" spans="1:14" ht="18" x14ac:dyDescent="0.25">
      <c r="B42" s="787" t="s">
        <v>691</v>
      </c>
      <c r="C42" s="276"/>
      <c r="D42" s="829">
        <v>7000</v>
      </c>
      <c r="E42" s="276">
        <f t="shared" si="0"/>
        <v>7000</v>
      </c>
      <c r="J42" s="5"/>
      <c r="K42" s="5"/>
      <c r="L42" s="5"/>
      <c r="M42" s="5"/>
      <c r="N42" s="5"/>
    </row>
    <row r="43" spans="1:14" ht="18" x14ac:dyDescent="0.25">
      <c r="B43" s="202" t="s">
        <v>618</v>
      </c>
      <c r="C43" s="276">
        <v>80000</v>
      </c>
      <c r="D43" s="829"/>
      <c r="E43" s="276">
        <f t="shared" si="0"/>
        <v>80000</v>
      </c>
    </row>
    <row r="44" spans="1:14" ht="30.75" x14ac:dyDescent="0.25">
      <c r="A44" s="5">
        <v>407325</v>
      </c>
      <c r="B44" s="202" t="s">
        <v>656</v>
      </c>
      <c r="C44" s="276">
        <v>10000</v>
      </c>
      <c r="D44" s="829"/>
      <c r="E44" s="276">
        <f t="shared" si="0"/>
        <v>10000</v>
      </c>
    </row>
    <row r="45" spans="1:14" ht="30.75" x14ac:dyDescent="0.25">
      <c r="B45" s="393" t="s">
        <v>657</v>
      </c>
      <c r="C45" s="276">
        <v>10000</v>
      </c>
      <c r="D45" s="829"/>
      <c r="E45" s="276">
        <f t="shared" si="0"/>
        <v>10000</v>
      </c>
    </row>
    <row r="46" spans="1:14" ht="18" x14ac:dyDescent="0.25">
      <c r="B46" s="799" t="s">
        <v>619</v>
      </c>
      <c r="C46" s="800">
        <v>55000</v>
      </c>
      <c r="D46" s="837">
        <v>84374</v>
      </c>
      <c r="E46" s="800">
        <f t="shared" si="0"/>
        <v>139374</v>
      </c>
    </row>
    <row r="47" spans="1:14" ht="18" x14ac:dyDescent="0.25">
      <c r="B47" s="758" t="s">
        <v>537</v>
      </c>
      <c r="C47" s="276">
        <v>180000</v>
      </c>
      <c r="D47" s="835">
        <v>10</v>
      </c>
      <c r="E47" s="276">
        <f t="shared" si="0"/>
        <v>180010</v>
      </c>
    </row>
    <row r="48" spans="1:14" ht="18" x14ac:dyDescent="0.25">
      <c r="B48" s="202" t="s">
        <v>607</v>
      </c>
      <c r="C48" s="276">
        <v>543213</v>
      </c>
      <c r="D48" s="835"/>
      <c r="E48" s="276">
        <f t="shared" si="0"/>
        <v>543213</v>
      </c>
    </row>
    <row r="49" spans="1:7" ht="18" x14ac:dyDescent="0.25">
      <c r="B49" s="850" t="s">
        <v>16</v>
      </c>
      <c r="C49" s="276"/>
      <c r="D49" s="828"/>
      <c r="E49" s="276"/>
    </row>
    <row r="50" spans="1:7" ht="17.100000000000001" customHeight="1" x14ac:dyDescent="0.25">
      <c r="A50" s="5">
        <v>407210</v>
      </c>
      <c r="B50" s="378" t="s">
        <v>395</v>
      </c>
      <c r="C50" s="405">
        <v>1905</v>
      </c>
      <c r="D50" s="832">
        <v>2160</v>
      </c>
      <c r="E50" s="405">
        <f t="shared" si="0"/>
        <v>4065</v>
      </c>
      <c r="G50" s="340"/>
    </row>
    <row r="51" spans="1:7" ht="17.100000000000001" customHeight="1" x14ac:dyDescent="0.25">
      <c r="A51" s="5">
        <v>407285</v>
      </c>
      <c r="B51" s="109" t="s">
        <v>292</v>
      </c>
      <c r="C51" s="276">
        <v>16040</v>
      </c>
      <c r="D51" s="835">
        <f>1532+2000</f>
        <v>3532</v>
      </c>
      <c r="E51" s="276">
        <f t="shared" si="0"/>
        <v>19572</v>
      </c>
    </row>
    <row r="52" spans="1:7" ht="34.5" customHeight="1" x14ac:dyDescent="0.25">
      <c r="A52" s="5" t="s">
        <v>185</v>
      </c>
      <c r="B52" s="110" t="s">
        <v>157</v>
      </c>
      <c r="C52" s="276">
        <v>10000</v>
      </c>
      <c r="D52" s="829">
        <v>1640</v>
      </c>
      <c r="E52" s="276">
        <f t="shared" si="0"/>
        <v>11640</v>
      </c>
    </row>
    <row r="53" spans="1:7" ht="36" customHeight="1" x14ac:dyDescent="0.25">
      <c r="B53" s="110" t="s">
        <v>654</v>
      </c>
      <c r="C53" s="276">
        <v>120000</v>
      </c>
      <c r="D53" s="835"/>
      <c r="E53" s="276">
        <f t="shared" si="0"/>
        <v>120000</v>
      </c>
    </row>
    <row r="54" spans="1:7" ht="18" x14ac:dyDescent="0.25">
      <c r="A54" s="5">
        <v>407321</v>
      </c>
      <c r="B54" s="109" t="s">
        <v>341</v>
      </c>
      <c r="C54" s="276">
        <v>69117</v>
      </c>
      <c r="D54" s="835"/>
      <c r="E54" s="276">
        <f t="shared" si="0"/>
        <v>69117</v>
      </c>
    </row>
    <row r="55" spans="1:7" ht="18" x14ac:dyDescent="0.25">
      <c r="A55" s="5">
        <v>407322</v>
      </c>
      <c r="B55" s="109" t="s">
        <v>362</v>
      </c>
      <c r="C55" s="276">
        <v>39510</v>
      </c>
      <c r="D55" s="835"/>
      <c r="E55" s="276">
        <f t="shared" si="0"/>
        <v>39510</v>
      </c>
    </row>
    <row r="56" spans="1:7" ht="18" x14ac:dyDescent="0.25">
      <c r="A56" s="584"/>
      <c r="B56" s="110" t="s">
        <v>424</v>
      </c>
      <c r="C56" s="276">
        <v>5000</v>
      </c>
      <c r="D56" s="835">
        <v>1749</v>
      </c>
      <c r="E56" s="276">
        <f t="shared" si="0"/>
        <v>6749</v>
      </c>
    </row>
    <row r="57" spans="1:7" ht="18" x14ac:dyDescent="0.25">
      <c r="A57" s="10"/>
      <c r="B57" s="110" t="s">
        <v>564</v>
      </c>
      <c r="C57" s="276"/>
      <c r="D57" s="835">
        <v>90000</v>
      </c>
      <c r="E57" s="276">
        <f t="shared" si="0"/>
        <v>90000</v>
      </c>
    </row>
    <row r="58" spans="1:7" ht="18" x14ac:dyDescent="0.25">
      <c r="A58" s="10"/>
      <c r="B58" s="110" t="s">
        <v>565</v>
      </c>
      <c r="C58" s="88"/>
      <c r="D58" s="809">
        <v>8959</v>
      </c>
      <c r="E58" s="88">
        <f t="shared" si="0"/>
        <v>8959</v>
      </c>
    </row>
    <row r="59" spans="1:7" ht="30.75" x14ac:dyDescent="0.25">
      <c r="A59" s="584"/>
      <c r="B59" s="110" t="s">
        <v>692</v>
      </c>
      <c r="C59" s="276"/>
      <c r="D59" s="835">
        <v>60000</v>
      </c>
      <c r="E59" s="276">
        <f t="shared" si="0"/>
        <v>60000</v>
      </c>
    </row>
    <row r="60" spans="1:7" ht="30.75" x14ac:dyDescent="0.25">
      <c r="A60" s="584"/>
      <c r="B60" s="110" t="s">
        <v>693</v>
      </c>
      <c r="C60" s="276"/>
      <c r="D60" s="835">
        <v>12000</v>
      </c>
      <c r="E60" s="276">
        <f t="shared" si="0"/>
        <v>12000</v>
      </c>
    </row>
    <row r="61" spans="1:7" ht="18" x14ac:dyDescent="0.25">
      <c r="B61" s="852" t="s">
        <v>15</v>
      </c>
      <c r="C61" s="403"/>
      <c r="D61" s="828"/>
      <c r="E61" s="403"/>
    </row>
    <row r="62" spans="1:7" ht="36.75" customHeight="1" x14ac:dyDescent="0.25">
      <c r="A62" s="5">
        <v>407288</v>
      </c>
      <c r="B62" s="120" t="s">
        <v>55</v>
      </c>
      <c r="C62" s="276">
        <v>4500</v>
      </c>
      <c r="D62" s="835"/>
      <c r="E62" s="276">
        <f t="shared" si="0"/>
        <v>4500</v>
      </c>
    </row>
    <row r="63" spans="1:7" ht="22.5" customHeight="1" x14ac:dyDescent="0.25">
      <c r="A63" s="5">
        <v>407292</v>
      </c>
      <c r="B63" s="358" t="s">
        <v>316</v>
      </c>
      <c r="C63" s="405"/>
      <c r="D63" s="891">
        <f>4006-4006</f>
        <v>0</v>
      </c>
      <c r="E63" s="405">
        <f t="shared" si="0"/>
        <v>0</v>
      </c>
    </row>
    <row r="64" spans="1:7" ht="18" x14ac:dyDescent="0.25">
      <c r="A64" s="5">
        <v>407318</v>
      </c>
      <c r="B64" s="268" t="s">
        <v>82</v>
      </c>
      <c r="C64" s="276">
        <v>29000</v>
      </c>
      <c r="D64" s="835">
        <v>2413</v>
      </c>
      <c r="E64" s="276">
        <f t="shared" si="0"/>
        <v>31413</v>
      </c>
    </row>
    <row r="65" spans="1:14" ht="18" x14ac:dyDescent="0.25">
      <c r="A65" s="5">
        <v>407311</v>
      </c>
      <c r="B65" s="268" t="s">
        <v>47</v>
      </c>
      <c r="C65" s="276">
        <v>3000</v>
      </c>
      <c r="D65" s="835">
        <v>2473</v>
      </c>
      <c r="E65" s="276">
        <f t="shared" si="0"/>
        <v>5473</v>
      </c>
    </row>
    <row r="66" spans="1:14" ht="18" x14ac:dyDescent="0.25">
      <c r="A66" s="5">
        <v>407312</v>
      </c>
      <c r="B66" s="268" t="s">
        <v>102</v>
      </c>
      <c r="C66" s="276">
        <v>5800</v>
      </c>
      <c r="D66" s="835">
        <v>524</v>
      </c>
      <c r="E66" s="276">
        <f t="shared" si="0"/>
        <v>6324</v>
      </c>
    </row>
    <row r="67" spans="1:14" ht="18" x14ac:dyDescent="0.25">
      <c r="B67" s="268" t="s">
        <v>566</v>
      </c>
      <c r="C67" s="276">
        <v>9250</v>
      </c>
      <c r="D67" s="835"/>
      <c r="E67" s="276">
        <f t="shared" si="0"/>
        <v>9250</v>
      </c>
    </row>
    <row r="68" spans="1:14" ht="18" x14ac:dyDescent="0.25">
      <c r="B68" s="268" t="s">
        <v>439</v>
      </c>
      <c r="C68" s="276">
        <v>600</v>
      </c>
      <c r="D68" s="835"/>
      <c r="E68" s="276">
        <f t="shared" si="0"/>
        <v>600</v>
      </c>
    </row>
    <row r="69" spans="1:14" ht="18" x14ac:dyDescent="0.25">
      <c r="A69" s="5">
        <v>407313</v>
      </c>
      <c r="B69" s="214" t="s">
        <v>253</v>
      </c>
      <c r="C69" s="276">
        <v>7000</v>
      </c>
      <c r="D69" s="835">
        <v>1715</v>
      </c>
      <c r="E69" s="276">
        <f t="shared" si="0"/>
        <v>8715</v>
      </c>
    </row>
    <row r="70" spans="1:14" ht="18" x14ac:dyDescent="0.25">
      <c r="B70" s="214" t="s">
        <v>437</v>
      </c>
      <c r="C70" s="276"/>
      <c r="D70" s="890">
        <f>1000-1000</f>
        <v>0</v>
      </c>
      <c r="E70" s="276">
        <f t="shared" si="0"/>
        <v>0</v>
      </c>
    </row>
    <row r="71" spans="1:14" ht="18" x14ac:dyDescent="0.25">
      <c r="B71" s="214" t="s">
        <v>438</v>
      </c>
      <c r="C71" s="276"/>
      <c r="D71" s="835">
        <v>741</v>
      </c>
      <c r="E71" s="276">
        <f t="shared" si="0"/>
        <v>741</v>
      </c>
    </row>
    <row r="72" spans="1:14" ht="18" x14ac:dyDescent="0.25">
      <c r="B72" s="214" t="s">
        <v>608</v>
      </c>
      <c r="C72" s="277">
        <v>811</v>
      </c>
      <c r="D72" s="829"/>
      <c r="E72" s="277">
        <f t="shared" si="0"/>
        <v>811</v>
      </c>
    </row>
    <row r="73" spans="1:14" ht="17.100000000000001" customHeight="1" x14ac:dyDescent="0.25">
      <c r="B73" s="109" t="s">
        <v>438</v>
      </c>
      <c r="C73" s="276">
        <v>500</v>
      </c>
      <c r="D73" s="835"/>
      <c r="E73" s="276">
        <f t="shared" si="0"/>
        <v>500</v>
      </c>
      <c r="G73" s="340"/>
    </row>
    <row r="74" spans="1:14" ht="18" x14ac:dyDescent="0.25">
      <c r="B74" s="852" t="s">
        <v>14</v>
      </c>
      <c r="C74" s="403"/>
      <c r="D74" s="828"/>
      <c r="E74" s="403"/>
    </row>
    <row r="75" spans="1:14" ht="17.100000000000001" customHeight="1" x14ac:dyDescent="0.25">
      <c r="A75" s="5">
        <v>407230</v>
      </c>
      <c r="B75" s="122" t="s">
        <v>65</v>
      </c>
      <c r="C75" s="276">
        <v>15428</v>
      </c>
      <c r="D75" s="835">
        <v>9532</v>
      </c>
      <c r="E75" s="276">
        <f>C75+D75</f>
        <v>24960</v>
      </c>
      <c r="G75" s="340"/>
    </row>
    <row r="76" spans="1:14" ht="18" x14ac:dyDescent="0.25">
      <c r="B76" s="852" t="s">
        <v>13</v>
      </c>
      <c r="C76" s="403"/>
      <c r="D76" s="828"/>
      <c r="E76" s="403"/>
    </row>
    <row r="77" spans="1:14" ht="18" x14ac:dyDescent="0.25">
      <c r="B77" s="358" t="s">
        <v>672</v>
      </c>
      <c r="C77" s="405">
        <v>60000</v>
      </c>
      <c r="D77" s="833"/>
      <c r="E77" s="405">
        <f>C77+D77</f>
        <v>60000</v>
      </c>
    </row>
    <row r="78" spans="1:14" ht="17.100000000000001" customHeight="1" x14ac:dyDescent="0.25">
      <c r="A78" s="5">
        <v>407293</v>
      </c>
      <c r="B78" s="376" t="s">
        <v>399</v>
      </c>
      <c r="C78" s="405">
        <v>5400</v>
      </c>
      <c r="D78" s="838">
        <v>12623</v>
      </c>
      <c r="E78" s="405">
        <f>C78+D78</f>
        <v>18023</v>
      </c>
    </row>
    <row r="79" spans="1:14" ht="17.100000000000001" customHeight="1" thickBot="1" x14ac:dyDescent="0.3">
      <c r="B79" s="204" t="s">
        <v>412</v>
      </c>
      <c r="C79" s="404">
        <f>SUM(C18:C78)</f>
        <v>1801445</v>
      </c>
      <c r="D79" s="830">
        <f>SUM(D18:D78)</f>
        <v>315026</v>
      </c>
      <c r="E79" s="404">
        <f>SUM(E18:E78)</f>
        <v>2116471</v>
      </c>
    </row>
    <row r="80" spans="1:14" s="10" customFormat="1" ht="18" x14ac:dyDescent="0.25">
      <c r="B80" s="207" t="s">
        <v>177</v>
      </c>
      <c r="C80" s="201"/>
      <c r="D80" s="809"/>
      <c r="E80" s="809"/>
      <c r="F80" s="217"/>
      <c r="G80" s="217"/>
      <c r="H80" s="4"/>
      <c r="I80" s="217"/>
      <c r="J80" s="217"/>
      <c r="K80" s="217"/>
      <c r="L80" s="217"/>
      <c r="M80" s="217"/>
      <c r="N80" s="217"/>
    </row>
    <row r="81" spans="1:14" ht="39" customHeight="1" x14ac:dyDescent="0.25">
      <c r="B81" s="269" t="s">
        <v>550</v>
      </c>
      <c r="C81" s="269"/>
      <c r="D81" s="835">
        <v>11728</v>
      </c>
      <c r="E81" s="835">
        <f>C81+D81</f>
        <v>11728</v>
      </c>
    </row>
    <row r="82" spans="1:14" ht="39" customHeight="1" x14ac:dyDescent="0.25">
      <c r="B82" s="585" t="s">
        <v>621</v>
      </c>
      <c r="C82" s="728"/>
      <c r="D82" s="835">
        <v>4400</v>
      </c>
      <c r="E82" s="835">
        <f>C82+D82</f>
        <v>4400</v>
      </c>
    </row>
    <row r="83" spans="1:14" ht="39" customHeight="1" x14ac:dyDescent="0.25">
      <c r="B83" s="585" t="s">
        <v>622</v>
      </c>
      <c r="C83" s="269"/>
      <c r="D83" s="835">
        <v>2720</v>
      </c>
      <c r="E83" s="835">
        <f>C83+D83</f>
        <v>2720</v>
      </c>
    </row>
    <row r="84" spans="1:14" ht="39" customHeight="1" x14ac:dyDescent="0.25">
      <c r="B84" s="585" t="s">
        <v>567</v>
      </c>
      <c r="C84" s="585"/>
      <c r="D84" s="835">
        <v>4875</v>
      </c>
      <c r="E84" s="835">
        <f>C84+D84</f>
        <v>4875</v>
      </c>
    </row>
    <row r="85" spans="1:14" ht="39" customHeight="1" x14ac:dyDescent="0.25">
      <c r="B85" s="796" t="s">
        <v>561</v>
      </c>
      <c r="C85" s="734"/>
      <c r="D85" s="809">
        <v>58824</v>
      </c>
      <c r="E85" s="809">
        <f>C85+D85</f>
        <v>58824</v>
      </c>
    </row>
    <row r="86" spans="1:14" ht="17.100000000000001" customHeight="1" thickBot="1" x14ac:dyDescent="0.3">
      <c r="B86" s="196" t="s">
        <v>412</v>
      </c>
      <c r="C86" s="404">
        <f>SUM(C81:C85)</f>
        <v>0</v>
      </c>
      <c r="D86" s="830">
        <f>SUM(D81:D85)</f>
        <v>82547</v>
      </c>
      <c r="E86" s="404">
        <f>SUM(E81:E85)</f>
        <v>82547</v>
      </c>
    </row>
    <row r="87" spans="1:14" ht="21.75" customHeight="1" thickBot="1" x14ac:dyDescent="0.3">
      <c r="B87" s="205" t="s">
        <v>237</v>
      </c>
      <c r="C87" s="171">
        <f>C16+C79+C86</f>
        <v>3087815</v>
      </c>
      <c r="D87" s="839">
        <f>D16+D79+D86</f>
        <v>347351</v>
      </c>
      <c r="E87" s="171">
        <f>E16+E79+E86</f>
        <v>3435166</v>
      </c>
    </row>
    <row r="88" spans="1:14" s="9" customFormat="1" ht="40.5" customHeight="1" thickBot="1" x14ac:dyDescent="0.3">
      <c r="B88" s="206" t="s">
        <v>238</v>
      </c>
      <c r="C88" s="171">
        <f>C87+C9</f>
        <v>5105185</v>
      </c>
      <c r="D88" s="839">
        <f>D87+D9</f>
        <v>661327</v>
      </c>
      <c r="E88" s="171">
        <f>E87+E9</f>
        <v>5766512</v>
      </c>
      <c r="F88" s="212"/>
      <c r="G88" s="212"/>
      <c r="H88" s="4"/>
      <c r="I88" s="212"/>
      <c r="J88" s="212"/>
      <c r="K88" s="212"/>
      <c r="L88" s="212"/>
      <c r="M88" s="212"/>
      <c r="N88" s="212"/>
    </row>
    <row r="90" spans="1:14" ht="19.5" thickBot="1" x14ac:dyDescent="0.35">
      <c r="B90" s="134" t="s">
        <v>152</v>
      </c>
      <c r="C90" s="134"/>
      <c r="D90" s="840"/>
      <c r="E90" s="398"/>
    </row>
    <row r="91" spans="1:14" ht="15" customHeight="1" x14ac:dyDescent="0.25">
      <c r="B91" s="2" t="s">
        <v>329</v>
      </c>
      <c r="C91" s="439" t="s">
        <v>542</v>
      </c>
      <c r="D91" s="844" t="s">
        <v>677</v>
      </c>
      <c r="E91" s="811" t="s">
        <v>750</v>
      </c>
    </row>
    <row r="92" spans="1:14" ht="15" customHeight="1" thickBot="1" x14ac:dyDescent="0.3">
      <c r="B92" s="30"/>
      <c r="C92" s="440" t="s">
        <v>159</v>
      </c>
      <c r="D92" s="845" t="s">
        <v>678</v>
      </c>
      <c r="E92" s="440" t="s">
        <v>541</v>
      </c>
    </row>
    <row r="93" spans="1:14" ht="17.100000000000001" customHeight="1" x14ac:dyDescent="0.25">
      <c r="A93" s="5">
        <v>662000</v>
      </c>
      <c r="B93" s="119" t="s">
        <v>299</v>
      </c>
      <c r="C93" s="403">
        <v>3850</v>
      </c>
      <c r="D93" s="828"/>
      <c r="E93" s="403">
        <f>C93+D93</f>
        <v>3850</v>
      </c>
    </row>
    <row r="94" spans="1:14" ht="17.100000000000001" customHeight="1" x14ac:dyDescent="0.25">
      <c r="B94" s="109" t="s">
        <v>10</v>
      </c>
      <c r="C94" s="277">
        <v>20000</v>
      </c>
      <c r="D94" s="829">
        <f>13450+2001</f>
        <v>15451</v>
      </c>
      <c r="E94" s="277">
        <f>C94+D94</f>
        <v>35451</v>
      </c>
    </row>
    <row r="95" spans="1:14" ht="17.100000000000001" customHeight="1" thickBot="1" x14ac:dyDescent="0.3">
      <c r="B95" s="806" t="s">
        <v>313</v>
      </c>
      <c r="C95" s="85">
        <v>3820</v>
      </c>
      <c r="D95" s="809">
        <v>435</v>
      </c>
      <c r="E95" s="85">
        <f>C95+D95</f>
        <v>4255</v>
      </c>
    </row>
    <row r="96" spans="1:14" ht="46.5" customHeight="1" thickBot="1" x14ac:dyDescent="0.3">
      <c r="B96" s="883" t="s">
        <v>736</v>
      </c>
      <c r="C96" s="89">
        <f>SUM(C93:C95)</f>
        <v>27670</v>
      </c>
      <c r="D96" s="89">
        <f>SUM(D93:D95)</f>
        <v>15886</v>
      </c>
      <c r="E96" s="89">
        <f>SUM(E93:E95)</f>
        <v>43556</v>
      </c>
    </row>
    <row r="97" spans="2:6" ht="15" customHeight="1" thickBot="1" x14ac:dyDescent="0.3">
      <c r="B97" s="137"/>
      <c r="C97" s="38"/>
      <c r="D97" s="846"/>
      <c r="E97" s="38"/>
      <c r="F97" s="337"/>
    </row>
    <row r="98" spans="2:6" ht="36.75" thickBot="1" x14ac:dyDescent="0.3">
      <c r="B98" s="447" t="s">
        <v>239</v>
      </c>
      <c r="C98" s="89">
        <f>C88+C96</f>
        <v>5132855</v>
      </c>
      <c r="D98" s="841">
        <f>D88+D96</f>
        <v>677213</v>
      </c>
      <c r="E98" s="89">
        <f>E88+E96</f>
        <v>5810068</v>
      </c>
    </row>
    <row r="100" spans="2:6" ht="15" customHeight="1" x14ac:dyDescent="0.25">
      <c r="B100" s="38" t="s">
        <v>138</v>
      </c>
      <c r="C100" s="38"/>
      <c r="D100" s="846"/>
      <c r="E100" s="532"/>
    </row>
    <row r="101" spans="2:6" ht="15" customHeight="1" x14ac:dyDescent="0.25">
      <c r="B101" s="38" t="s">
        <v>139</v>
      </c>
      <c r="C101" s="38"/>
      <c r="D101" s="846"/>
      <c r="E101" s="32"/>
    </row>
    <row r="103" spans="2:6" ht="15" customHeight="1" x14ac:dyDescent="0.25">
      <c r="B103" s="193" t="s">
        <v>721</v>
      </c>
      <c r="C103" s="193"/>
      <c r="D103" s="847"/>
      <c r="E103" s="194"/>
    </row>
    <row r="104" spans="2:6" ht="24" customHeight="1" x14ac:dyDescent="0.25">
      <c r="B104" s="448" t="s">
        <v>299</v>
      </c>
      <c r="C104" s="407">
        <f>C6+C93</f>
        <v>142000</v>
      </c>
      <c r="D104" s="842">
        <f>D6+D93</f>
        <v>28706</v>
      </c>
      <c r="E104" s="407">
        <f>E6+E93</f>
        <v>170706</v>
      </c>
    </row>
    <row r="105" spans="2:6" ht="15" customHeight="1" x14ac:dyDescent="0.25">
      <c r="B105" s="449" t="s">
        <v>10</v>
      </c>
      <c r="C105" s="407">
        <f t="shared" ref="C105:E106" si="1">C94+C7</f>
        <v>1710814</v>
      </c>
      <c r="D105" s="842">
        <f t="shared" si="1"/>
        <v>291206</v>
      </c>
      <c r="E105" s="407">
        <f t="shared" si="1"/>
        <v>2002020</v>
      </c>
    </row>
    <row r="106" spans="2:6" ht="15" customHeight="1" x14ac:dyDescent="0.25">
      <c r="B106" s="449" t="s">
        <v>313</v>
      </c>
      <c r="C106" s="407">
        <f t="shared" si="1"/>
        <v>192226</v>
      </c>
      <c r="D106" s="842">
        <f t="shared" si="1"/>
        <v>9950</v>
      </c>
      <c r="E106" s="407">
        <f t="shared" si="1"/>
        <v>202176</v>
      </c>
    </row>
    <row r="108" spans="2:6" ht="15" customHeight="1" x14ac:dyDescent="0.25">
      <c r="C108" s="4"/>
      <c r="D108" s="807"/>
    </row>
    <row r="112" spans="2:6" ht="15" customHeight="1" x14ac:dyDescent="0.25">
      <c r="C112" s="4"/>
    </row>
  </sheetData>
  <customSheetViews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39370078740157483" right="0" top="0" bottom="0" header="0.51181102362204722" footer="0.51181102362204722"/>
  <pageSetup paperSize="9" scale="55" orientation="portrait" r:id="rId3"/>
  <headerFooter alignWithMargins="0">
    <oddHeader xml:space="preserve">&amp;L&amp;F&amp;A&amp;R&amp;"Times New Roman CE,Félkövér"&amp;12 13. melléklet a 12/2017. (V.3.) önkormányzati rendelethez
"13. melléklet a 4/2017. (III.7.) önkormányzati rendelethez”
</oddHeader>
  </headerFooter>
  <rowBreaks count="1" manualBreakCount="1">
    <brk id="60" min="1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H36"/>
  <sheetViews>
    <sheetView topLeftCell="B1" zoomScaleNormal="100" workbookViewId="0">
      <selection activeCell="M13" sqref="M13"/>
    </sheetView>
  </sheetViews>
  <sheetFormatPr defaultRowHeight="15" customHeight="1" x14ac:dyDescent="0.2"/>
  <cols>
    <col min="1" max="1" width="15.33203125" style="5" customWidth="1"/>
    <col min="2" max="2" width="88.6640625" style="5" customWidth="1"/>
    <col min="3" max="3" width="31.6640625" style="5" customWidth="1"/>
    <col min="4" max="4" width="34.6640625" style="5" bestFit="1" customWidth="1"/>
    <col min="5" max="5" width="37.33203125" style="5" bestFit="1" customWidth="1"/>
    <col min="6" max="6" width="9.33203125" style="5"/>
    <col min="7" max="7" width="11.5" style="5" bestFit="1" customWidth="1"/>
    <col min="8" max="8" width="9.6640625" style="5" bestFit="1" customWidth="1"/>
    <col min="9" max="16384" width="9.33203125" style="5"/>
  </cols>
  <sheetData>
    <row r="1" spans="1:7" ht="15" customHeight="1" x14ac:dyDescent="0.25">
      <c r="B1" s="3"/>
      <c r="C1" s="3"/>
      <c r="D1" s="3"/>
      <c r="E1" s="3"/>
    </row>
    <row r="2" spans="1:7" ht="21" customHeight="1" x14ac:dyDescent="0.25">
      <c r="B2" s="1186" t="s">
        <v>319</v>
      </c>
      <c r="C2" s="1186"/>
      <c r="D2" s="1186"/>
      <c r="E2" s="1186"/>
    </row>
    <row r="3" spans="1:7" ht="15" customHeight="1" x14ac:dyDescent="0.25">
      <c r="B3" s="9" t="s">
        <v>21</v>
      </c>
      <c r="C3" s="9"/>
      <c r="D3" s="9"/>
      <c r="E3" s="9"/>
    </row>
    <row r="4" spans="1:7" ht="15" customHeight="1" thickBot="1" x14ac:dyDescent="0.25">
      <c r="E4" s="536" t="s">
        <v>419</v>
      </c>
    </row>
    <row r="5" spans="1:7" ht="20.100000000000001" customHeight="1" x14ac:dyDescent="0.25">
      <c r="B5" s="2" t="s">
        <v>329</v>
      </c>
      <c r="C5" s="439" t="s">
        <v>542</v>
      </c>
      <c r="D5" s="399" t="s">
        <v>677</v>
      </c>
      <c r="E5" s="811" t="s">
        <v>750</v>
      </c>
    </row>
    <row r="6" spans="1:7" ht="20.100000000000001" customHeight="1" thickBot="1" x14ac:dyDescent="0.3">
      <c r="B6" s="23"/>
      <c r="C6" s="440" t="s">
        <v>159</v>
      </c>
      <c r="D6" s="400" t="s">
        <v>678</v>
      </c>
      <c r="E6" s="440" t="s">
        <v>541</v>
      </c>
    </row>
    <row r="7" spans="1:7" s="10" customFormat="1" ht="20.25" customHeight="1" x14ac:dyDescent="0.2">
      <c r="A7" s="10">
        <v>409010</v>
      </c>
      <c r="B7" s="189" t="s">
        <v>91</v>
      </c>
      <c r="C7" s="94">
        <v>105000</v>
      </c>
      <c r="D7" s="94"/>
      <c r="E7" s="94">
        <f>C7+D7</f>
        <v>105000</v>
      </c>
      <c r="G7" s="4"/>
    </row>
    <row r="8" spans="1:7" s="10" customFormat="1" ht="20.25" customHeight="1" x14ac:dyDescent="0.2">
      <c r="A8" s="10">
        <v>409020</v>
      </c>
      <c r="B8" s="357" t="s">
        <v>88</v>
      </c>
      <c r="C8" s="148">
        <v>25000</v>
      </c>
      <c r="D8" s="148"/>
      <c r="E8" s="148">
        <f t="shared" ref="E8:E32" si="0">C8+D8</f>
        <v>25000</v>
      </c>
      <c r="G8" s="4"/>
    </row>
    <row r="9" spans="1:7" s="10" customFormat="1" ht="19.5" customHeight="1" x14ac:dyDescent="0.2">
      <c r="B9" s="109" t="s">
        <v>448</v>
      </c>
      <c r="C9" s="93">
        <v>5000</v>
      </c>
      <c r="D9" s="93"/>
      <c r="E9" s="93">
        <f t="shared" si="0"/>
        <v>5000</v>
      </c>
      <c r="G9" s="4"/>
    </row>
    <row r="10" spans="1:7" s="10" customFormat="1" ht="19.5" customHeight="1" x14ac:dyDescent="0.2">
      <c r="A10" s="10">
        <v>409070</v>
      </c>
      <c r="B10" s="109" t="s">
        <v>32</v>
      </c>
      <c r="C10" s="93">
        <v>21500</v>
      </c>
      <c r="D10" s="93">
        <v>2830</v>
      </c>
      <c r="E10" s="93">
        <f t="shared" si="0"/>
        <v>24330</v>
      </c>
      <c r="G10" s="4"/>
    </row>
    <row r="11" spans="1:7" s="10" customFormat="1" ht="19.5" customHeight="1" x14ac:dyDescent="0.2">
      <c r="A11" s="10">
        <v>409090</v>
      </c>
      <c r="B11" s="109" t="s">
        <v>93</v>
      </c>
      <c r="C11" s="93">
        <v>1100</v>
      </c>
      <c r="D11" s="93">
        <v>381</v>
      </c>
      <c r="E11" s="93">
        <f t="shared" si="0"/>
        <v>1481</v>
      </c>
      <c r="G11" s="4"/>
    </row>
    <row r="12" spans="1:7" s="10" customFormat="1" ht="20.100000000000001" customHeight="1" x14ac:dyDescent="0.2">
      <c r="A12" s="10">
        <v>409120</v>
      </c>
      <c r="B12" s="109" t="s">
        <v>78</v>
      </c>
      <c r="C12" s="93">
        <v>13000</v>
      </c>
      <c r="D12" s="93">
        <v>1101</v>
      </c>
      <c r="E12" s="93">
        <f t="shared" si="0"/>
        <v>14101</v>
      </c>
      <c r="G12" s="4"/>
    </row>
    <row r="13" spans="1:7" s="10" customFormat="1" ht="20.100000000000001" customHeight="1" x14ac:dyDescent="0.2">
      <c r="B13" s="109" t="s">
        <v>521</v>
      </c>
      <c r="C13" s="93">
        <v>110000</v>
      </c>
      <c r="D13" s="93"/>
      <c r="E13" s="93">
        <f t="shared" si="0"/>
        <v>110000</v>
      </c>
      <c r="G13" s="4"/>
    </row>
    <row r="14" spans="1:7" s="10" customFormat="1" ht="20.100000000000001" customHeight="1" x14ac:dyDescent="0.2">
      <c r="B14" s="109" t="s">
        <v>522</v>
      </c>
      <c r="C14" s="93">
        <v>4000</v>
      </c>
      <c r="D14" s="93"/>
      <c r="E14" s="93">
        <f t="shared" si="0"/>
        <v>4000</v>
      </c>
      <c r="G14" s="4"/>
    </row>
    <row r="15" spans="1:7" s="10" customFormat="1" ht="20.100000000000001" customHeight="1" x14ac:dyDescent="0.2">
      <c r="B15" s="109" t="s">
        <v>156</v>
      </c>
      <c r="C15" s="93">
        <v>5000</v>
      </c>
      <c r="D15" s="93"/>
      <c r="E15" s="93">
        <f t="shared" si="0"/>
        <v>5000</v>
      </c>
      <c r="G15" s="4"/>
    </row>
    <row r="16" spans="1:7" s="10" customFormat="1" ht="20.100000000000001" customHeight="1" x14ac:dyDescent="0.2">
      <c r="B16" s="109" t="s">
        <v>447</v>
      </c>
      <c r="C16" s="93">
        <v>5000</v>
      </c>
      <c r="D16" s="93"/>
      <c r="E16" s="93">
        <f t="shared" si="0"/>
        <v>5000</v>
      </c>
      <c r="G16" s="4"/>
    </row>
    <row r="17" spans="1:7" s="10" customFormat="1" ht="20.100000000000001" customHeight="1" x14ac:dyDescent="0.2">
      <c r="A17" s="10">
        <v>409140</v>
      </c>
      <c r="B17" s="109" t="s">
        <v>90</v>
      </c>
      <c r="C17" s="93">
        <v>3000</v>
      </c>
      <c r="D17" s="93">
        <v>200</v>
      </c>
      <c r="E17" s="93">
        <f t="shared" si="0"/>
        <v>3200</v>
      </c>
      <c r="G17" s="4"/>
    </row>
    <row r="18" spans="1:7" s="10" customFormat="1" ht="20.100000000000001" customHeight="1" x14ac:dyDescent="0.2">
      <c r="A18" s="10">
        <v>409150</v>
      </c>
      <c r="B18" s="109" t="s">
        <v>89</v>
      </c>
      <c r="C18" s="93">
        <v>12000</v>
      </c>
      <c r="D18" s="93"/>
      <c r="E18" s="93">
        <f t="shared" si="0"/>
        <v>12000</v>
      </c>
      <c r="G18" s="4"/>
    </row>
    <row r="19" spans="1:7" s="10" customFormat="1" ht="20.100000000000001" customHeight="1" x14ac:dyDescent="0.2">
      <c r="A19" s="10">
        <v>409160</v>
      </c>
      <c r="B19" s="110" t="s">
        <v>145</v>
      </c>
      <c r="C19" s="93">
        <v>50000</v>
      </c>
      <c r="D19" s="93"/>
      <c r="E19" s="93">
        <f t="shared" si="0"/>
        <v>50000</v>
      </c>
      <c r="G19" s="4"/>
    </row>
    <row r="20" spans="1:7" s="10" customFormat="1" ht="19.5" customHeight="1" x14ac:dyDescent="0.2">
      <c r="A20" s="10">
        <v>409190</v>
      </c>
      <c r="B20" s="109" t="s">
        <v>104</v>
      </c>
      <c r="C20" s="93">
        <v>55000</v>
      </c>
      <c r="D20" s="93"/>
      <c r="E20" s="93">
        <f t="shared" si="0"/>
        <v>55000</v>
      </c>
      <c r="G20" s="4"/>
    </row>
    <row r="21" spans="1:7" x14ac:dyDescent="0.2">
      <c r="A21" s="5">
        <v>409210</v>
      </c>
      <c r="B21" s="214" t="s">
        <v>87</v>
      </c>
      <c r="C21" s="102">
        <v>126000</v>
      </c>
      <c r="D21" s="102"/>
      <c r="E21" s="102">
        <f t="shared" si="0"/>
        <v>126000</v>
      </c>
      <c r="G21" s="4"/>
    </row>
    <row r="22" spans="1:7" s="10" customFormat="1" ht="20.100000000000001" customHeight="1" x14ac:dyDescent="0.2">
      <c r="A22" s="10">
        <v>409220</v>
      </c>
      <c r="B22" s="109" t="s">
        <v>250</v>
      </c>
      <c r="C22" s="93">
        <v>2500</v>
      </c>
      <c r="D22" s="93"/>
      <c r="E22" s="93">
        <f t="shared" si="0"/>
        <v>2500</v>
      </c>
      <c r="G22" s="4"/>
    </row>
    <row r="23" spans="1:7" s="10" customFormat="1" ht="20.100000000000001" customHeight="1" x14ac:dyDescent="0.2">
      <c r="A23" s="10">
        <v>409240</v>
      </c>
      <c r="B23" s="109" t="s">
        <v>92</v>
      </c>
      <c r="C23" s="93">
        <v>9000</v>
      </c>
      <c r="D23" s="93"/>
      <c r="E23" s="93">
        <f t="shared" si="0"/>
        <v>9000</v>
      </c>
      <c r="G23" s="4"/>
    </row>
    <row r="24" spans="1:7" s="10" customFormat="1" ht="20.100000000000001" customHeight="1" x14ac:dyDescent="0.2">
      <c r="A24" s="10">
        <v>409280</v>
      </c>
      <c r="B24" s="109" t="s">
        <v>372</v>
      </c>
      <c r="C24" s="93">
        <v>3000</v>
      </c>
      <c r="D24" s="93"/>
      <c r="E24" s="93">
        <f t="shared" si="0"/>
        <v>3000</v>
      </c>
      <c r="G24" s="4"/>
    </row>
    <row r="25" spans="1:7" s="187" customFormat="1" ht="18" customHeight="1" x14ac:dyDescent="0.2">
      <c r="B25" s="216" t="s">
        <v>668</v>
      </c>
      <c r="C25" s="191">
        <v>10000</v>
      </c>
      <c r="D25" s="191">
        <v>-10000</v>
      </c>
      <c r="E25" s="191">
        <f t="shared" si="0"/>
        <v>0</v>
      </c>
      <c r="G25" s="4"/>
    </row>
    <row r="26" spans="1:7" s="187" customFormat="1" ht="18" customHeight="1" x14ac:dyDescent="0.2">
      <c r="B26" s="216" t="s">
        <v>526</v>
      </c>
      <c r="C26" s="191"/>
      <c r="D26" s="191">
        <v>8000</v>
      </c>
      <c r="E26" s="191">
        <f t="shared" si="0"/>
        <v>8000</v>
      </c>
      <c r="G26" s="4"/>
    </row>
    <row r="27" spans="1:7" s="187" customFormat="1" ht="18" customHeight="1" x14ac:dyDescent="0.2">
      <c r="B27" s="216" t="s">
        <v>669</v>
      </c>
      <c r="C27" s="191">
        <v>10000</v>
      </c>
      <c r="D27" s="191"/>
      <c r="E27" s="191">
        <f t="shared" si="0"/>
        <v>10000</v>
      </c>
      <c r="G27" s="4"/>
    </row>
    <row r="28" spans="1:7" s="187" customFormat="1" ht="18" customHeight="1" x14ac:dyDescent="0.2">
      <c r="B28" s="216" t="s">
        <v>670</v>
      </c>
      <c r="C28" s="191">
        <v>19500</v>
      </c>
      <c r="D28" s="191"/>
      <c r="E28" s="191">
        <f t="shared" si="0"/>
        <v>19500</v>
      </c>
      <c r="G28" s="4"/>
    </row>
    <row r="29" spans="1:7" s="187" customFormat="1" ht="18" customHeight="1" x14ac:dyDescent="0.2">
      <c r="B29" s="216" t="s">
        <v>624</v>
      </c>
      <c r="C29" s="191">
        <v>30000</v>
      </c>
      <c r="D29" s="191"/>
      <c r="E29" s="191">
        <f t="shared" si="0"/>
        <v>30000</v>
      </c>
      <c r="G29" s="4"/>
    </row>
    <row r="30" spans="1:7" s="187" customFormat="1" ht="18" customHeight="1" x14ac:dyDescent="0.2">
      <c r="A30" s="187">
        <v>409300</v>
      </c>
      <c r="B30" s="216" t="s">
        <v>519</v>
      </c>
      <c r="C30" s="191">
        <v>20000</v>
      </c>
      <c r="D30" s="191"/>
      <c r="E30" s="191">
        <f t="shared" si="0"/>
        <v>20000</v>
      </c>
      <c r="G30" s="4"/>
    </row>
    <row r="31" spans="1:7" s="187" customFormat="1" ht="18" customHeight="1" x14ac:dyDescent="0.2">
      <c r="B31" s="216" t="s">
        <v>749</v>
      </c>
      <c r="C31" s="191"/>
      <c r="D31" s="191">
        <v>1800</v>
      </c>
      <c r="E31" s="191">
        <f t="shared" si="0"/>
        <v>1800</v>
      </c>
      <c r="G31" s="4"/>
    </row>
    <row r="32" spans="1:7" s="187" customFormat="1" ht="18" customHeight="1" thickBot="1" x14ac:dyDescent="0.25">
      <c r="B32" s="884" t="s">
        <v>739</v>
      </c>
      <c r="C32" s="885"/>
      <c r="D32" s="885">
        <v>943</v>
      </c>
      <c r="E32" s="191">
        <f t="shared" si="0"/>
        <v>943</v>
      </c>
      <c r="G32" s="4"/>
    </row>
    <row r="33" spans="2:8" ht="20.100000000000001" customHeight="1" thickBot="1" x14ac:dyDescent="0.3">
      <c r="B33" s="8" t="s">
        <v>267</v>
      </c>
      <c r="C33" s="99">
        <f>SUM(C7:C32)</f>
        <v>644600</v>
      </c>
      <c r="D33" s="99">
        <f>SUM(D7:D32)</f>
        <v>5255</v>
      </c>
      <c r="E33" s="99">
        <f>SUM(E7:E32)</f>
        <v>649855</v>
      </c>
      <c r="G33" s="4"/>
      <c r="H33" s="4"/>
    </row>
    <row r="35" spans="2:8" ht="15" customHeight="1" x14ac:dyDescent="0.25">
      <c r="B35" s="38" t="s">
        <v>138</v>
      </c>
      <c r="C35" s="38"/>
      <c r="D35" s="38"/>
      <c r="E35" s="528"/>
    </row>
    <row r="36" spans="2:8" ht="15" customHeight="1" x14ac:dyDescent="0.25">
      <c r="B36" s="38" t="s">
        <v>139</v>
      </c>
      <c r="C36" s="38"/>
      <c r="D36" s="38"/>
      <c r="E36" s="38"/>
    </row>
  </sheetData>
  <customSheetViews>
    <customSheetView guid="{186732C5-520C-4E06-B066-B4F3F0A3E322}" scale="75" showRuler="0" topLeftCell="A25">
      <selection activeCell="B43" sqref="B43"/>
      <pageMargins left="0.39370078740157483" right="0.39370078740157483" top="0.98425196850393704" bottom="0.98425196850393704" header="0.51181102362204722" footer="0.51181102362204722"/>
      <printOptions horizontalCentered="1" verticalCentered="1"/>
      <pageSetup paperSize="9" scale="65" orientation="portrait" horizontalDpi="300" verticalDpi="300" r:id="rId1"/>
      <headerFooter alignWithMargins="0">
        <oddHeader>&amp;L&amp;F  &amp;A&amp;C&amp;RM.III.9. sz. melléklet</oddHeader>
      </headerFooter>
    </customSheetView>
    <customSheetView guid="{6D4B996F-8915-4E78-98C2-E7EAE9C4580C}" scale="75" showRuler="0" topLeftCell="A25">
      <selection activeCell="B43" sqref="B43"/>
      <pageMargins left="0.39370078740157483" right="0.39370078740157483" top="0.98425196850393704" bottom="0.98425196850393704" header="0.51181102362204722" footer="0.51181102362204722"/>
      <printOptions horizontalCentered="1" verticalCentered="1"/>
      <pageSetup paperSize="9" scale="65" orientation="portrait" horizontalDpi="300" verticalDpi="300" r:id="rId2"/>
      <headerFooter alignWithMargins="0">
        <oddHeader>&amp;L&amp;F  &amp;A&amp;C&amp;RM.III.9.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39370078740157483" right="0" top="0" bottom="0" header="0.51181102362204722" footer="0.51181102362204722"/>
  <pageSetup paperSize="9" scale="65" orientation="portrait" r:id="rId3"/>
  <headerFooter alignWithMargins="0">
    <oddHeader xml:space="preserve">&amp;L&amp;F&amp;A&amp;R&amp;"Times New Roman CE,Félkövér"&amp;12 14. melléklet a 12/2017. (V.3.) önkormányzati rendelethez
"14. melléklet a 4/2017. (III.7.) önkormányzati rendelethez”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L34"/>
  <sheetViews>
    <sheetView view="pageLayout" topLeftCell="B1" zoomScaleNormal="100" workbookViewId="0">
      <selection activeCell="B2" sqref="B2:I2"/>
    </sheetView>
  </sheetViews>
  <sheetFormatPr defaultRowHeight="15" customHeight="1" x14ac:dyDescent="0.2"/>
  <cols>
    <col min="1" max="1" width="15.5" style="5" customWidth="1"/>
    <col min="2" max="2" width="5.33203125" style="5" customWidth="1"/>
    <col min="3" max="3" width="9.33203125" style="5"/>
    <col min="4" max="4" width="15.83203125" style="5" customWidth="1"/>
    <col min="5" max="5" width="14" style="5" customWidth="1"/>
    <col min="6" max="6" width="64.83203125" style="5" customWidth="1"/>
    <col min="7" max="7" width="31.6640625" style="5" customWidth="1"/>
    <col min="8" max="8" width="34.6640625" style="5" bestFit="1" customWidth="1"/>
    <col min="9" max="9" width="37.33203125" style="5" bestFit="1" customWidth="1"/>
    <col min="10" max="10" width="9.33203125" style="5"/>
    <col min="11" max="11" width="13.33203125" style="5" bestFit="1" customWidth="1"/>
    <col min="12" max="16384" width="9.33203125" style="5"/>
  </cols>
  <sheetData>
    <row r="1" spans="1:12" ht="15" customHeight="1" x14ac:dyDescent="0.25">
      <c r="B1" s="1186"/>
      <c r="C1" s="1186"/>
      <c r="D1" s="1186"/>
      <c r="E1" s="1186"/>
      <c r="F1" s="1186"/>
      <c r="G1" s="3"/>
      <c r="H1" s="3"/>
      <c r="I1" s="3"/>
    </row>
    <row r="2" spans="1:12" ht="23.25" customHeight="1" x14ac:dyDescent="0.25">
      <c r="B2" s="1186" t="s">
        <v>171</v>
      </c>
      <c r="C2" s="1186"/>
      <c r="D2" s="1186"/>
      <c r="E2" s="1186"/>
      <c r="F2" s="1186"/>
      <c r="G2" s="1186"/>
      <c r="H2" s="1186"/>
      <c r="I2" s="1186"/>
    </row>
    <row r="3" spans="1:12" ht="15" customHeight="1" x14ac:dyDescent="0.25">
      <c r="D3" s="1186"/>
      <c r="E3" s="1186"/>
      <c r="F3" s="1186"/>
      <c r="G3" s="3"/>
      <c r="H3" s="3"/>
      <c r="I3" s="3"/>
    </row>
    <row r="4" spans="1:12" ht="15.75" thickBot="1" x14ac:dyDescent="0.25">
      <c r="B4" s="13"/>
      <c r="C4" s="13"/>
      <c r="D4" s="13"/>
      <c r="E4" s="13"/>
      <c r="I4" s="537" t="s">
        <v>419</v>
      </c>
    </row>
    <row r="5" spans="1:12" ht="20.100000000000001" customHeight="1" x14ac:dyDescent="0.25">
      <c r="B5" s="1243" t="s">
        <v>329</v>
      </c>
      <c r="C5" s="1244"/>
      <c r="D5" s="1244"/>
      <c r="E5" s="1244"/>
      <c r="F5" s="1244"/>
      <c r="G5" s="439" t="s">
        <v>542</v>
      </c>
      <c r="H5" s="399" t="s">
        <v>677</v>
      </c>
      <c r="I5" s="811" t="s">
        <v>750</v>
      </c>
    </row>
    <row r="6" spans="1:12" ht="20.100000000000001" customHeight="1" thickBot="1" x14ac:dyDescent="0.3">
      <c r="B6" s="23"/>
      <c r="C6" s="24"/>
      <c r="D6" s="24"/>
      <c r="E6" s="24"/>
      <c r="F6" s="24"/>
      <c r="G6" s="440" t="s">
        <v>159</v>
      </c>
      <c r="H6" s="400" t="s">
        <v>678</v>
      </c>
      <c r="I6" s="440" t="s">
        <v>541</v>
      </c>
    </row>
    <row r="7" spans="1:12" ht="20.100000000000001" customHeight="1" x14ac:dyDescent="0.2">
      <c r="A7" s="10"/>
      <c r="B7" s="27" t="s">
        <v>70</v>
      </c>
      <c r="C7" s="28"/>
      <c r="D7" s="28"/>
      <c r="E7" s="28"/>
      <c r="F7" s="28"/>
      <c r="G7" s="188"/>
      <c r="H7" s="188"/>
      <c r="I7" s="188"/>
      <c r="J7" s="10"/>
      <c r="K7" s="4"/>
      <c r="L7" s="10"/>
    </row>
    <row r="8" spans="1:12" ht="20.100000000000001" customHeight="1" x14ac:dyDescent="0.2">
      <c r="A8" s="5">
        <v>411110</v>
      </c>
      <c r="B8" s="15"/>
      <c r="C8" s="14" t="s">
        <v>72</v>
      </c>
      <c r="D8" s="14"/>
      <c r="E8" s="14"/>
      <c r="F8" s="14"/>
      <c r="G8" s="85">
        <v>47000</v>
      </c>
      <c r="H8" s="85">
        <v>22110</v>
      </c>
      <c r="I8" s="85">
        <f>G8+H8</f>
        <v>69110</v>
      </c>
      <c r="K8" s="4"/>
    </row>
    <row r="9" spans="1:12" ht="20.100000000000001" customHeight="1" x14ac:dyDescent="0.2">
      <c r="A9" s="5">
        <v>411120</v>
      </c>
      <c r="B9" s="15"/>
      <c r="C9" s="379" t="s">
        <v>71</v>
      </c>
      <c r="D9" s="379"/>
      <c r="E9" s="379"/>
      <c r="F9" s="379"/>
      <c r="G9" s="352">
        <v>250000</v>
      </c>
      <c r="H9" s="352">
        <v>25967</v>
      </c>
      <c r="I9" s="352">
        <f>G9+H9</f>
        <v>275967</v>
      </c>
      <c r="K9" s="4"/>
    </row>
    <row r="10" spans="1:12" ht="20.100000000000001" customHeight="1" thickBot="1" x14ac:dyDescent="0.3">
      <c r="B10" s="22" t="s">
        <v>77</v>
      </c>
      <c r="C10" s="451"/>
      <c r="D10" s="451"/>
      <c r="E10" s="17" t="s">
        <v>21</v>
      </c>
      <c r="F10" s="453"/>
      <c r="G10" s="92">
        <f>SUM(G8:G9)</f>
        <v>297000</v>
      </c>
      <c r="H10" s="92">
        <f>SUM(H8:H9)</f>
        <v>48077</v>
      </c>
      <c r="I10" s="92">
        <f>SUM(I8:I9)</f>
        <v>345077</v>
      </c>
      <c r="K10" s="4"/>
    </row>
    <row r="11" spans="1:12" ht="20.100000000000001" customHeight="1" x14ac:dyDescent="0.2">
      <c r="B11" s="6" t="s">
        <v>3</v>
      </c>
      <c r="C11" s="10"/>
      <c r="D11" s="10"/>
      <c r="E11" s="10"/>
      <c r="F11" s="10"/>
      <c r="G11" s="450"/>
      <c r="H11" s="85"/>
      <c r="I11" s="450"/>
      <c r="K11" s="4"/>
    </row>
    <row r="12" spans="1:12" ht="20.100000000000001" customHeight="1" x14ac:dyDescent="0.2">
      <c r="A12" s="5">
        <v>411211</v>
      </c>
      <c r="B12" s="25"/>
      <c r="C12" s="381" t="s">
        <v>302</v>
      </c>
      <c r="D12" s="381"/>
      <c r="E12" s="381"/>
      <c r="F12" s="381"/>
      <c r="G12" s="376"/>
      <c r="H12" s="380">
        <v>6209</v>
      </c>
      <c r="I12" s="380">
        <f t="shared" ref="I12:I24" si="0">G12+H12</f>
        <v>6209</v>
      </c>
      <c r="K12" s="4"/>
    </row>
    <row r="13" spans="1:12" ht="20.100000000000001" customHeight="1" x14ac:dyDescent="0.2">
      <c r="A13" s="5">
        <v>411220</v>
      </c>
      <c r="B13" s="382" t="s">
        <v>388</v>
      </c>
      <c r="C13" s="383"/>
      <c r="D13" s="383"/>
      <c r="E13" s="383"/>
      <c r="F13" s="383"/>
      <c r="G13" s="380">
        <v>290000</v>
      </c>
      <c r="H13" s="380">
        <v>39583</v>
      </c>
      <c r="I13" s="380">
        <f t="shared" si="0"/>
        <v>329583</v>
      </c>
      <c r="K13" s="4"/>
    </row>
    <row r="14" spans="1:12" ht="20.100000000000001" customHeight="1" x14ac:dyDescent="0.2">
      <c r="B14" s="382" t="s">
        <v>423</v>
      </c>
      <c r="C14" s="383"/>
      <c r="D14" s="383"/>
      <c r="E14" s="383"/>
      <c r="F14" s="383"/>
      <c r="G14" s="380"/>
      <c r="H14" s="380">
        <v>5000</v>
      </c>
      <c r="I14" s="380">
        <f t="shared" si="0"/>
        <v>5000</v>
      </c>
      <c r="K14" s="4"/>
    </row>
    <row r="15" spans="1:12" ht="20.100000000000001" customHeight="1" x14ac:dyDescent="0.2">
      <c r="B15" s="382" t="s">
        <v>251</v>
      </c>
      <c r="C15" s="383"/>
      <c r="D15" s="383"/>
      <c r="E15" s="383"/>
      <c r="F15" s="383"/>
      <c r="G15" s="380">
        <v>12000</v>
      </c>
      <c r="H15" s="380">
        <v>4810</v>
      </c>
      <c r="I15" s="380">
        <f t="shared" si="0"/>
        <v>16810</v>
      </c>
      <c r="K15" s="4"/>
    </row>
    <row r="16" spans="1:12" ht="20.100000000000001" customHeight="1" x14ac:dyDescent="0.2">
      <c r="A16" s="5">
        <v>411221</v>
      </c>
      <c r="B16" s="539" t="s">
        <v>140</v>
      </c>
      <c r="C16" s="540"/>
      <c r="D16" s="539"/>
      <c r="E16" s="540"/>
      <c r="F16" s="540"/>
      <c r="G16" s="541">
        <v>3000</v>
      </c>
      <c r="H16" s="541">
        <v>8507</v>
      </c>
      <c r="I16" s="541">
        <f t="shared" si="0"/>
        <v>11507</v>
      </c>
      <c r="K16" s="4"/>
    </row>
    <row r="17" spans="1:11" ht="20.100000000000001" customHeight="1" x14ac:dyDescent="0.2">
      <c r="A17" s="5">
        <v>411230</v>
      </c>
      <c r="B17" s="542" t="s">
        <v>227</v>
      </c>
      <c r="C17" s="543"/>
      <c r="D17" s="539"/>
      <c r="E17" s="543"/>
      <c r="F17" s="543"/>
      <c r="G17" s="541">
        <v>334160</v>
      </c>
      <c r="H17" s="541">
        <v>36989</v>
      </c>
      <c r="I17" s="541">
        <f t="shared" si="0"/>
        <v>371149</v>
      </c>
      <c r="K17" s="4"/>
    </row>
    <row r="18" spans="1:11" ht="20.100000000000001" customHeight="1" x14ac:dyDescent="0.2">
      <c r="A18" s="5">
        <v>411232</v>
      </c>
      <c r="B18" s="542" t="s">
        <v>155</v>
      </c>
      <c r="C18" s="543"/>
      <c r="D18" s="539"/>
      <c r="E18" s="543"/>
      <c r="F18" s="543"/>
      <c r="G18" s="541">
        <v>4580</v>
      </c>
      <c r="H18" s="544">
        <v>3420</v>
      </c>
      <c r="I18" s="541">
        <f t="shared" si="0"/>
        <v>8000</v>
      </c>
      <c r="K18" s="4"/>
    </row>
    <row r="19" spans="1:11" ht="20.100000000000001" customHeight="1" x14ac:dyDescent="0.2">
      <c r="A19" s="5">
        <v>411240</v>
      </c>
      <c r="B19" s="542" t="s">
        <v>143</v>
      </c>
      <c r="C19" s="543"/>
      <c r="D19" s="539"/>
      <c r="E19" s="543"/>
      <c r="F19" s="543"/>
      <c r="G19" s="541">
        <v>62522</v>
      </c>
      <c r="H19" s="541">
        <v>8877</v>
      </c>
      <c r="I19" s="541">
        <f t="shared" si="0"/>
        <v>71399</v>
      </c>
      <c r="K19" s="4"/>
    </row>
    <row r="20" spans="1:11" ht="20.100000000000001" customHeight="1" x14ac:dyDescent="0.2">
      <c r="A20" s="5">
        <v>411250</v>
      </c>
      <c r="B20" s="542" t="s">
        <v>144</v>
      </c>
      <c r="C20" s="543"/>
      <c r="D20" s="539"/>
      <c r="E20" s="543"/>
      <c r="F20" s="543"/>
      <c r="G20" s="541">
        <v>1824</v>
      </c>
      <c r="H20" s="541"/>
      <c r="I20" s="541">
        <f t="shared" si="0"/>
        <v>1824</v>
      </c>
      <c r="K20" s="4"/>
    </row>
    <row r="21" spans="1:11" ht="20.100000000000001" customHeight="1" x14ac:dyDescent="0.2">
      <c r="A21" s="5">
        <v>411260</v>
      </c>
      <c r="B21" s="542" t="s">
        <v>158</v>
      </c>
      <c r="C21" s="543"/>
      <c r="D21" s="543"/>
      <c r="E21" s="543"/>
      <c r="F21" s="543"/>
      <c r="G21" s="541">
        <v>1310</v>
      </c>
      <c r="H21" s="544">
        <v>399</v>
      </c>
      <c r="I21" s="541">
        <f t="shared" si="0"/>
        <v>1709</v>
      </c>
      <c r="K21" s="4"/>
    </row>
    <row r="22" spans="1:11" ht="20.100000000000001" customHeight="1" x14ac:dyDescent="0.2">
      <c r="A22" s="5">
        <v>411270</v>
      </c>
      <c r="B22" s="542" t="s">
        <v>226</v>
      </c>
      <c r="C22" s="543"/>
      <c r="D22" s="543"/>
      <c r="E22" s="543"/>
      <c r="F22" s="543"/>
      <c r="G22" s="541">
        <v>2700</v>
      </c>
      <c r="H22" s="541">
        <v>4560</v>
      </c>
      <c r="I22" s="541">
        <f t="shared" si="0"/>
        <v>7260</v>
      </c>
      <c r="K22" s="4"/>
    </row>
    <row r="23" spans="1:11" ht="20.100000000000001" customHeight="1" x14ac:dyDescent="0.2">
      <c r="A23" s="5">
        <v>411291</v>
      </c>
      <c r="B23" s="542" t="s">
        <v>95</v>
      </c>
      <c r="C23" s="543"/>
      <c r="D23" s="543"/>
      <c r="E23" s="543"/>
      <c r="F23" s="543"/>
      <c r="G23" s="541">
        <v>1700</v>
      </c>
      <c r="H23" s="541">
        <v>373</v>
      </c>
      <c r="I23" s="541">
        <f t="shared" si="0"/>
        <v>2073</v>
      </c>
      <c r="K23" s="4"/>
    </row>
    <row r="24" spans="1:11" ht="20.100000000000001" customHeight="1" x14ac:dyDescent="0.2">
      <c r="A24" s="5">
        <v>411330</v>
      </c>
      <c r="B24" s="542" t="s">
        <v>378</v>
      </c>
      <c r="C24" s="543"/>
      <c r="D24" s="543"/>
      <c r="E24" s="543"/>
      <c r="F24" s="543"/>
      <c r="G24" s="541">
        <v>3000</v>
      </c>
      <c r="H24" s="541">
        <v>3483</v>
      </c>
      <c r="I24" s="541">
        <f t="shared" si="0"/>
        <v>6483</v>
      </c>
      <c r="K24" s="4"/>
    </row>
    <row r="25" spans="1:11" ht="20.100000000000001" customHeight="1" thickBot="1" x14ac:dyDescent="0.3">
      <c r="B25" s="16"/>
      <c r="C25" s="17"/>
      <c r="D25" s="17" t="s">
        <v>384</v>
      </c>
      <c r="E25" s="17"/>
      <c r="F25" s="452"/>
      <c r="G25" s="92">
        <f>SUM(G12:G24)</f>
        <v>716796</v>
      </c>
      <c r="H25" s="92">
        <f>SUM(H12:H24)</f>
        <v>122210</v>
      </c>
      <c r="I25" s="92">
        <f>SUM(I12:I24)</f>
        <v>839006</v>
      </c>
      <c r="K25" s="4"/>
    </row>
    <row r="26" spans="1:11" ht="20.100000000000001" customHeight="1" thickBot="1" x14ac:dyDescent="0.3">
      <c r="B26" s="18" t="s">
        <v>172</v>
      </c>
      <c r="C26" s="19"/>
      <c r="D26" s="19"/>
      <c r="E26" s="20"/>
      <c r="F26" s="234"/>
      <c r="G26" s="101">
        <f>+G10+G25</f>
        <v>1013796</v>
      </c>
      <c r="H26" s="101">
        <f>+H10+H25</f>
        <v>170287</v>
      </c>
      <c r="I26" s="101">
        <f>+I10+I25</f>
        <v>1184083</v>
      </c>
      <c r="K26" s="4"/>
    </row>
    <row r="27" spans="1:11" ht="20.100000000000001" customHeight="1" x14ac:dyDescent="0.2">
      <c r="B27" s="222" t="s">
        <v>173</v>
      </c>
      <c r="C27" s="176"/>
      <c r="D27" s="176"/>
      <c r="E27" s="176"/>
      <c r="F27" s="232"/>
      <c r="G27" s="223">
        <v>3000</v>
      </c>
      <c r="H27" s="223">
        <v>999</v>
      </c>
      <c r="I27" s="223">
        <f>G27+H27</f>
        <v>3999</v>
      </c>
      <c r="K27" s="4"/>
    </row>
    <row r="28" spans="1:11" ht="20.100000000000001" customHeight="1" x14ac:dyDescent="0.2">
      <c r="B28" s="6" t="s">
        <v>518</v>
      </c>
      <c r="C28" s="10"/>
      <c r="D28" s="10"/>
      <c r="E28" s="10"/>
      <c r="F28" s="729"/>
      <c r="G28" s="730">
        <v>2000</v>
      </c>
      <c r="H28" s="730">
        <v>2000</v>
      </c>
      <c r="I28" s="730">
        <f>G28+H28</f>
        <v>4000</v>
      </c>
      <c r="K28" s="4"/>
    </row>
    <row r="29" spans="1:11" ht="20.100000000000001" customHeight="1" x14ac:dyDescent="0.2">
      <c r="B29" s="6" t="s">
        <v>551</v>
      </c>
      <c r="C29" s="10"/>
      <c r="D29" s="10"/>
      <c r="E29" s="10"/>
      <c r="F29" s="584"/>
      <c r="G29" s="396"/>
      <c r="H29" s="396">
        <v>30000</v>
      </c>
      <c r="I29" s="396">
        <f>G29+H29</f>
        <v>30000</v>
      </c>
      <c r="K29" s="4"/>
    </row>
    <row r="30" spans="1:11" ht="20.100000000000001" customHeight="1" thickBot="1" x14ac:dyDescent="0.25">
      <c r="B30" s="224" t="s">
        <v>652</v>
      </c>
      <c r="C30" s="198"/>
      <c r="D30" s="198"/>
      <c r="E30" s="198"/>
      <c r="F30" s="233"/>
      <c r="G30" s="225">
        <v>2000</v>
      </c>
      <c r="H30" s="225">
        <f>2217-2001</f>
        <v>216</v>
      </c>
      <c r="I30" s="225">
        <f>G30+H30</f>
        <v>2216</v>
      </c>
      <c r="K30" s="4"/>
    </row>
    <row r="31" spans="1:11" ht="20.100000000000001" customHeight="1" thickBot="1" x14ac:dyDescent="0.3">
      <c r="B31" s="106" t="s">
        <v>174</v>
      </c>
      <c r="C31" s="107"/>
      <c r="D31" s="107"/>
      <c r="E31" s="108"/>
      <c r="F31" s="108"/>
      <c r="G31" s="171">
        <f>SUM(G26:G30)</f>
        <v>1020796</v>
      </c>
      <c r="H31" s="171">
        <f>SUM(H26:H30)</f>
        <v>203502</v>
      </c>
      <c r="I31" s="171">
        <f>SUM(I26:I30)</f>
        <v>1224298</v>
      </c>
      <c r="K31" s="4"/>
    </row>
    <row r="32" spans="1:11" ht="15" customHeight="1" x14ac:dyDescent="0.2">
      <c r="K32" s="4"/>
    </row>
    <row r="33" spans="2:9" ht="15" customHeight="1" x14ac:dyDescent="0.25">
      <c r="B33" s="38" t="s">
        <v>138</v>
      </c>
      <c r="I33" s="529"/>
    </row>
    <row r="34" spans="2:9" ht="15.75" customHeight="1" x14ac:dyDescent="0.25">
      <c r="B34" s="38" t="s">
        <v>139</v>
      </c>
    </row>
  </sheetData>
  <customSheetViews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4">
    <mergeCell ref="D3:F3"/>
    <mergeCell ref="B1:F1"/>
    <mergeCell ref="B5:F5"/>
    <mergeCell ref="B2:I2"/>
  </mergeCells>
  <phoneticPr fontId="0" type="noConversion"/>
  <printOptions horizontalCentered="1" verticalCentered="1"/>
  <pageMargins left="0.98425196850393704" right="0.19685039370078741" top="0.98425196850393704" bottom="0.98425196850393704" header="0.51181102362204722" footer="0.51181102362204722"/>
  <pageSetup paperSize="9" scale="58" orientation="portrait" r:id="rId3"/>
  <headerFooter alignWithMargins="0">
    <oddHeader xml:space="preserve">&amp;L&amp;F&amp;A&amp;R&amp;"Times New Roman CE,Félkövér"&amp;12 15. melléklet a 12/2017. (V.3.) önkormányzati rendelethez
"15. melléklet a 4/2017. (III.7.) önkormányzati rendelethez”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L33"/>
  <sheetViews>
    <sheetView view="pageLayout" topLeftCell="B1" zoomScaleNormal="100" workbookViewId="0">
      <selection activeCell="B2" sqref="B2:E2"/>
    </sheetView>
  </sheetViews>
  <sheetFormatPr defaultColWidth="12" defaultRowHeight="15" customHeight="1" x14ac:dyDescent="0.2"/>
  <cols>
    <col min="1" max="1" width="19.1640625" style="5" customWidth="1"/>
    <col min="2" max="2" width="79.5" style="5" customWidth="1"/>
    <col min="3" max="3" width="40.83203125" style="5" customWidth="1"/>
    <col min="4" max="4" width="34.6640625" style="5" bestFit="1" customWidth="1"/>
    <col min="5" max="5" width="37.33203125" style="5" bestFit="1" customWidth="1"/>
    <col min="6" max="16384" width="12" style="5"/>
  </cols>
  <sheetData>
    <row r="1" spans="1:12" ht="15" customHeight="1" x14ac:dyDescent="0.25">
      <c r="B1" s="3"/>
      <c r="C1" s="3"/>
      <c r="D1" s="3"/>
      <c r="E1" s="3"/>
    </row>
    <row r="2" spans="1:12" ht="18" customHeight="1" x14ac:dyDescent="0.25">
      <c r="B2" s="1245" t="s">
        <v>198</v>
      </c>
      <c r="C2" s="1245"/>
      <c r="D2" s="1245"/>
      <c r="E2" s="1245"/>
    </row>
    <row r="3" spans="1:12" ht="15" customHeight="1" x14ac:dyDescent="0.25">
      <c r="B3" s="1"/>
      <c r="C3" s="1"/>
      <c r="D3" s="1"/>
      <c r="E3" s="1"/>
    </row>
    <row r="4" spans="1:12" ht="15" customHeight="1" thickBot="1" x14ac:dyDescent="0.3">
      <c r="B4" s="37"/>
      <c r="C4" s="231"/>
      <c r="D4" s="231"/>
      <c r="E4" s="535" t="s">
        <v>419</v>
      </c>
    </row>
    <row r="5" spans="1:12" ht="20.100000000000001" customHeight="1" x14ac:dyDescent="0.25">
      <c r="B5" s="454" t="s">
        <v>329</v>
      </c>
      <c r="C5" s="439" t="s">
        <v>542</v>
      </c>
      <c r="D5" s="399" t="s">
        <v>677</v>
      </c>
      <c r="E5" s="811" t="s">
        <v>750</v>
      </c>
    </row>
    <row r="6" spans="1:12" ht="20.100000000000001" customHeight="1" thickBot="1" x14ac:dyDescent="0.3">
      <c r="B6" s="346"/>
      <c r="C6" s="440" t="s">
        <v>159</v>
      </c>
      <c r="D6" s="400" t="s">
        <v>678</v>
      </c>
      <c r="E6" s="440" t="s">
        <v>541</v>
      </c>
    </row>
    <row r="7" spans="1:12" ht="20.100000000000001" customHeight="1" x14ac:dyDescent="0.25">
      <c r="A7" s="10">
        <v>412101</v>
      </c>
      <c r="B7" s="380" t="s">
        <v>141</v>
      </c>
      <c r="C7" s="408">
        <v>36000</v>
      </c>
      <c r="D7" s="408">
        <v>2725</v>
      </c>
      <c r="E7" s="408">
        <f>C7+D7</f>
        <v>38725</v>
      </c>
      <c r="F7" s="10"/>
      <c r="G7" s="4"/>
      <c r="H7" s="10"/>
      <c r="I7" s="10"/>
      <c r="J7" s="10"/>
      <c r="K7" s="10"/>
      <c r="L7" s="10"/>
    </row>
    <row r="8" spans="1:12" ht="20.100000000000001" customHeight="1" x14ac:dyDescent="0.25">
      <c r="A8" s="5">
        <v>412102</v>
      </c>
      <c r="B8" s="384" t="s">
        <v>223</v>
      </c>
      <c r="C8" s="408">
        <v>5000</v>
      </c>
      <c r="D8" s="409"/>
      <c r="E8" s="408">
        <f t="shared" ref="E8:E29" si="0">C8+D8</f>
        <v>5000</v>
      </c>
      <c r="G8" s="4"/>
    </row>
    <row r="9" spans="1:12" ht="20.100000000000001" customHeight="1" x14ac:dyDescent="0.25">
      <c r="A9" s="5">
        <v>412104</v>
      </c>
      <c r="B9" s="385" t="s">
        <v>366</v>
      </c>
      <c r="C9" s="408">
        <v>6000</v>
      </c>
      <c r="D9" s="408">
        <v>2662</v>
      </c>
      <c r="E9" s="408">
        <f t="shared" si="0"/>
        <v>8662</v>
      </c>
      <c r="G9" s="4"/>
    </row>
    <row r="10" spans="1:12" ht="20.100000000000001" customHeight="1" x14ac:dyDescent="0.25">
      <c r="A10" s="5">
        <v>412105</v>
      </c>
      <c r="B10" s="385" t="s">
        <v>6</v>
      </c>
      <c r="C10" s="408">
        <v>3000</v>
      </c>
      <c r="D10" s="408">
        <v>1</v>
      </c>
      <c r="E10" s="408">
        <f t="shared" si="0"/>
        <v>3001</v>
      </c>
      <c r="G10" s="4"/>
    </row>
    <row r="11" spans="1:12" ht="20.100000000000001" customHeight="1" x14ac:dyDescent="0.25">
      <c r="A11" s="5">
        <v>412106</v>
      </c>
      <c r="B11" s="385" t="s">
        <v>5</v>
      </c>
      <c r="C11" s="408">
        <v>60000</v>
      </c>
      <c r="D11" s="408"/>
      <c r="E11" s="408">
        <f t="shared" si="0"/>
        <v>60000</v>
      </c>
      <c r="G11" s="4"/>
    </row>
    <row r="12" spans="1:12" ht="20.100000000000001" customHeight="1" x14ac:dyDescent="0.25">
      <c r="A12" s="5">
        <v>412107</v>
      </c>
      <c r="B12" s="385" t="s">
        <v>370</v>
      </c>
      <c r="C12" s="408">
        <v>10000</v>
      </c>
      <c r="D12" s="408">
        <v>754</v>
      </c>
      <c r="E12" s="408">
        <f t="shared" si="0"/>
        <v>10754</v>
      </c>
      <c r="G12" s="4"/>
    </row>
    <row r="13" spans="1:12" ht="20.100000000000001" customHeight="1" x14ac:dyDescent="0.25">
      <c r="A13" s="5">
        <v>412108</v>
      </c>
      <c r="B13" s="385" t="s">
        <v>367</v>
      </c>
      <c r="C13" s="408">
        <v>4000</v>
      </c>
      <c r="D13" s="408"/>
      <c r="E13" s="408">
        <f t="shared" si="0"/>
        <v>4000</v>
      </c>
      <c r="G13" s="4"/>
    </row>
    <row r="14" spans="1:12" ht="18" x14ac:dyDescent="0.25">
      <c r="A14" s="5">
        <v>412109</v>
      </c>
      <c r="B14" s="386" t="s">
        <v>163</v>
      </c>
      <c r="C14" s="408">
        <v>2000</v>
      </c>
      <c r="D14" s="408">
        <v>1652</v>
      </c>
      <c r="E14" s="408">
        <f t="shared" si="0"/>
        <v>3652</v>
      </c>
      <c r="G14" s="4"/>
    </row>
    <row r="15" spans="1:12" ht="20.100000000000001" customHeight="1" x14ac:dyDescent="0.25">
      <c r="A15" s="5">
        <v>412110</v>
      </c>
      <c r="B15" s="385" t="s">
        <v>81</v>
      </c>
      <c r="C15" s="408">
        <v>100</v>
      </c>
      <c r="D15" s="408"/>
      <c r="E15" s="408">
        <f t="shared" si="0"/>
        <v>100</v>
      </c>
      <c r="G15" s="4"/>
    </row>
    <row r="16" spans="1:12" ht="18" x14ac:dyDescent="0.25">
      <c r="A16" s="5">
        <v>412111</v>
      </c>
      <c r="B16" s="387" t="s">
        <v>256</v>
      </c>
      <c r="C16" s="408"/>
      <c r="D16" s="408">
        <v>1268</v>
      </c>
      <c r="E16" s="408">
        <f t="shared" si="0"/>
        <v>1268</v>
      </c>
      <c r="G16" s="4"/>
    </row>
    <row r="17" spans="1:7" ht="20.100000000000001" customHeight="1" x14ac:dyDescent="0.25">
      <c r="A17" s="5">
        <v>412112</v>
      </c>
      <c r="B17" s="385" t="s">
        <v>73</v>
      </c>
      <c r="C17" s="408">
        <v>500</v>
      </c>
      <c r="D17" s="408">
        <v>2715</v>
      </c>
      <c r="E17" s="408">
        <f t="shared" si="0"/>
        <v>3215</v>
      </c>
      <c r="G17" s="4"/>
    </row>
    <row r="18" spans="1:7" ht="20.100000000000001" customHeight="1" x14ac:dyDescent="0.25">
      <c r="A18" s="5">
        <v>412201</v>
      </c>
      <c r="B18" s="385" t="s">
        <v>368</v>
      </c>
      <c r="C18" s="408">
        <v>300</v>
      </c>
      <c r="D18" s="408">
        <v>731</v>
      </c>
      <c r="E18" s="408">
        <f t="shared" si="0"/>
        <v>1031</v>
      </c>
      <c r="G18" s="4"/>
    </row>
    <row r="19" spans="1:7" ht="20.100000000000001" customHeight="1" x14ac:dyDescent="0.25">
      <c r="A19" s="5">
        <v>412202</v>
      </c>
      <c r="B19" s="385" t="s">
        <v>8</v>
      </c>
      <c r="C19" s="408">
        <v>5000</v>
      </c>
      <c r="D19" s="408">
        <v>8331</v>
      </c>
      <c r="E19" s="408">
        <f t="shared" si="0"/>
        <v>13331</v>
      </c>
      <c r="G19" s="4"/>
    </row>
    <row r="20" spans="1:7" ht="20.100000000000001" customHeight="1" x14ac:dyDescent="0.25">
      <c r="A20" s="5">
        <v>412203</v>
      </c>
      <c r="B20" s="385" t="s">
        <v>178</v>
      </c>
      <c r="C20" s="408">
        <v>2000</v>
      </c>
      <c r="D20" s="408">
        <v>5290</v>
      </c>
      <c r="E20" s="408">
        <f t="shared" si="0"/>
        <v>7290</v>
      </c>
      <c r="G20" s="4"/>
    </row>
    <row r="21" spans="1:7" ht="20.100000000000001" customHeight="1" x14ac:dyDescent="0.25">
      <c r="A21" s="5">
        <v>412301</v>
      </c>
      <c r="B21" s="385" t="s">
        <v>369</v>
      </c>
      <c r="C21" s="408">
        <v>30000</v>
      </c>
      <c r="D21" s="408">
        <v>1529</v>
      </c>
      <c r="E21" s="408">
        <f t="shared" si="0"/>
        <v>31529</v>
      </c>
      <c r="G21" s="4"/>
    </row>
    <row r="22" spans="1:7" ht="20.100000000000001" customHeight="1" x14ac:dyDescent="0.25">
      <c r="A22" s="5">
        <v>412401</v>
      </c>
      <c r="B22" s="385" t="s">
        <v>304</v>
      </c>
      <c r="C22" s="408">
        <v>15500</v>
      </c>
      <c r="D22" s="408">
        <v>10919</v>
      </c>
      <c r="E22" s="408">
        <f t="shared" si="0"/>
        <v>26419</v>
      </c>
      <c r="G22" s="4"/>
    </row>
    <row r="23" spans="1:7" ht="20.100000000000001" customHeight="1" x14ac:dyDescent="0.25">
      <c r="A23" s="5">
        <v>412402</v>
      </c>
      <c r="B23" s="385" t="s">
        <v>164</v>
      </c>
      <c r="C23" s="408">
        <v>18000</v>
      </c>
      <c r="D23" s="408">
        <v>2444</v>
      </c>
      <c r="E23" s="408">
        <f t="shared" si="0"/>
        <v>20444</v>
      </c>
      <c r="G23" s="4"/>
    </row>
    <row r="24" spans="1:7" ht="30.75" x14ac:dyDescent="0.25">
      <c r="A24" s="5">
        <v>412501</v>
      </c>
      <c r="B24" s="387" t="s">
        <v>219</v>
      </c>
      <c r="C24" s="408">
        <v>2000</v>
      </c>
      <c r="D24" s="408">
        <v>355</v>
      </c>
      <c r="E24" s="408">
        <f t="shared" si="0"/>
        <v>2355</v>
      </c>
      <c r="G24" s="4"/>
    </row>
    <row r="25" spans="1:7" ht="20.100000000000001" customHeight="1" x14ac:dyDescent="0.25">
      <c r="A25" s="5">
        <v>412601</v>
      </c>
      <c r="B25" s="385" t="s">
        <v>7</v>
      </c>
      <c r="C25" s="408">
        <v>6000</v>
      </c>
      <c r="D25" s="408">
        <v>1947</v>
      </c>
      <c r="E25" s="408">
        <f t="shared" si="0"/>
        <v>7947</v>
      </c>
      <c r="G25" s="4"/>
    </row>
    <row r="26" spans="1:7" ht="30.75" x14ac:dyDescent="0.25">
      <c r="A26" s="5">
        <v>412701</v>
      </c>
      <c r="B26" s="386" t="s">
        <v>377</v>
      </c>
      <c r="C26" s="408">
        <v>7000</v>
      </c>
      <c r="D26" s="408">
        <v>3216</v>
      </c>
      <c r="E26" s="408">
        <f t="shared" si="0"/>
        <v>10216</v>
      </c>
      <c r="G26" s="4"/>
    </row>
    <row r="27" spans="1:7" ht="20.100000000000001" customHeight="1" x14ac:dyDescent="0.25">
      <c r="A27" s="5">
        <v>412702</v>
      </c>
      <c r="B27" s="388" t="s">
        <v>165</v>
      </c>
      <c r="C27" s="408">
        <v>10000</v>
      </c>
      <c r="D27" s="408">
        <v>5512</v>
      </c>
      <c r="E27" s="408">
        <f t="shared" si="0"/>
        <v>15512</v>
      </c>
      <c r="G27" s="4"/>
    </row>
    <row r="28" spans="1:7" ht="20.100000000000001" customHeight="1" x14ac:dyDescent="0.25">
      <c r="A28" s="5">
        <v>412703</v>
      </c>
      <c r="B28" s="385" t="s">
        <v>449</v>
      </c>
      <c r="C28" s="408">
        <v>5000</v>
      </c>
      <c r="D28" s="408">
        <v>8068</v>
      </c>
      <c r="E28" s="408">
        <f t="shared" si="0"/>
        <v>13068</v>
      </c>
      <c r="G28" s="4"/>
    </row>
    <row r="29" spans="1:7" ht="20.100000000000001" customHeight="1" thickBot="1" x14ac:dyDescent="0.3">
      <c r="B29" s="385" t="s">
        <v>252</v>
      </c>
      <c r="C29" s="408">
        <v>2000</v>
      </c>
      <c r="D29" s="408">
        <v>73</v>
      </c>
      <c r="E29" s="408">
        <f t="shared" si="0"/>
        <v>2073</v>
      </c>
      <c r="G29" s="4"/>
    </row>
    <row r="30" spans="1:7" ht="20.100000000000001" customHeight="1" thickBot="1" x14ac:dyDescent="0.35">
      <c r="B30" s="55" t="s">
        <v>303</v>
      </c>
      <c r="C30" s="103">
        <f>SUM(C7:C29)</f>
        <v>229400</v>
      </c>
      <c r="D30" s="103">
        <f>SUM(D7:D29)</f>
        <v>60192</v>
      </c>
      <c r="E30" s="103">
        <f>SUM(E7:E29)</f>
        <v>289592</v>
      </c>
      <c r="G30" s="4"/>
    </row>
    <row r="32" spans="1:7" ht="15" customHeight="1" x14ac:dyDescent="0.25">
      <c r="B32" s="38" t="s">
        <v>138</v>
      </c>
      <c r="C32" s="38"/>
      <c r="D32" s="38"/>
      <c r="E32" s="533"/>
    </row>
    <row r="33" spans="2:5" ht="15" customHeight="1" x14ac:dyDescent="0.25">
      <c r="B33" s="38" t="s">
        <v>139</v>
      </c>
      <c r="C33" s="38"/>
      <c r="D33" s="38"/>
      <c r="E33" s="38"/>
    </row>
  </sheetData>
  <customSheetViews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B2:E2"/>
  </mergeCells>
  <phoneticPr fontId="0" type="noConversion"/>
  <printOptions horizontalCentered="1" verticalCentered="1"/>
  <pageMargins left="0.98425196850393704" right="0.19685039370078741" top="0.98425196850393704" bottom="0.98425196850393704" header="0.51181102362204722" footer="0.51181102362204722"/>
  <pageSetup paperSize="9" scale="60" orientation="portrait" r:id="rId3"/>
  <headerFooter alignWithMargins="0">
    <oddHeader xml:space="preserve">&amp;L&amp;F&amp;A&amp;R&amp;"Times New Roman CE,Félkövér"&amp;12 16. melléklet a 12/2017. (V.3.) önkormányzati rendelethez
"16. melléklet a 4/2017. (III.7.) önkormányzati rendelethez”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L59"/>
  <sheetViews>
    <sheetView zoomScale="75" zoomScaleNormal="75" workbookViewId="0">
      <selection activeCell="M348" sqref="M348"/>
    </sheetView>
  </sheetViews>
  <sheetFormatPr defaultColWidth="10.6640625" defaultRowHeight="15" x14ac:dyDescent="0.2"/>
  <cols>
    <col min="1" max="1" width="17.5" style="21" customWidth="1"/>
    <col min="2" max="2" width="6" style="21" customWidth="1"/>
    <col min="3" max="3" width="133.5" style="21" customWidth="1"/>
    <col min="4" max="4" width="42.6640625" style="21" customWidth="1"/>
    <col min="5" max="5" width="34.6640625" style="21" bestFit="1" customWidth="1"/>
    <col min="6" max="6" width="37.33203125" style="21" bestFit="1" customWidth="1"/>
    <col min="7" max="9" width="10.6640625" style="21"/>
    <col min="10" max="10" width="12.6640625" style="21" bestFit="1" customWidth="1"/>
    <col min="11" max="16384" width="10.6640625" style="21"/>
  </cols>
  <sheetData>
    <row r="1" spans="1:12" ht="18" x14ac:dyDescent="0.25">
      <c r="B1" s="1252" t="s">
        <v>275</v>
      </c>
      <c r="C1" s="1252"/>
      <c r="D1" s="1252"/>
      <c r="E1" s="1252"/>
      <c r="F1" s="1252"/>
    </row>
    <row r="2" spans="1:12" ht="18.75" thickBot="1" x14ac:dyDescent="0.3">
      <c r="C2" s="34"/>
      <c r="D2" s="34"/>
      <c r="E2" s="34"/>
      <c r="F2" s="535" t="s">
        <v>419</v>
      </c>
    </row>
    <row r="3" spans="1:12" ht="18" customHeight="1" x14ac:dyDescent="0.25">
      <c r="B3" s="35"/>
      <c r="C3" s="457" t="s">
        <v>329</v>
      </c>
      <c r="D3" s="439" t="s">
        <v>542</v>
      </c>
      <c r="E3" s="399" t="s">
        <v>677</v>
      </c>
      <c r="F3" s="811" t="s">
        <v>750</v>
      </c>
    </row>
    <row r="4" spans="1:12" ht="16.5" thickBot="1" x14ac:dyDescent="0.3">
      <c r="B4" s="36"/>
      <c r="C4" s="458"/>
      <c r="D4" s="440" t="s">
        <v>159</v>
      </c>
      <c r="E4" s="400" t="s">
        <v>678</v>
      </c>
      <c r="F4" s="440" t="s">
        <v>541</v>
      </c>
    </row>
    <row r="5" spans="1:12" s="31" customFormat="1" ht="15.75" x14ac:dyDescent="0.25">
      <c r="B5" s="218" t="s">
        <v>123</v>
      </c>
      <c r="C5" s="460"/>
      <c r="D5" s="235"/>
      <c r="E5" s="235"/>
      <c r="F5" s="235"/>
    </row>
    <row r="6" spans="1:12" s="31" customFormat="1" ht="20.25" x14ac:dyDescent="0.3">
      <c r="B6" s="153"/>
      <c r="C6" s="757"/>
      <c r="D6" s="758"/>
      <c r="E6" s="703"/>
      <c r="F6" s="703">
        <f>D6+E6</f>
        <v>0</v>
      </c>
    </row>
    <row r="7" spans="1:12" s="31" customFormat="1" ht="20.25" x14ac:dyDescent="0.3">
      <c r="B7" s="153"/>
      <c r="C7" s="759" t="s">
        <v>45</v>
      </c>
      <c r="D7" s="760">
        <f>SUM(D6:D6)</f>
        <v>0</v>
      </c>
      <c r="E7" s="760">
        <f>SUM(E6:E6)</f>
        <v>0</v>
      </c>
      <c r="F7" s="760">
        <f>SUM(F6:F6)</f>
        <v>0</v>
      </c>
    </row>
    <row r="8" spans="1:12" ht="20.25" x14ac:dyDescent="0.3">
      <c r="B8" s="33"/>
      <c r="C8" s="761"/>
      <c r="D8" s="215"/>
      <c r="E8" s="413"/>
      <c r="F8" s="215"/>
    </row>
    <row r="9" spans="1:12" ht="32.25" x14ac:dyDescent="0.3">
      <c r="A9" s="31"/>
      <c r="B9" s="197"/>
      <c r="C9" s="762" t="s">
        <v>103</v>
      </c>
      <c r="D9" s="760">
        <f>SUM(D8)</f>
        <v>0</v>
      </c>
      <c r="E9" s="760">
        <f>SUM(E8)</f>
        <v>0</v>
      </c>
      <c r="F9" s="760">
        <f>SUM(F8)</f>
        <v>0</v>
      </c>
      <c r="G9" s="31"/>
      <c r="H9" s="31"/>
      <c r="I9" s="31"/>
      <c r="J9" s="31"/>
      <c r="K9" s="31"/>
      <c r="L9" s="31"/>
    </row>
    <row r="10" spans="1:12" s="31" customFormat="1" ht="20.25" x14ac:dyDescent="0.3">
      <c r="B10" s="153"/>
      <c r="C10" s="270" t="s">
        <v>543</v>
      </c>
      <c r="D10" s="411"/>
      <c r="E10" s="732"/>
      <c r="F10" s="411"/>
    </row>
    <row r="11" spans="1:12" ht="20.25" x14ac:dyDescent="0.3">
      <c r="B11" s="33"/>
      <c r="C11" s="767" t="s">
        <v>568</v>
      </c>
      <c r="D11" s="768"/>
      <c r="E11" s="341">
        <v>6871</v>
      </c>
      <c r="F11" s="410">
        <f t="shared" ref="F11:F29" si="0">D11+E11</f>
        <v>6871</v>
      </c>
    </row>
    <row r="12" spans="1:12" ht="20.25" x14ac:dyDescent="0.3">
      <c r="B12" s="33"/>
      <c r="C12" s="767" t="s">
        <v>569</v>
      </c>
      <c r="D12" s="768"/>
      <c r="E12" s="341">
        <v>415500</v>
      </c>
      <c r="F12" s="410">
        <f t="shared" si="0"/>
        <v>415500</v>
      </c>
    </row>
    <row r="13" spans="1:12" ht="20.25" x14ac:dyDescent="0.3">
      <c r="B13" s="33"/>
      <c r="C13" s="769" t="s">
        <v>570</v>
      </c>
      <c r="D13" s="768"/>
      <c r="E13" s="341">
        <v>7242</v>
      </c>
      <c r="F13" s="410">
        <f t="shared" si="0"/>
        <v>7242</v>
      </c>
    </row>
    <row r="14" spans="1:12" ht="20.25" x14ac:dyDescent="0.3">
      <c r="B14" s="33"/>
      <c r="C14" s="767" t="s">
        <v>571</v>
      </c>
      <c r="D14" s="768"/>
      <c r="E14" s="341">
        <v>364327</v>
      </c>
      <c r="F14" s="410">
        <f t="shared" si="0"/>
        <v>364327</v>
      </c>
    </row>
    <row r="15" spans="1:12" ht="20.25" x14ac:dyDescent="0.3">
      <c r="B15" s="33"/>
      <c r="C15" s="767" t="s">
        <v>572</v>
      </c>
      <c r="D15" s="768"/>
      <c r="E15" s="341">
        <v>532875</v>
      </c>
      <c r="F15" s="410">
        <f t="shared" si="0"/>
        <v>532875</v>
      </c>
    </row>
    <row r="16" spans="1:12" ht="20.25" x14ac:dyDescent="0.3">
      <c r="B16" s="33"/>
      <c r="C16" s="767" t="s">
        <v>573</v>
      </c>
      <c r="D16" s="768"/>
      <c r="E16" s="341">
        <v>480375</v>
      </c>
      <c r="F16" s="410">
        <f t="shared" si="0"/>
        <v>480375</v>
      </c>
    </row>
    <row r="17" spans="2:6" ht="20.25" x14ac:dyDescent="0.3">
      <c r="B17" s="33"/>
      <c r="C17" s="789" t="s">
        <v>627</v>
      </c>
      <c r="D17" s="768"/>
      <c r="E17" s="341">
        <v>12295</v>
      </c>
      <c r="F17" s="410">
        <f t="shared" si="0"/>
        <v>12295</v>
      </c>
    </row>
    <row r="18" spans="2:6" ht="20.25" x14ac:dyDescent="0.3">
      <c r="B18" s="33"/>
      <c r="C18" s="789" t="s">
        <v>629</v>
      </c>
      <c r="D18" s="768"/>
      <c r="E18" s="341">
        <f>375000-18750</f>
        <v>356250</v>
      </c>
      <c r="F18" s="410">
        <f t="shared" si="0"/>
        <v>356250</v>
      </c>
    </row>
    <row r="19" spans="2:6" ht="20.25" x14ac:dyDescent="0.3">
      <c r="B19" s="33"/>
      <c r="C19" s="789" t="s">
        <v>630</v>
      </c>
      <c r="D19" s="768"/>
      <c r="E19" s="341">
        <v>606375</v>
      </c>
      <c r="F19" s="410">
        <f t="shared" si="0"/>
        <v>606375</v>
      </c>
    </row>
    <row r="20" spans="2:6" ht="20.25" x14ac:dyDescent="0.3">
      <c r="B20" s="33"/>
      <c r="C20" s="789" t="s">
        <v>631</v>
      </c>
      <c r="D20" s="768"/>
      <c r="E20" s="341">
        <v>329910</v>
      </c>
      <c r="F20" s="410">
        <f t="shared" si="0"/>
        <v>329910</v>
      </c>
    </row>
    <row r="21" spans="2:6" ht="20.25" x14ac:dyDescent="0.3">
      <c r="B21" s="33"/>
      <c r="C21" s="789" t="s">
        <v>632</v>
      </c>
      <c r="D21" s="768"/>
      <c r="E21" s="341">
        <v>13653</v>
      </c>
      <c r="F21" s="410">
        <f t="shared" si="0"/>
        <v>13653</v>
      </c>
    </row>
    <row r="22" spans="2:6" ht="20.25" x14ac:dyDescent="0.3">
      <c r="B22" s="33"/>
      <c r="C22" s="789" t="s">
        <v>633</v>
      </c>
      <c r="D22" s="768"/>
      <c r="E22" s="341">
        <v>8319</v>
      </c>
      <c r="F22" s="410">
        <f t="shared" si="0"/>
        <v>8319</v>
      </c>
    </row>
    <row r="23" spans="2:6" ht="20.25" x14ac:dyDescent="0.3">
      <c r="B23" s="33"/>
      <c r="C23" s="789" t="s">
        <v>634</v>
      </c>
      <c r="D23" s="768"/>
      <c r="E23" s="341">
        <v>13462</v>
      </c>
      <c r="F23" s="410">
        <f t="shared" si="0"/>
        <v>13462</v>
      </c>
    </row>
    <row r="24" spans="2:6" ht="20.25" x14ac:dyDescent="0.3">
      <c r="B24" s="33"/>
      <c r="C24" s="789" t="s">
        <v>636</v>
      </c>
      <c r="D24" s="768"/>
      <c r="E24" s="341">
        <v>20269</v>
      </c>
      <c r="F24" s="410">
        <f t="shared" si="0"/>
        <v>20269</v>
      </c>
    </row>
    <row r="25" spans="2:6" ht="20.25" x14ac:dyDescent="0.3">
      <c r="B25" s="33"/>
      <c r="C25" s="789" t="s">
        <v>637</v>
      </c>
      <c r="D25" s="768"/>
      <c r="E25" s="341">
        <v>14478</v>
      </c>
      <c r="F25" s="410">
        <f t="shared" si="0"/>
        <v>14478</v>
      </c>
    </row>
    <row r="26" spans="2:6" ht="20.25" x14ac:dyDescent="0.3">
      <c r="B26" s="33"/>
      <c r="C26" s="789" t="s">
        <v>638</v>
      </c>
      <c r="D26" s="768"/>
      <c r="E26" s="341">
        <v>294696</v>
      </c>
      <c r="F26" s="410">
        <f t="shared" si="0"/>
        <v>294696</v>
      </c>
    </row>
    <row r="27" spans="2:6" ht="20.25" x14ac:dyDescent="0.3">
      <c r="B27" s="33"/>
      <c r="C27" s="789" t="s">
        <v>639</v>
      </c>
      <c r="D27" s="768"/>
      <c r="E27" s="341">
        <v>840525</v>
      </c>
      <c r="F27" s="410">
        <f t="shared" si="0"/>
        <v>840525</v>
      </c>
    </row>
    <row r="28" spans="2:6" ht="20.25" x14ac:dyDescent="0.3">
      <c r="B28" s="33"/>
      <c r="C28" s="789" t="s">
        <v>574</v>
      </c>
      <c r="D28" s="768"/>
      <c r="E28" s="341">
        <v>3500</v>
      </c>
      <c r="F28" s="410">
        <f t="shared" si="0"/>
        <v>3500</v>
      </c>
    </row>
    <row r="29" spans="2:6" ht="20.25" x14ac:dyDescent="0.3">
      <c r="B29" s="33"/>
      <c r="C29" s="270" t="s">
        <v>741</v>
      </c>
      <c r="D29" s="456"/>
      <c r="E29" s="412">
        <v>15000</v>
      </c>
      <c r="F29" s="413">
        <f t="shared" si="0"/>
        <v>15000</v>
      </c>
    </row>
    <row r="30" spans="2:6" s="31" customFormat="1" ht="21" thickBot="1" x14ac:dyDescent="0.35">
      <c r="B30" s="764"/>
      <c r="C30" s="765" t="s">
        <v>46</v>
      </c>
      <c r="D30" s="766">
        <f>SUM(D10:D29)</f>
        <v>0</v>
      </c>
      <c r="E30" s="766">
        <f>SUM(E10:E29)</f>
        <v>4335922</v>
      </c>
      <c r="F30" s="766">
        <f>SUM(F10:F29)</f>
        <v>4335922</v>
      </c>
    </row>
    <row r="31" spans="2:6" ht="24.95" customHeight="1" thickBot="1" x14ac:dyDescent="0.35">
      <c r="B31" s="1250" t="s">
        <v>128</v>
      </c>
      <c r="C31" s="1251"/>
      <c r="D31" s="763">
        <f>D7+D9+D30</f>
        <v>0</v>
      </c>
      <c r="E31" s="763">
        <f>E7+E9+E30</f>
        <v>4335922</v>
      </c>
      <c r="F31" s="763">
        <f>F7+F9+F30</f>
        <v>4335922</v>
      </c>
    </row>
    <row r="32" spans="2:6" ht="20.25" x14ac:dyDescent="0.3">
      <c r="B32" s="218" t="s">
        <v>120</v>
      </c>
      <c r="C32" s="460"/>
      <c r="D32" s="235"/>
      <c r="E32" s="344"/>
      <c r="F32" s="235"/>
    </row>
    <row r="33" spans="1:6" ht="21" thickBot="1" x14ac:dyDescent="0.35">
      <c r="A33" s="21">
        <v>160002</v>
      </c>
      <c r="B33" s="33"/>
      <c r="C33" s="706" t="s">
        <v>264</v>
      </c>
      <c r="D33" s="703">
        <v>550000</v>
      </c>
      <c r="E33" s="703"/>
      <c r="F33" s="703">
        <f>D33+E33</f>
        <v>550000</v>
      </c>
    </row>
    <row r="34" spans="1:6" ht="21" thickBot="1" x14ac:dyDescent="0.35">
      <c r="B34" s="154" t="s">
        <v>122</v>
      </c>
      <c r="C34" s="461"/>
      <c r="D34" s="185">
        <f>SUM(D33:D33)</f>
        <v>550000</v>
      </c>
      <c r="E34" s="185">
        <f>SUM(E33:E33)</f>
        <v>0</v>
      </c>
      <c r="F34" s="185">
        <f>SUM(F33:F33)</f>
        <v>550000</v>
      </c>
    </row>
    <row r="35" spans="1:6" ht="16.5" customHeight="1" x14ac:dyDescent="0.3">
      <c r="B35" s="219" t="s">
        <v>129</v>
      </c>
      <c r="C35" s="462"/>
      <c r="D35" s="459"/>
      <c r="E35" s="414"/>
      <c r="F35" s="459"/>
    </row>
    <row r="36" spans="1:6" ht="44.25" customHeight="1" x14ac:dyDescent="0.3">
      <c r="B36" s="156"/>
      <c r="C36" s="220" t="s">
        <v>48</v>
      </c>
      <c r="D36" s="455"/>
      <c r="E36" s="415"/>
      <c r="F36" s="455"/>
    </row>
    <row r="37" spans="1:6" ht="20.25" x14ac:dyDescent="0.3">
      <c r="A37" s="21">
        <v>171001</v>
      </c>
      <c r="B37" s="33"/>
      <c r="C37" s="463" t="s">
        <v>266</v>
      </c>
      <c r="D37" s="416">
        <v>10000</v>
      </c>
      <c r="E37" s="416"/>
      <c r="F37" s="416">
        <f>D37+E37</f>
        <v>10000</v>
      </c>
    </row>
    <row r="38" spans="1:6" ht="20.25" x14ac:dyDescent="0.3">
      <c r="A38" s="21">
        <v>171002</v>
      </c>
      <c r="B38" s="33"/>
      <c r="C38" s="170" t="s">
        <v>225</v>
      </c>
      <c r="D38" s="416">
        <v>23000</v>
      </c>
      <c r="E38" s="410"/>
      <c r="F38" s="410">
        <f>D38+E38</f>
        <v>23000</v>
      </c>
    </row>
    <row r="39" spans="1:6" s="31" customFormat="1" ht="20.25" x14ac:dyDescent="0.3">
      <c r="B39" s="156"/>
      <c r="C39" s="704" t="s">
        <v>49</v>
      </c>
      <c r="D39" s="705"/>
      <c r="E39" s="708"/>
      <c r="F39" s="805"/>
    </row>
    <row r="40" spans="1:6" ht="20.25" x14ac:dyDescent="0.3">
      <c r="B40" s="33"/>
      <c r="C40" s="706" t="s">
        <v>742</v>
      </c>
      <c r="D40" s="707"/>
      <c r="E40" s="703">
        <v>1027</v>
      </c>
      <c r="F40" s="790">
        <f>D40+E40</f>
        <v>1027</v>
      </c>
    </row>
    <row r="41" spans="1:6" ht="20.25" x14ac:dyDescent="0.3">
      <c r="B41" s="1248" t="s">
        <v>130</v>
      </c>
      <c r="C41" s="1249"/>
      <c r="D41" s="417">
        <f>SUM(D36:D40)</f>
        <v>33000</v>
      </c>
      <c r="E41" s="417">
        <f>SUM(E36:E40)</f>
        <v>1027</v>
      </c>
      <c r="F41" s="417">
        <f>SUM(F36:F40)</f>
        <v>34027</v>
      </c>
    </row>
    <row r="42" spans="1:6" s="31" customFormat="1" ht="20.25" x14ac:dyDescent="0.3">
      <c r="B42" s="151" t="s">
        <v>199</v>
      </c>
      <c r="C42" s="221"/>
      <c r="D42" s="469"/>
      <c r="E42" s="418"/>
      <c r="F42" s="469"/>
    </row>
    <row r="43" spans="1:6" s="31" customFormat="1" ht="20.25" x14ac:dyDescent="0.3">
      <c r="B43" s="156"/>
      <c r="C43" s="41" t="s">
        <v>371</v>
      </c>
      <c r="D43" s="470"/>
      <c r="E43" s="418"/>
      <c r="F43" s="418">
        <f t="shared" ref="F43:F56" si="1">D43+E43</f>
        <v>0</v>
      </c>
    </row>
    <row r="44" spans="1:6" s="31" customFormat="1" ht="20.25" x14ac:dyDescent="0.3">
      <c r="B44" s="156"/>
      <c r="C44" s="464" t="s">
        <v>193</v>
      </c>
      <c r="D44" s="471"/>
      <c r="E44" s="419">
        <v>34</v>
      </c>
      <c r="F44" s="419">
        <f t="shared" si="1"/>
        <v>34</v>
      </c>
    </row>
    <row r="45" spans="1:6" s="31" customFormat="1" ht="20.25" x14ac:dyDescent="0.3">
      <c r="B45" s="156"/>
      <c r="C45" s="464" t="s">
        <v>108</v>
      </c>
      <c r="D45" s="471"/>
      <c r="E45" s="262"/>
      <c r="F45" s="262">
        <f t="shared" si="1"/>
        <v>0</v>
      </c>
    </row>
    <row r="46" spans="1:6" s="31" customFormat="1" ht="20.25" x14ac:dyDescent="0.3">
      <c r="B46" s="156"/>
      <c r="C46" s="464" t="s">
        <v>186</v>
      </c>
      <c r="D46" s="471"/>
      <c r="E46" s="262"/>
      <c r="F46" s="262">
        <f t="shared" si="1"/>
        <v>0</v>
      </c>
    </row>
    <row r="47" spans="1:6" s="31" customFormat="1" ht="20.25" x14ac:dyDescent="0.3">
      <c r="B47" s="156"/>
      <c r="C47" s="464" t="s">
        <v>187</v>
      </c>
      <c r="D47" s="471"/>
      <c r="E47" s="262"/>
      <c r="F47" s="262">
        <f t="shared" si="1"/>
        <v>0</v>
      </c>
    </row>
    <row r="48" spans="1:6" s="31" customFormat="1" ht="20.25" x14ac:dyDescent="0.3">
      <c r="B48" s="156"/>
      <c r="C48" s="464" t="s">
        <v>209</v>
      </c>
      <c r="D48" s="471"/>
      <c r="E48" s="262"/>
      <c r="F48" s="262">
        <f t="shared" si="1"/>
        <v>0</v>
      </c>
    </row>
    <row r="49" spans="2:9" s="31" customFormat="1" ht="20.25" x14ac:dyDescent="0.3">
      <c r="B49" s="156"/>
      <c r="C49" s="464" t="s">
        <v>210</v>
      </c>
      <c r="D49" s="471"/>
      <c r="E49" s="262"/>
      <c r="F49" s="262">
        <f t="shared" si="1"/>
        <v>0</v>
      </c>
    </row>
    <row r="50" spans="2:9" s="31" customFormat="1" ht="20.25" x14ac:dyDescent="0.3">
      <c r="B50" s="156"/>
      <c r="C50" s="465" t="s">
        <v>137</v>
      </c>
      <c r="D50" s="472"/>
      <c r="E50" s="419"/>
      <c r="F50" s="419">
        <f t="shared" si="1"/>
        <v>0</v>
      </c>
    </row>
    <row r="51" spans="2:9" s="31" customFormat="1" ht="20.25" x14ac:dyDescent="0.3">
      <c r="B51" s="156"/>
      <c r="C51" s="465" t="s">
        <v>480</v>
      </c>
      <c r="D51" s="419">
        <v>1990</v>
      </c>
      <c r="E51" s="419"/>
      <c r="F51" s="419">
        <f t="shared" si="1"/>
        <v>1990</v>
      </c>
    </row>
    <row r="52" spans="2:9" s="31" customFormat="1" ht="20.25" x14ac:dyDescent="0.3">
      <c r="B52" s="156"/>
      <c r="C52" s="465" t="s">
        <v>23</v>
      </c>
      <c r="D52" s="472"/>
      <c r="E52" s="419"/>
      <c r="F52" s="419">
        <f t="shared" si="1"/>
        <v>0</v>
      </c>
    </row>
    <row r="53" spans="2:9" s="31" customFormat="1" ht="20.25" x14ac:dyDescent="0.3">
      <c r="B53" s="156"/>
      <c r="C53" s="466" t="s">
        <v>299</v>
      </c>
      <c r="D53" s="473"/>
      <c r="E53" s="419"/>
      <c r="F53" s="419">
        <f t="shared" si="1"/>
        <v>0</v>
      </c>
    </row>
    <row r="54" spans="2:9" s="31" customFormat="1" ht="20.25" x14ac:dyDescent="0.3">
      <c r="B54" s="156"/>
      <c r="C54" s="467" t="s">
        <v>384</v>
      </c>
      <c r="D54" s="420">
        <f>SUM(D43:D53)</f>
        <v>1990</v>
      </c>
      <c r="E54" s="420">
        <f>SUM(E43:E53)</f>
        <v>34</v>
      </c>
      <c r="F54" s="420">
        <f>SUM(F43:F53)</f>
        <v>2024</v>
      </c>
    </row>
    <row r="55" spans="2:9" s="31" customFormat="1" ht="20.25" x14ac:dyDescent="0.3">
      <c r="B55" s="156"/>
      <c r="C55" s="468" t="s">
        <v>309</v>
      </c>
      <c r="D55" s="474"/>
      <c r="E55" s="421"/>
      <c r="F55" s="421">
        <f t="shared" si="1"/>
        <v>0</v>
      </c>
    </row>
    <row r="56" spans="2:9" s="31" customFormat="1" ht="20.25" x14ac:dyDescent="0.3">
      <c r="B56" s="156"/>
      <c r="C56" s="41" t="s">
        <v>10</v>
      </c>
      <c r="D56" s="470"/>
      <c r="E56" s="418"/>
      <c r="F56" s="418">
        <f t="shared" si="1"/>
        <v>0</v>
      </c>
    </row>
    <row r="57" spans="2:9" ht="20.25" x14ac:dyDescent="0.3">
      <c r="B57" s="1248" t="s">
        <v>127</v>
      </c>
      <c r="C57" s="1249"/>
      <c r="D57" s="420">
        <f>SUM(D54:D56)</f>
        <v>1990</v>
      </c>
      <c r="E57" s="420">
        <f>SUM(E54:E56)</f>
        <v>34</v>
      </c>
      <c r="F57" s="420">
        <f>SUM(F54:F56)</f>
        <v>2024</v>
      </c>
    </row>
    <row r="58" spans="2:9" ht="21" thickBot="1" x14ac:dyDescent="0.35">
      <c r="B58" s="1246" t="s">
        <v>131</v>
      </c>
      <c r="C58" s="1247"/>
      <c r="D58" s="422">
        <f>D34+D31+D41+D57</f>
        <v>584990</v>
      </c>
      <c r="E58" s="422">
        <f>E34+E31+E41+E57</f>
        <v>4336983</v>
      </c>
      <c r="F58" s="422">
        <f>F34+F31+F41+F57</f>
        <v>4921973</v>
      </c>
      <c r="I58" s="736"/>
    </row>
    <row r="59" spans="2:9" ht="15.75" x14ac:dyDescent="0.25">
      <c r="B59" s="155"/>
      <c r="C59" s="155"/>
      <c r="D59" s="155"/>
      <c r="E59" s="155"/>
      <c r="F59" s="155"/>
    </row>
  </sheetData>
  <mergeCells count="5">
    <mergeCell ref="B58:C58"/>
    <mergeCell ref="B41:C41"/>
    <mergeCell ref="B31:C31"/>
    <mergeCell ref="B57:C57"/>
    <mergeCell ref="B1:F1"/>
  </mergeCells>
  <phoneticPr fontId="0" type="noConversion"/>
  <printOptions horizontalCentered="1" verticalCentered="1"/>
  <pageMargins left="0" right="0" top="0" bottom="0" header="0.51181102362204722" footer="0"/>
  <pageSetup paperSize="9" scale="51" orientation="portrait" r:id="rId1"/>
  <headerFooter alignWithMargins="0">
    <oddHeader xml:space="preserve">&amp;L&amp;F&amp;A&amp;R&amp;"Times New Roman CE,Félkövér"&amp;12 17. melléklet a 12/2017. (V.3.) önkormányzati rendelethez
"17. melléklet a 4/2017. (III.7.) önkormányzati rendelethez”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M994"/>
  <sheetViews>
    <sheetView zoomScale="86" zoomScaleNormal="86" zoomScalePageLayoutView="55" workbookViewId="0">
      <selection activeCell="L17" sqref="L17"/>
    </sheetView>
  </sheetViews>
  <sheetFormatPr defaultColWidth="10.6640625" defaultRowHeight="15" customHeight="1" x14ac:dyDescent="0.25"/>
  <cols>
    <col min="1" max="1" width="5.6640625" style="43" customWidth="1"/>
    <col min="2" max="2" width="156.33203125" style="43" customWidth="1"/>
    <col min="3" max="3" width="30.33203125" style="715" customWidth="1"/>
    <col min="4" max="4" width="34.6640625" style="823" bestFit="1" customWidth="1"/>
    <col min="5" max="5" width="37.33203125" style="715" bestFit="1" customWidth="1"/>
    <col min="6" max="8" width="10.6640625" style="43"/>
    <col min="9" max="9" width="19.6640625" style="43" customWidth="1"/>
    <col min="10" max="10" width="10.6640625" style="43"/>
    <col min="11" max="11" width="14.5" style="43" bestFit="1" customWidth="1"/>
    <col min="12" max="12" width="10.6640625" style="43"/>
    <col min="13" max="13" width="19.6640625" style="43" bestFit="1" customWidth="1"/>
    <col min="14" max="16384" width="10.6640625" style="43"/>
  </cols>
  <sheetData>
    <row r="1" spans="1:7" ht="15" customHeight="1" x14ac:dyDescent="0.25">
      <c r="A1" s="1252"/>
      <c r="B1" s="1252"/>
      <c r="C1" s="822"/>
      <c r="D1" s="715"/>
      <c r="E1" s="822"/>
    </row>
    <row r="2" spans="1:7" ht="23.25" customHeight="1" x14ac:dyDescent="0.25">
      <c r="A2" s="1252" t="s">
        <v>331</v>
      </c>
      <c r="B2" s="1252"/>
      <c r="C2" s="1252"/>
      <c r="D2" s="1252"/>
      <c r="E2" s="1252"/>
    </row>
    <row r="3" spans="1:7" ht="15" customHeight="1" thickBot="1" x14ac:dyDescent="0.3">
      <c r="A3" s="43" t="s">
        <v>21</v>
      </c>
      <c r="E3" s="535" t="s">
        <v>419</v>
      </c>
    </row>
    <row r="4" spans="1:7" ht="18.75" customHeight="1" x14ac:dyDescent="0.25">
      <c r="A4" s="1253" t="s">
        <v>329</v>
      </c>
      <c r="B4" s="1254"/>
      <c r="C4" s="439" t="s">
        <v>542</v>
      </c>
      <c r="D4" s="399" t="s">
        <v>677</v>
      </c>
      <c r="E4" s="811" t="s">
        <v>750</v>
      </c>
    </row>
    <row r="5" spans="1:7" ht="18.75" thickBot="1" x14ac:dyDescent="0.3">
      <c r="A5" s="423"/>
      <c r="B5" s="475"/>
      <c r="C5" s="440" t="s">
        <v>159</v>
      </c>
      <c r="D5" s="400" t="s">
        <v>678</v>
      </c>
      <c r="E5" s="440" t="s">
        <v>541</v>
      </c>
    </row>
    <row r="6" spans="1:7" s="74" customFormat="1" ht="15" customHeight="1" x14ac:dyDescent="0.25">
      <c r="A6" s="424" t="s">
        <v>350</v>
      </c>
      <c r="B6" s="476" t="s">
        <v>265</v>
      </c>
      <c r="C6" s="824"/>
      <c r="D6" s="825"/>
      <c r="E6" s="824"/>
      <c r="G6" s="4"/>
    </row>
    <row r="7" spans="1:7" ht="18" x14ac:dyDescent="0.25">
      <c r="A7" s="425"/>
      <c r="B7" s="242" t="s">
        <v>151</v>
      </c>
      <c r="C7" s="334">
        <v>8550</v>
      </c>
      <c r="D7" s="327"/>
      <c r="E7" s="334">
        <f>C7+D7</f>
        <v>8550</v>
      </c>
      <c r="G7" s="4"/>
    </row>
    <row r="8" spans="1:7" ht="18" x14ac:dyDescent="0.25">
      <c r="A8" s="425"/>
      <c r="B8" s="242" t="s">
        <v>481</v>
      </c>
      <c r="C8" s="327">
        <v>50000</v>
      </c>
      <c r="D8" s="327"/>
      <c r="E8" s="327">
        <f>C8+D8</f>
        <v>50000</v>
      </c>
      <c r="G8" s="4"/>
    </row>
    <row r="9" spans="1:7" ht="18" x14ac:dyDescent="0.25">
      <c r="A9" s="425"/>
      <c r="B9" s="242" t="s">
        <v>650</v>
      </c>
      <c r="C9" s="327">
        <v>79905</v>
      </c>
      <c r="D9" s="327"/>
      <c r="E9" s="327">
        <f>C9+D9</f>
        <v>79905</v>
      </c>
      <c r="G9" s="4"/>
    </row>
    <row r="10" spans="1:7" ht="18" x14ac:dyDescent="0.25">
      <c r="A10" s="425"/>
      <c r="B10" s="242" t="s">
        <v>753</v>
      </c>
      <c r="C10" s="327">
        <v>6000</v>
      </c>
      <c r="D10" s="327"/>
      <c r="E10" s="327">
        <f>C10+D10</f>
        <v>6000</v>
      </c>
      <c r="G10" s="4"/>
    </row>
    <row r="11" spans="1:7" ht="18" x14ac:dyDescent="0.25">
      <c r="A11" s="425"/>
      <c r="B11" s="568" t="s">
        <v>747</v>
      </c>
      <c r="C11" s="325"/>
      <c r="D11" s="892">
        <f>682-682</f>
        <v>0</v>
      </c>
      <c r="E11" s="735">
        <f>C11+D11</f>
        <v>0</v>
      </c>
      <c r="G11" s="4"/>
    </row>
    <row r="12" spans="1:7" ht="15" customHeight="1" x14ac:dyDescent="0.25">
      <c r="A12" s="426"/>
      <c r="B12" s="478" t="s">
        <v>327</v>
      </c>
      <c r="C12" s="328">
        <f>SUM(C6:C11)</f>
        <v>144455</v>
      </c>
      <c r="D12" s="328">
        <f>SUM(D6:D11)</f>
        <v>0</v>
      </c>
      <c r="E12" s="328">
        <f>SUM(E6:E11)</f>
        <v>144455</v>
      </c>
      <c r="G12" s="4"/>
    </row>
    <row r="13" spans="1:7" s="74" customFormat="1" ht="15" customHeight="1" x14ac:dyDescent="0.25">
      <c r="A13" s="427" t="s">
        <v>351</v>
      </c>
      <c r="B13" s="479" t="s">
        <v>328</v>
      </c>
      <c r="C13" s="105"/>
      <c r="D13" s="105"/>
      <c r="E13" s="105"/>
      <c r="G13" s="4"/>
    </row>
    <row r="14" spans="1:7" ht="18" x14ac:dyDescent="0.25">
      <c r="A14" s="424"/>
      <c r="B14" s="480" t="s">
        <v>614</v>
      </c>
      <c r="C14" s="329">
        <v>50000</v>
      </c>
      <c r="D14" s="329">
        <v>468</v>
      </c>
      <c r="E14" s="329">
        <f>C14+D14</f>
        <v>50468</v>
      </c>
      <c r="G14" s="4"/>
    </row>
    <row r="15" spans="1:7" ht="15" customHeight="1" x14ac:dyDescent="0.25">
      <c r="A15" s="426"/>
      <c r="B15" s="478" t="s">
        <v>260</v>
      </c>
      <c r="C15" s="328">
        <f>SUM(C13:C14)</f>
        <v>50000</v>
      </c>
      <c r="D15" s="328">
        <f>SUM(D13:D14)</f>
        <v>468</v>
      </c>
      <c r="E15" s="328">
        <f>SUM(E13:E14)</f>
        <v>50468</v>
      </c>
      <c r="G15" s="4"/>
    </row>
    <row r="16" spans="1:7" ht="15" customHeight="1" x14ac:dyDescent="0.25">
      <c r="A16" s="424" t="s">
        <v>352</v>
      </c>
      <c r="B16" s="479" t="s">
        <v>349</v>
      </c>
      <c r="C16" s="105"/>
      <c r="D16" s="105"/>
      <c r="E16" s="105"/>
      <c r="G16" s="4"/>
    </row>
    <row r="17" spans="1:7" ht="18" x14ac:dyDescent="0.25">
      <c r="A17" s="425"/>
      <c r="B17" s="482" t="s">
        <v>170</v>
      </c>
      <c r="C17" s="326">
        <v>1357</v>
      </c>
      <c r="D17" s="327"/>
      <c r="E17" s="326">
        <f>C17+D17</f>
        <v>1357</v>
      </c>
      <c r="G17" s="4"/>
    </row>
    <row r="18" spans="1:7" ht="18" x14ac:dyDescent="0.25">
      <c r="A18" s="425"/>
      <c r="B18" s="482" t="s">
        <v>183</v>
      </c>
      <c r="C18" s="326">
        <v>40000</v>
      </c>
      <c r="D18" s="327">
        <v>47163</v>
      </c>
      <c r="E18" s="326">
        <f>C18+D18</f>
        <v>87163</v>
      </c>
      <c r="G18" s="4"/>
    </row>
    <row r="19" spans="1:7" ht="15" customHeight="1" x14ac:dyDescent="0.25">
      <c r="A19" s="426"/>
      <c r="B19" s="478" t="s">
        <v>294</v>
      </c>
      <c r="C19" s="328">
        <f>SUM(C17:C18)</f>
        <v>41357</v>
      </c>
      <c r="D19" s="328">
        <f>SUM(D17:D18)</f>
        <v>47163</v>
      </c>
      <c r="E19" s="328">
        <f>SUM(E17:E18)</f>
        <v>88520</v>
      </c>
      <c r="G19" s="4"/>
    </row>
    <row r="20" spans="1:7" ht="15" customHeight="1" x14ac:dyDescent="0.25">
      <c r="A20" s="424" t="s">
        <v>353</v>
      </c>
      <c r="B20" s="479" t="s">
        <v>354</v>
      </c>
      <c r="C20" s="105"/>
      <c r="D20" s="330"/>
      <c r="E20" s="105"/>
      <c r="G20" s="4"/>
    </row>
    <row r="21" spans="1:7" ht="18" x14ac:dyDescent="0.25">
      <c r="A21" s="425"/>
      <c r="B21" s="485" t="s">
        <v>218</v>
      </c>
      <c r="C21" s="90">
        <v>30000</v>
      </c>
      <c r="D21" s="332">
        <v>517</v>
      </c>
      <c r="E21" s="90">
        <f>C21+D21</f>
        <v>30517</v>
      </c>
      <c r="G21" s="4"/>
    </row>
    <row r="22" spans="1:7" ht="18" x14ac:dyDescent="0.25">
      <c r="A22" s="425"/>
      <c r="B22" s="484" t="s">
        <v>454</v>
      </c>
      <c r="C22" s="492"/>
      <c r="D22" s="333">
        <v>5003</v>
      </c>
      <c r="E22" s="583">
        <f>C22+D22</f>
        <v>5003</v>
      </c>
      <c r="G22" s="4"/>
    </row>
    <row r="23" spans="1:7" ht="18" x14ac:dyDescent="0.25">
      <c r="A23" s="425"/>
      <c r="B23" s="484" t="s">
        <v>179</v>
      </c>
      <c r="C23" s="333">
        <v>14499</v>
      </c>
      <c r="D23" s="333">
        <v>1865</v>
      </c>
      <c r="E23" s="333">
        <f>C23+D23</f>
        <v>16364</v>
      </c>
      <c r="G23" s="4"/>
    </row>
    <row r="24" spans="1:7" ht="18" x14ac:dyDescent="0.25">
      <c r="A24" s="425"/>
      <c r="B24" s="481" t="s">
        <v>338</v>
      </c>
      <c r="C24" s="333">
        <v>483333</v>
      </c>
      <c r="D24" s="326"/>
      <c r="E24" s="333">
        <f>C24+D24</f>
        <v>483333</v>
      </c>
      <c r="G24" s="4"/>
    </row>
    <row r="25" spans="1:7" ht="15" customHeight="1" x14ac:dyDescent="0.25">
      <c r="A25" s="426"/>
      <c r="B25" s="483" t="s">
        <v>295</v>
      </c>
      <c r="C25" s="328">
        <f>SUM(C21:C24)</f>
        <v>527832</v>
      </c>
      <c r="D25" s="328">
        <f>SUM(D21:D24)</f>
        <v>7385</v>
      </c>
      <c r="E25" s="328">
        <f>SUM(E21:E24)</f>
        <v>535217</v>
      </c>
      <c r="G25" s="4"/>
    </row>
    <row r="26" spans="1:7" ht="15" customHeight="1" x14ac:dyDescent="0.25">
      <c r="A26" s="424" t="s">
        <v>355</v>
      </c>
      <c r="B26" s="479" t="s">
        <v>296</v>
      </c>
      <c r="C26" s="105"/>
      <c r="D26" s="272"/>
      <c r="E26" s="105"/>
      <c r="G26" s="4"/>
    </row>
    <row r="27" spans="1:7" ht="18.75" x14ac:dyDescent="0.3">
      <c r="A27" s="428" t="s">
        <v>347</v>
      </c>
      <c r="B27" s="429"/>
      <c r="C27" s="826"/>
      <c r="D27" s="104"/>
      <c r="E27" s="826"/>
      <c r="G27" s="4"/>
    </row>
    <row r="28" spans="1:7" ht="18" x14ac:dyDescent="0.25">
      <c r="A28" s="425"/>
      <c r="B28" s="481" t="s">
        <v>69</v>
      </c>
      <c r="C28" s="90"/>
      <c r="D28" s="90">
        <v>1842</v>
      </c>
      <c r="E28" s="90">
        <f t="shared" ref="E28:E78" si="0">C28+D28</f>
        <v>1842</v>
      </c>
      <c r="G28" s="4"/>
    </row>
    <row r="29" spans="1:7" ht="18" x14ac:dyDescent="0.25">
      <c r="A29" s="425"/>
      <c r="B29" s="481" t="s">
        <v>184</v>
      </c>
      <c r="C29" s="90"/>
      <c r="D29" s="332">
        <v>49</v>
      </c>
      <c r="E29" s="90">
        <f t="shared" si="0"/>
        <v>49</v>
      </c>
      <c r="G29" s="4"/>
    </row>
    <row r="30" spans="1:7" ht="18" x14ac:dyDescent="0.25">
      <c r="A30" s="425"/>
      <c r="B30" s="484" t="s">
        <v>85</v>
      </c>
      <c r="C30" s="90"/>
      <c r="D30" s="333">
        <v>3920</v>
      </c>
      <c r="E30" s="90">
        <f t="shared" si="0"/>
        <v>3920</v>
      </c>
      <c r="G30" s="4"/>
    </row>
    <row r="31" spans="1:7" ht="18" x14ac:dyDescent="0.25">
      <c r="A31" s="425"/>
      <c r="B31" s="482" t="s">
        <v>640</v>
      </c>
      <c r="C31" s="90"/>
      <c r="D31" s="333">
        <v>120313</v>
      </c>
      <c r="E31" s="90">
        <f>C31+D31</f>
        <v>120313</v>
      </c>
      <c r="G31" s="4"/>
    </row>
    <row r="32" spans="1:7" ht="18" x14ac:dyDescent="0.25">
      <c r="A32" s="425"/>
      <c r="B32" s="482" t="s">
        <v>154</v>
      </c>
      <c r="C32" s="90"/>
      <c r="D32" s="333">
        <v>21500</v>
      </c>
      <c r="E32" s="90">
        <f t="shared" si="0"/>
        <v>21500</v>
      </c>
      <c r="G32" s="4"/>
    </row>
    <row r="33" spans="1:7" s="74" customFormat="1" ht="18.75" x14ac:dyDescent="0.3">
      <c r="A33" s="428" t="s">
        <v>346</v>
      </c>
      <c r="B33" s="429"/>
      <c r="C33" s="709"/>
      <c r="D33" s="709"/>
      <c r="E33" s="709"/>
      <c r="G33" s="4"/>
    </row>
    <row r="34" spans="1:7" ht="18" x14ac:dyDescent="0.25">
      <c r="A34" s="425"/>
      <c r="B34" s="485" t="s">
        <v>321</v>
      </c>
      <c r="C34" s="90">
        <v>500000</v>
      </c>
      <c r="D34" s="90">
        <f>231382+7000</f>
        <v>238382</v>
      </c>
      <c r="E34" s="90">
        <f t="shared" si="0"/>
        <v>738382</v>
      </c>
      <c r="G34" s="4"/>
    </row>
    <row r="35" spans="1:7" ht="18" x14ac:dyDescent="0.25">
      <c r="A35" s="425"/>
      <c r="B35" s="485" t="s">
        <v>597</v>
      </c>
      <c r="C35" s="90">
        <v>7000</v>
      </c>
      <c r="D35" s="90">
        <v>-7000</v>
      </c>
      <c r="E35" s="90">
        <f t="shared" si="0"/>
        <v>0</v>
      </c>
      <c r="G35" s="4"/>
    </row>
    <row r="36" spans="1:7" ht="18" x14ac:dyDescent="0.25">
      <c r="A36" s="425"/>
      <c r="B36" s="485" t="s">
        <v>596</v>
      </c>
      <c r="C36" s="90">
        <v>60000</v>
      </c>
      <c r="D36" s="90"/>
      <c r="E36" s="90">
        <f t="shared" si="0"/>
        <v>60000</v>
      </c>
      <c r="G36" s="4"/>
    </row>
    <row r="37" spans="1:7" ht="18" x14ac:dyDescent="0.25">
      <c r="A37" s="425"/>
      <c r="B37" s="485" t="s">
        <v>575</v>
      </c>
      <c r="C37" s="90"/>
      <c r="D37" s="332">
        <v>25630</v>
      </c>
      <c r="E37" s="90">
        <f t="shared" si="0"/>
        <v>25630</v>
      </c>
      <c r="G37" s="4"/>
    </row>
    <row r="38" spans="1:7" ht="18" x14ac:dyDescent="0.25">
      <c r="A38" s="425"/>
      <c r="B38" s="485" t="s">
        <v>552</v>
      </c>
      <c r="C38" s="90"/>
      <c r="D38" s="332">
        <v>4000</v>
      </c>
      <c r="E38" s="90">
        <f t="shared" si="0"/>
        <v>4000</v>
      </c>
      <c r="G38" s="4"/>
    </row>
    <row r="39" spans="1:7" ht="18" x14ac:dyDescent="0.25">
      <c r="A39" s="425"/>
      <c r="B39" s="485" t="s">
        <v>553</v>
      </c>
      <c r="C39" s="90"/>
      <c r="D39" s="332">
        <v>13574</v>
      </c>
      <c r="E39" s="90">
        <f t="shared" si="0"/>
        <v>13574</v>
      </c>
      <c r="G39" s="4"/>
    </row>
    <row r="40" spans="1:7" ht="18" x14ac:dyDescent="0.25">
      <c r="A40" s="425"/>
      <c r="B40" s="485" t="s">
        <v>442</v>
      </c>
      <c r="C40" s="90"/>
      <c r="D40" s="332">
        <v>60000</v>
      </c>
      <c r="E40" s="90">
        <f t="shared" si="0"/>
        <v>60000</v>
      </c>
      <c r="G40" s="4"/>
    </row>
    <row r="41" spans="1:7" ht="18" x14ac:dyDescent="0.25">
      <c r="A41" s="425"/>
      <c r="B41" s="485" t="s">
        <v>452</v>
      </c>
      <c r="C41" s="90"/>
      <c r="D41" s="332">
        <v>3839</v>
      </c>
      <c r="E41" s="90">
        <f t="shared" si="0"/>
        <v>3839</v>
      </c>
      <c r="G41" s="4"/>
    </row>
    <row r="42" spans="1:7" ht="18" x14ac:dyDescent="0.25">
      <c r="A42" s="425"/>
      <c r="B42" s="484" t="s">
        <v>105</v>
      </c>
      <c r="C42" s="90"/>
      <c r="D42" s="333">
        <v>749</v>
      </c>
      <c r="E42" s="90">
        <f t="shared" si="0"/>
        <v>749</v>
      </c>
      <c r="G42" s="4"/>
    </row>
    <row r="43" spans="1:7" ht="18" x14ac:dyDescent="0.25">
      <c r="A43" s="425"/>
      <c r="B43" s="486" t="s">
        <v>589</v>
      </c>
      <c r="C43" s="90">
        <v>30000</v>
      </c>
      <c r="D43" s="333"/>
      <c r="E43" s="90">
        <f t="shared" si="0"/>
        <v>30000</v>
      </c>
      <c r="G43" s="4"/>
    </row>
    <row r="44" spans="1:7" ht="18" x14ac:dyDescent="0.25">
      <c r="A44" s="425"/>
      <c r="B44" s="486" t="s">
        <v>590</v>
      </c>
      <c r="C44" s="90">
        <v>7000</v>
      </c>
      <c r="D44" s="333"/>
      <c r="E44" s="90">
        <f t="shared" si="0"/>
        <v>7000</v>
      </c>
      <c r="G44" s="4"/>
    </row>
    <row r="45" spans="1:7" s="74" customFormat="1" ht="18.75" x14ac:dyDescent="0.3">
      <c r="A45" s="428" t="s">
        <v>348</v>
      </c>
      <c r="B45" s="486"/>
      <c r="C45" s="709"/>
      <c r="D45" s="709"/>
      <c r="E45" s="709"/>
      <c r="G45" s="4"/>
    </row>
    <row r="46" spans="1:7" s="74" customFormat="1" ht="18" x14ac:dyDescent="0.25">
      <c r="A46" s="425"/>
      <c r="B46" s="430" t="s">
        <v>235</v>
      </c>
      <c r="C46" s="653">
        <v>105000</v>
      </c>
      <c r="D46" s="653">
        <f>96614-3000-500-782</f>
        <v>92332</v>
      </c>
      <c r="E46" s="653">
        <f t="shared" si="0"/>
        <v>197332</v>
      </c>
      <c r="G46" s="4"/>
    </row>
    <row r="47" spans="1:7" ht="18" x14ac:dyDescent="0.25">
      <c r="A47" s="425"/>
      <c r="B47" s="485" t="s">
        <v>450</v>
      </c>
      <c r="C47" s="90"/>
      <c r="D47" s="90"/>
      <c r="E47" s="90"/>
      <c r="G47" s="4"/>
    </row>
    <row r="48" spans="1:7" ht="18" x14ac:dyDescent="0.25">
      <c r="A48" s="425"/>
      <c r="B48" s="485" t="s">
        <v>620</v>
      </c>
      <c r="C48" s="90"/>
      <c r="D48" s="332"/>
      <c r="E48" s="90"/>
      <c r="G48" s="4"/>
    </row>
    <row r="49" spans="1:7" ht="18" x14ac:dyDescent="0.25">
      <c r="A49" s="425"/>
      <c r="B49" s="485" t="s">
        <v>451</v>
      </c>
      <c r="C49" s="90"/>
      <c r="D49" s="332"/>
      <c r="E49" s="90"/>
      <c r="G49" s="4"/>
    </row>
    <row r="50" spans="1:7" ht="18" x14ac:dyDescent="0.25">
      <c r="A50" s="425"/>
      <c r="B50" s="588" t="s">
        <v>443</v>
      </c>
      <c r="C50" s="90"/>
      <c r="D50" s="332">
        <v>15323</v>
      </c>
      <c r="E50" s="90">
        <f t="shared" si="0"/>
        <v>15323</v>
      </c>
      <c r="G50" s="4"/>
    </row>
    <row r="51" spans="1:7" ht="18" x14ac:dyDescent="0.25">
      <c r="A51" s="425"/>
      <c r="B51" s="710" t="s">
        <v>425</v>
      </c>
      <c r="C51" s="90"/>
      <c r="D51" s="332">
        <v>10286</v>
      </c>
      <c r="E51" s="90">
        <f t="shared" si="0"/>
        <v>10286</v>
      </c>
      <c r="G51" s="4"/>
    </row>
    <row r="52" spans="1:7" ht="18" x14ac:dyDescent="0.25">
      <c r="A52" s="425"/>
      <c r="B52" s="711" t="s">
        <v>525</v>
      </c>
      <c r="C52" s="90"/>
      <c r="D52" s="332">
        <v>5378</v>
      </c>
      <c r="E52" s="90">
        <f t="shared" si="0"/>
        <v>5378</v>
      </c>
      <c r="G52" s="4"/>
    </row>
    <row r="53" spans="1:7" ht="18" x14ac:dyDescent="0.25">
      <c r="A53" s="425"/>
      <c r="B53" s="711" t="s">
        <v>554</v>
      </c>
      <c r="C53" s="90"/>
      <c r="D53" s="332">
        <v>3700</v>
      </c>
      <c r="E53" s="90">
        <f t="shared" si="0"/>
        <v>3700</v>
      </c>
      <c r="G53" s="4"/>
    </row>
    <row r="54" spans="1:7" ht="18" x14ac:dyDescent="0.25">
      <c r="A54" s="425"/>
      <c r="B54" s="711" t="s">
        <v>651</v>
      </c>
      <c r="C54" s="90">
        <v>50800</v>
      </c>
      <c r="D54" s="332">
        <v>-50800</v>
      </c>
      <c r="E54" s="90">
        <f t="shared" si="0"/>
        <v>0</v>
      </c>
      <c r="G54" s="4"/>
    </row>
    <row r="55" spans="1:7" ht="18" x14ac:dyDescent="0.25">
      <c r="A55" s="425"/>
      <c r="B55" s="711" t="s">
        <v>591</v>
      </c>
      <c r="C55" s="90">
        <v>80640</v>
      </c>
      <c r="D55" s="332">
        <v>-80640</v>
      </c>
      <c r="E55" s="90">
        <f t="shared" si="0"/>
        <v>0</v>
      </c>
      <c r="G55" s="4"/>
    </row>
    <row r="56" spans="1:7" ht="18" x14ac:dyDescent="0.25">
      <c r="A56" s="425"/>
      <c r="B56" s="711" t="s">
        <v>611</v>
      </c>
      <c r="C56" s="90">
        <v>2500</v>
      </c>
      <c r="D56" s="332">
        <v>700</v>
      </c>
      <c r="E56" s="90">
        <f t="shared" si="0"/>
        <v>3200</v>
      </c>
      <c r="G56" s="4"/>
    </row>
    <row r="57" spans="1:7" ht="18" x14ac:dyDescent="0.25">
      <c r="A57" s="425"/>
      <c r="B57" s="711" t="s">
        <v>743</v>
      </c>
      <c r="C57" s="90"/>
      <c r="D57" s="332">
        <v>15000</v>
      </c>
      <c r="E57" s="90">
        <f t="shared" si="0"/>
        <v>15000</v>
      </c>
      <c r="G57" s="4"/>
    </row>
    <row r="58" spans="1:7" ht="18" x14ac:dyDescent="0.25">
      <c r="A58" s="425"/>
      <c r="B58" s="711" t="s">
        <v>747</v>
      </c>
      <c r="C58" s="90"/>
      <c r="D58" s="332">
        <f>1027+682</f>
        <v>1709</v>
      </c>
      <c r="E58" s="90">
        <f t="shared" si="0"/>
        <v>1709</v>
      </c>
      <c r="G58" s="4"/>
    </row>
    <row r="59" spans="1:7" s="74" customFormat="1" ht="18.75" x14ac:dyDescent="0.3">
      <c r="A59" s="428" t="s">
        <v>29</v>
      </c>
      <c r="B59" s="430"/>
      <c r="C59" s="709"/>
      <c r="D59" s="709"/>
      <c r="E59" s="709"/>
      <c r="G59" s="4"/>
    </row>
    <row r="60" spans="1:7" ht="15" customHeight="1" x14ac:dyDescent="0.25">
      <c r="A60" s="425"/>
      <c r="B60" s="481" t="s">
        <v>300</v>
      </c>
      <c r="C60" s="90"/>
      <c r="D60" s="90">
        <v>7650</v>
      </c>
      <c r="E60" s="90">
        <f t="shared" si="0"/>
        <v>7650</v>
      </c>
      <c r="G60" s="4"/>
    </row>
    <row r="61" spans="1:7" ht="15" customHeight="1" x14ac:dyDescent="0.25">
      <c r="A61" s="425"/>
      <c r="B61" s="481" t="s">
        <v>180</v>
      </c>
      <c r="C61" s="90"/>
      <c r="D61" s="90">
        <v>1073</v>
      </c>
      <c r="E61" s="90">
        <f t="shared" si="0"/>
        <v>1073</v>
      </c>
      <c r="G61" s="4"/>
    </row>
    <row r="62" spans="1:7" ht="18.75" x14ac:dyDescent="0.3">
      <c r="A62" s="1255" t="s">
        <v>17</v>
      </c>
      <c r="B62" s="1256"/>
      <c r="C62" s="709"/>
      <c r="D62" s="709"/>
      <c r="E62" s="709"/>
      <c r="G62" s="4"/>
    </row>
    <row r="63" spans="1:7" ht="18.75" x14ac:dyDescent="0.3">
      <c r="A63" s="538"/>
      <c r="B63" s="714" t="s">
        <v>440</v>
      </c>
      <c r="C63" s="90"/>
      <c r="D63" s="90">
        <v>35057</v>
      </c>
      <c r="E63" s="90">
        <f t="shared" si="0"/>
        <v>35057</v>
      </c>
      <c r="G63" s="4"/>
    </row>
    <row r="64" spans="1:7" ht="18.75" x14ac:dyDescent="0.3">
      <c r="A64" s="538"/>
      <c r="B64" s="487" t="s">
        <v>613</v>
      </c>
      <c r="C64" s="90">
        <v>4500</v>
      </c>
      <c r="D64" s="326"/>
      <c r="E64" s="90">
        <f t="shared" si="0"/>
        <v>4500</v>
      </c>
      <c r="G64" s="4"/>
    </row>
    <row r="65" spans="1:7" ht="18.75" x14ac:dyDescent="0.3">
      <c r="A65" s="538"/>
      <c r="B65" s="487" t="s">
        <v>612</v>
      </c>
      <c r="C65" s="90">
        <v>4500</v>
      </c>
      <c r="D65" s="326"/>
      <c r="E65" s="90">
        <f t="shared" si="0"/>
        <v>4500</v>
      </c>
      <c r="G65" s="4"/>
    </row>
    <row r="66" spans="1:7" ht="18.75" x14ac:dyDescent="0.3">
      <c r="A66" s="538"/>
      <c r="B66" s="487" t="s">
        <v>441</v>
      </c>
      <c r="C66" s="90"/>
      <c r="D66" s="326">
        <v>2825</v>
      </c>
      <c r="E66" s="90">
        <f t="shared" si="0"/>
        <v>2825</v>
      </c>
      <c r="G66" s="4"/>
    </row>
    <row r="67" spans="1:7" ht="18.75" x14ac:dyDescent="0.3">
      <c r="A67" s="538"/>
      <c r="B67" s="547" t="s">
        <v>523</v>
      </c>
      <c r="C67" s="90"/>
      <c r="D67" s="893">
        <f>1649-1649</f>
        <v>0</v>
      </c>
      <c r="E67" s="90">
        <f t="shared" si="0"/>
        <v>0</v>
      </c>
      <c r="G67" s="4"/>
    </row>
    <row r="68" spans="1:7" ht="18" x14ac:dyDescent="0.25">
      <c r="A68" s="425"/>
      <c r="B68" s="477" t="s">
        <v>592</v>
      </c>
      <c r="C68" s="90">
        <v>35000</v>
      </c>
      <c r="D68" s="90">
        <v>379</v>
      </c>
      <c r="E68" s="90">
        <f t="shared" si="0"/>
        <v>35379</v>
      </c>
      <c r="G68" s="4"/>
    </row>
    <row r="69" spans="1:7" s="74" customFormat="1" ht="18.75" x14ac:dyDescent="0.3">
      <c r="A69" s="428" t="s">
        <v>33</v>
      </c>
      <c r="B69" s="430"/>
      <c r="C69" s="709"/>
      <c r="D69" s="709"/>
      <c r="E69" s="709"/>
      <c r="G69" s="4"/>
    </row>
    <row r="70" spans="1:7" ht="18" x14ac:dyDescent="0.25">
      <c r="A70" s="425"/>
      <c r="B70" s="433" t="s">
        <v>524</v>
      </c>
      <c r="C70" s="90">
        <v>2243347</v>
      </c>
      <c r="D70" s="90"/>
      <c r="E70" s="90">
        <f t="shared" si="0"/>
        <v>2243347</v>
      </c>
      <c r="G70" s="4"/>
    </row>
    <row r="71" spans="1:7" ht="18" x14ac:dyDescent="0.25">
      <c r="A71" s="425"/>
      <c r="B71" s="477" t="s">
        <v>528</v>
      </c>
      <c r="C71" s="90"/>
      <c r="D71" s="90">
        <v>4838</v>
      </c>
      <c r="E71" s="90">
        <f t="shared" si="0"/>
        <v>4838</v>
      </c>
      <c r="G71" s="4"/>
    </row>
    <row r="72" spans="1:7" ht="18" x14ac:dyDescent="0.25">
      <c r="A72" s="425"/>
      <c r="B72" s="477" t="s">
        <v>18</v>
      </c>
      <c r="C72" s="90"/>
      <c r="D72" s="90">
        <v>6884</v>
      </c>
      <c r="E72" s="90">
        <f t="shared" si="0"/>
        <v>6884</v>
      </c>
      <c r="G72" s="4"/>
    </row>
    <row r="73" spans="1:7" s="74" customFormat="1" ht="15.75" customHeight="1" x14ac:dyDescent="0.25">
      <c r="A73" s="431"/>
      <c r="B73" s="482" t="s">
        <v>74</v>
      </c>
      <c r="C73" s="90"/>
      <c r="D73" s="327">
        <f>48913+127</f>
        <v>49040</v>
      </c>
      <c r="E73" s="90">
        <f t="shared" si="0"/>
        <v>49040</v>
      </c>
      <c r="G73" s="4"/>
    </row>
    <row r="74" spans="1:7" s="74" customFormat="1" ht="15.75" customHeight="1" x14ac:dyDescent="0.25">
      <c r="A74" s="431"/>
      <c r="B74" s="482" t="s">
        <v>68</v>
      </c>
      <c r="C74" s="90"/>
      <c r="D74" s="327">
        <v>6332</v>
      </c>
      <c r="E74" s="90">
        <f t="shared" si="0"/>
        <v>6332</v>
      </c>
      <c r="G74" s="4"/>
    </row>
    <row r="75" spans="1:7" s="74" customFormat="1" ht="15.75" customHeight="1" x14ac:dyDescent="0.25">
      <c r="A75" s="431"/>
      <c r="B75" s="482" t="s">
        <v>535</v>
      </c>
      <c r="C75" s="90"/>
      <c r="D75" s="327">
        <v>10786</v>
      </c>
      <c r="E75" s="90">
        <f t="shared" si="0"/>
        <v>10786</v>
      </c>
      <c r="G75" s="4"/>
    </row>
    <row r="76" spans="1:7" s="74" customFormat="1" ht="15.75" customHeight="1" x14ac:dyDescent="0.25">
      <c r="A76" s="431"/>
      <c r="B76" s="482" t="s">
        <v>421</v>
      </c>
      <c r="C76" s="90"/>
      <c r="D76" s="327">
        <v>1905</v>
      </c>
      <c r="E76" s="90">
        <f t="shared" si="0"/>
        <v>1905</v>
      </c>
      <c r="G76" s="4"/>
    </row>
    <row r="77" spans="1:7" s="74" customFormat="1" ht="15.75" customHeight="1" x14ac:dyDescent="0.25">
      <c r="A77" s="431"/>
      <c r="B77" s="482" t="s">
        <v>555</v>
      </c>
      <c r="C77" s="90"/>
      <c r="D77" s="327">
        <v>27000</v>
      </c>
      <c r="E77" s="90">
        <f t="shared" si="0"/>
        <v>27000</v>
      </c>
      <c r="G77" s="4"/>
    </row>
    <row r="78" spans="1:7" s="74" customFormat="1" ht="15.75" customHeight="1" x14ac:dyDescent="0.25">
      <c r="A78" s="431"/>
      <c r="B78" s="487" t="s">
        <v>625</v>
      </c>
      <c r="C78" s="90">
        <v>500000</v>
      </c>
      <c r="D78" s="327"/>
      <c r="E78" s="90">
        <f t="shared" si="0"/>
        <v>500000</v>
      </c>
      <c r="G78" s="4"/>
    </row>
    <row r="79" spans="1:7" s="74" customFormat="1" ht="15.75" customHeight="1" x14ac:dyDescent="0.25">
      <c r="A79" s="431"/>
      <c r="B79" s="487" t="s">
        <v>626</v>
      </c>
      <c r="C79" s="90">
        <v>188976</v>
      </c>
      <c r="D79" s="327"/>
      <c r="E79" s="90">
        <f t="shared" ref="E79:E113" si="1">C79+D79</f>
        <v>188976</v>
      </c>
      <c r="G79" s="4"/>
    </row>
    <row r="80" spans="1:7" s="74" customFormat="1" ht="15.75" customHeight="1" x14ac:dyDescent="0.25">
      <c r="A80" s="431"/>
      <c r="B80" s="482" t="s">
        <v>576</v>
      </c>
      <c r="C80" s="90">
        <v>131000</v>
      </c>
      <c r="D80" s="327"/>
      <c r="E80" s="90">
        <f t="shared" si="1"/>
        <v>131000</v>
      </c>
      <c r="G80" s="4"/>
    </row>
    <row r="81" spans="1:13" s="74" customFormat="1" ht="15.75" customHeight="1" x14ac:dyDescent="0.25">
      <c r="A81" s="431"/>
      <c r="B81" s="482" t="s">
        <v>577</v>
      </c>
      <c r="C81" s="90">
        <v>28000</v>
      </c>
      <c r="D81" s="327"/>
      <c r="E81" s="90">
        <f t="shared" si="1"/>
        <v>28000</v>
      </c>
      <c r="G81" s="4"/>
    </row>
    <row r="82" spans="1:13" s="74" customFormat="1" ht="15.75" customHeight="1" x14ac:dyDescent="0.25">
      <c r="A82" s="431"/>
      <c r="B82" s="482" t="s">
        <v>578</v>
      </c>
      <c r="C82" s="90">
        <v>649479</v>
      </c>
      <c r="D82" s="327"/>
      <c r="E82" s="90">
        <f t="shared" si="1"/>
        <v>649479</v>
      </c>
      <c r="G82" s="4"/>
    </row>
    <row r="83" spans="1:13" s="74" customFormat="1" ht="15.75" customHeight="1" x14ac:dyDescent="0.25">
      <c r="A83" s="431"/>
      <c r="B83" s="482" t="s">
        <v>579</v>
      </c>
      <c r="C83" s="90">
        <v>144780</v>
      </c>
      <c r="D83" s="327"/>
      <c r="E83" s="90">
        <f t="shared" si="1"/>
        <v>144780</v>
      </c>
      <c r="G83" s="4"/>
    </row>
    <row r="84" spans="1:13" s="74" customFormat="1" ht="15.75" customHeight="1" x14ac:dyDescent="0.25">
      <c r="A84" s="431"/>
      <c r="B84" s="482" t="s">
        <v>580</v>
      </c>
      <c r="C84" s="90">
        <v>141802</v>
      </c>
      <c r="D84" s="327"/>
      <c r="E84" s="90">
        <f t="shared" si="1"/>
        <v>141802</v>
      </c>
      <c r="G84" s="4"/>
    </row>
    <row r="85" spans="1:13" s="74" customFormat="1" ht="15.75" customHeight="1" x14ac:dyDescent="0.25">
      <c r="A85" s="431"/>
      <c r="B85" s="482" t="s">
        <v>581</v>
      </c>
      <c r="C85" s="90">
        <v>562957</v>
      </c>
      <c r="D85" s="327">
        <v>29997</v>
      </c>
      <c r="E85" s="90">
        <f t="shared" si="1"/>
        <v>592954</v>
      </c>
      <c r="G85" s="4"/>
    </row>
    <row r="86" spans="1:13" s="74" customFormat="1" ht="15.75" customHeight="1" x14ac:dyDescent="0.25">
      <c r="A86" s="431"/>
      <c r="B86" s="482" t="s">
        <v>582</v>
      </c>
      <c r="C86" s="90">
        <v>124004</v>
      </c>
      <c r="D86" s="327"/>
      <c r="E86" s="90">
        <f t="shared" si="1"/>
        <v>124004</v>
      </c>
      <c r="G86" s="4"/>
    </row>
    <row r="87" spans="1:13" s="74" customFormat="1" ht="15.75" customHeight="1" x14ac:dyDescent="0.25">
      <c r="A87" s="431"/>
      <c r="B87" s="711" t="s">
        <v>651</v>
      </c>
      <c r="C87" s="90"/>
      <c r="D87" s="327">
        <v>50800</v>
      </c>
      <c r="E87" s="90">
        <f t="shared" si="1"/>
        <v>50800</v>
      </c>
      <c r="G87" s="4"/>
    </row>
    <row r="88" spans="1:13" s="74" customFormat="1" ht="15.75" customHeight="1" x14ac:dyDescent="0.25">
      <c r="A88" s="431"/>
      <c r="B88" s="482" t="s">
        <v>583</v>
      </c>
      <c r="C88" s="90">
        <v>724668</v>
      </c>
      <c r="D88" s="327"/>
      <c r="E88" s="90">
        <f t="shared" si="1"/>
        <v>724668</v>
      </c>
      <c r="G88" s="4"/>
    </row>
    <row r="89" spans="1:13" s="74" customFormat="1" ht="15.75" customHeight="1" x14ac:dyDescent="0.25">
      <c r="A89" s="431"/>
      <c r="B89" s="482" t="s">
        <v>584</v>
      </c>
      <c r="C89" s="90">
        <v>167457</v>
      </c>
      <c r="D89" s="327"/>
      <c r="E89" s="90">
        <f t="shared" si="1"/>
        <v>167457</v>
      </c>
      <c r="G89" s="4"/>
    </row>
    <row r="90" spans="1:13" ht="18" x14ac:dyDescent="0.25">
      <c r="A90" s="425"/>
      <c r="B90" s="482" t="s">
        <v>585</v>
      </c>
      <c r="C90" s="90">
        <v>989625</v>
      </c>
      <c r="D90" s="327"/>
      <c r="E90" s="90">
        <f t="shared" si="1"/>
        <v>989625</v>
      </c>
      <c r="G90" s="4"/>
    </row>
    <row r="91" spans="1:13" ht="18" x14ac:dyDescent="0.25">
      <c r="A91" s="425"/>
      <c r="B91" s="487" t="s">
        <v>627</v>
      </c>
      <c r="C91" s="90">
        <v>248741</v>
      </c>
      <c r="D91" s="327">
        <f>-1006+5858</f>
        <v>4852</v>
      </c>
      <c r="E91" s="90">
        <f t="shared" si="1"/>
        <v>253593</v>
      </c>
      <c r="G91" s="4"/>
    </row>
    <row r="92" spans="1:13" ht="18" x14ac:dyDescent="0.25">
      <c r="A92" s="425"/>
      <c r="B92" s="482" t="s">
        <v>659</v>
      </c>
      <c r="C92" s="90">
        <v>5858</v>
      </c>
      <c r="D92" s="327">
        <v>-5858</v>
      </c>
      <c r="E92" s="90">
        <f t="shared" si="1"/>
        <v>0</v>
      </c>
      <c r="G92" s="4"/>
    </row>
    <row r="93" spans="1:13" ht="18" x14ac:dyDescent="0.25">
      <c r="A93" s="425"/>
      <c r="B93" s="487" t="s">
        <v>628</v>
      </c>
      <c r="C93" s="90">
        <v>69604</v>
      </c>
      <c r="D93" s="327">
        <v>-325</v>
      </c>
      <c r="E93" s="90">
        <f t="shared" si="1"/>
        <v>69279</v>
      </c>
      <c r="G93" s="4"/>
    </row>
    <row r="94" spans="1:13" ht="18" x14ac:dyDescent="0.25">
      <c r="A94" s="425"/>
      <c r="B94" s="487" t="s">
        <v>629</v>
      </c>
      <c r="C94" s="90">
        <v>768937</v>
      </c>
      <c r="D94" s="327">
        <v>-23812</v>
      </c>
      <c r="E94" s="90">
        <f t="shared" si="1"/>
        <v>745125</v>
      </c>
      <c r="G94" s="4"/>
    </row>
    <row r="95" spans="1:13" ht="18" x14ac:dyDescent="0.25">
      <c r="A95" s="425"/>
      <c r="B95" s="487" t="s">
        <v>641</v>
      </c>
      <c r="C95" s="90">
        <v>183158</v>
      </c>
      <c r="D95" s="327"/>
      <c r="E95" s="90">
        <f t="shared" si="1"/>
        <v>183158</v>
      </c>
      <c r="G95" s="4"/>
    </row>
    <row r="96" spans="1:13" ht="36" x14ac:dyDescent="0.25">
      <c r="A96" s="425"/>
      <c r="B96" s="487" t="s">
        <v>658</v>
      </c>
      <c r="C96" s="90">
        <v>56600</v>
      </c>
      <c r="D96" s="327">
        <f>30+15290</f>
        <v>15320</v>
      </c>
      <c r="E96" s="90">
        <f t="shared" si="1"/>
        <v>71920</v>
      </c>
      <c r="G96" s="4"/>
      <c r="I96" s="715"/>
      <c r="K96" s="715"/>
      <c r="M96" s="715"/>
    </row>
    <row r="97" spans="1:7" ht="36" x14ac:dyDescent="0.25">
      <c r="A97" s="425"/>
      <c r="B97" s="487" t="s">
        <v>689</v>
      </c>
      <c r="C97" s="90"/>
      <c r="D97" s="327">
        <v>9375</v>
      </c>
      <c r="E97" s="90">
        <f>C97+D97</f>
        <v>9375</v>
      </c>
      <c r="G97" s="4"/>
    </row>
    <row r="98" spans="1:7" ht="18" x14ac:dyDescent="0.25">
      <c r="A98" s="425"/>
      <c r="B98" s="487" t="s">
        <v>630</v>
      </c>
      <c r="C98" s="90">
        <v>919535</v>
      </c>
      <c r="D98" s="327"/>
      <c r="E98" s="90">
        <f t="shared" si="1"/>
        <v>919535</v>
      </c>
      <c r="G98" s="4"/>
    </row>
    <row r="99" spans="1:7" ht="18" x14ac:dyDescent="0.25">
      <c r="A99" s="425"/>
      <c r="B99" s="487" t="s">
        <v>642</v>
      </c>
      <c r="C99" s="90">
        <v>206590</v>
      </c>
      <c r="D99" s="327"/>
      <c r="E99" s="90">
        <f t="shared" si="1"/>
        <v>206590</v>
      </c>
      <c r="G99" s="4"/>
    </row>
    <row r="100" spans="1:7" ht="18" x14ac:dyDescent="0.25">
      <c r="A100" s="425"/>
      <c r="B100" s="487" t="s">
        <v>631</v>
      </c>
      <c r="C100" s="90">
        <v>630510</v>
      </c>
      <c r="D100" s="327"/>
      <c r="E100" s="90">
        <f t="shared" si="1"/>
        <v>630510</v>
      </c>
      <c r="G100" s="4"/>
    </row>
    <row r="101" spans="1:7" ht="18" x14ac:dyDescent="0.25">
      <c r="A101" s="425"/>
      <c r="B101" s="482" t="s">
        <v>595</v>
      </c>
      <c r="C101" s="90">
        <v>16368</v>
      </c>
      <c r="D101" s="325"/>
      <c r="E101" s="90">
        <f t="shared" si="1"/>
        <v>16368</v>
      </c>
      <c r="G101" s="4"/>
    </row>
    <row r="102" spans="1:7" ht="18" x14ac:dyDescent="0.25">
      <c r="A102" s="425"/>
      <c r="B102" s="487" t="s">
        <v>632</v>
      </c>
      <c r="C102" s="90">
        <v>296128</v>
      </c>
      <c r="D102" s="327"/>
      <c r="E102" s="90">
        <f t="shared" si="1"/>
        <v>296128</v>
      </c>
      <c r="G102" s="4"/>
    </row>
    <row r="103" spans="1:7" ht="18" x14ac:dyDescent="0.25">
      <c r="A103" s="425"/>
      <c r="B103" s="487" t="s">
        <v>633</v>
      </c>
      <c r="C103" s="90">
        <v>182993</v>
      </c>
      <c r="D103" s="327"/>
      <c r="E103" s="90">
        <f t="shared" si="1"/>
        <v>182993</v>
      </c>
      <c r="G103" s="4"/>
    </row>
    <row r="104" spans="1:7" ht="18" x14ac:dyDescent="0.25">
      <c r="A104" s="425"/>
      <c r="B104" s="487" t="s">
        <v>634</v>
      </c>
      <c r="C104" s="90">
        <v>294312</v>
      </c>
      <c r="D104" s="327"/>
      <c r="E104" s="90">
        <f t="shared" si="1"/>
        <v>294312</v>
      </c>
      <c r="G104" s="4"/>
    </row>
    <row r="105" spans="1:7" ht="18" x14ac:dyDescent="0.25">
      <c r="A105" s="425"/>
      <c r="B105" s="487" t="s">
        <v>635</v>
      </c>
      <c r="C105" s="90">
        <v>444600</v>
      </c>
      <c r="D105" s="327">
        <v>18999</v>
      </c>
      <c r="E105" s="90">
        <f t="shared" si="1"/>
        <v>463599</v>
      </c>
      <c r="G105" s="4"/>
    </row>
    <row r="106" spans="1:7" ht="18" x14ac:dyDescent="0.25">
      <c r="A106" s="425"/>
      <c r="B106" s="482" t="s">
        <v>593</v>
      </c>
      <c r="C106" s="90">
        <v>18999</v>
      </c>
      <c r="D106" s="327">
        <v>-18999</v>
      </c>
      <c r="E106" s="90">
        <f t="shared" si="1"/>
        <v>0</v>
      </c>
      <c r="G106" s="4"/>
    </row>
    <row r="107" spans="1:7" ht="18" x14ac:dyDescent="0.25">
      <c r="A107" s="425"/>
      <c r="B107" s="482" t="s">
        <v>594</v>
      </c>
      <c r="C107" s="90">
        <v>58081</v>
      </c>
      <c r="D107" s="327"/>
      <c r="E107" s="90">
        <f t="shared" si="1"/>
        <v>58081</v>
      </c>
      <c r="G107" s="4"/>
    </row>
    <row r="108" spans="1:7" ht="18" x14ac:dyDescent="0.25">
      <c r="A108" s="425"/>
      <c r="B108" s="487" t="s">
        <v>636</v>
      </c>
      <c r="C108" s="90">
        <v>376215</v>
      </c>
      <c r="D108" s="327">
        <v>-2225</v>
      </c>
      <c r="E108" s="90">
        <f t="shared" si="1"/>
        <v>373990</v>
      </c>
      <c r="G108" s="4"/>
    </row>
    <row r="109" spans="1:7" ht="18" x14ac:dyDescent="0.25">
      <c r="A109" s="425"/>
      <c r="B109" s="487" t="s">
        <v>637</v>
      </c>
      <c r="C109" s="90">
        <v>294058</v>
      </c>
      <c r="D109" s="327"/>
      <c r="E109" s="90">
        <f t="shared" si="1"/>
        <v>294058</v>
      </c>
      <c r="G109" s="4"/>
    </row>
    <row r="110" spans="1:7" ht="18" x14ac:dyDescent="0.25">
      <c r="A110" s="425"/>
      <c r="B110" s="487" t="s">
        <v>638</v>
      </c>
      <c r="C110" s="90">
        <v>554178</v>
      </c>
      <c r="D110" s="327">
        <v>-2118</v>
      </c>
      <c r="E110" s="90">
        <f t="shared" si="1"/>
        <v>552060</v>
      </c>
      <c r="G110" s="4"/>
    </row>
    <row r="111" spans="1:7" ht="18" x14ac:dyDescent="0.25">
      <c r="A111" s="425"/>
      <c r="B111" s="487" t="s">
        <v>660</v>
      </c>
      <c r="C111" s="90">
        <v>17000</v>
      </c>
      <c r="D111" s="327"/>
      <c r="E111" s="90">
        <f t="shared" si="1"/>
        <v>17000</v>
      </c>
      <c r="G111" s="4"/>
    </row>
    <row r="112" spans="1:7" ht="18" x14ac:dyDescent="0.25">
      <c r="A112" s="425"/>
      <c r="B112" s="487" t="s">
        <v>639</v>
      </c>
      <c r="C112" s="90">
        <v>1312225</v>
      </c>
      <c r="D112" s="327"/>
      <c r="E112" s="90">
        <f t="shared" si="1"/>
        <v>1312225</v>
      </c>
      <c r="G112" s="4"/>
    </row>
    <row r="113" spans="1:13" ht="18" x14ac:dyDescent="0.25">
      <c r="A113" s="425"/>
      <c r="B113" s="487" t="s">
        <v>643</v>
      </c>
      <c r="C113" s="90">
        <v>288775</v>
      </c>
      <c r="D113" s="327"/>
      <c r="E113" s="90">
        <f t="shared" si="1"/>
        <v>288775</v>
      </c>
      <c r="G113" s="4"/>
    </row>
    <row r="114" spans="1:13" ht="18" customHeight="1" x14ac:dyDescent="0.25">
      <c r="A114" s="426"/>
      <c r="B114" s="483" t="s">
        <v>397</v>
      </c>
      <c r="C114" s="331">
        <f>SUM(C26:C113)</f>
        <v>14726500</v>
      </c>
      <c r="D114" s="331">
        <f>SUM(D26:D113)</f>
        <v>729561</v>
      </c>
      <c r="E114" s="331">
        <f>SUM(E26:E113)</f>
        <v>15456061</v>
      </c>
      <c r="G114" s="4"/>
      <c r="I114" s="715"/>
      <c r="K114" s="715"/>
      <c r="M114" s="715"/>
    </row>
    <row r="115" spans="1:13" s="74" customFormat="1" ht="15" customHeight="1" x14ac:dyDescent="0.25">
      <c r="A115" s="424" t="s">
        <v>356</v>
      </c>
      <c r="B115" s="479" t="s">
        <v>360</v>
      </c>
      <c r="C115" s="105"/>
      <c r="D115" s="105"/>
      <c r="E115" s="105"/>
      <c r="G115" s="4"/>
    </row>
    <row r="116" spans="1:13" s="74" customFormat="1" ht="15" customHeight="1" x14ac:dyDescent="0.25">
      <c r="A116" s="424"/>
      <c r="B116" s="770" t="s">
        <v>587</v>
      </c>
      <c r="C116" s="772">
        <v>1395</v>
      </c>
      <c r="D116" s="771"/>
      <c r="E116" s="772">
        <f>C116+D116</f>
        <v>1395</v>
      </c>
      <c r="G116" s="4"/>
    </row>
    <row r="117" spans="1:13" s="74" customFormat="1" ht="15" customHeight="1" x14ac:dyDescent="0.25">
      <c r="A117" s="424"/>
      <c r="B117" s="770" t="s">
        <v>588</v>
      </c>
      <c r="C117" s="772">
        <v>3565</v>
      </c>
      <c r="D117" s="771"/>
      <c r="E117" s="772">
        <f>C117+D117</f>
        <v>3565</v>
      </c>
      <c r="G117" s="4"/>
    </row>
    <row r="118" spans="1:13" ht="15" hidden="1" customHeight="1" x14ac:dyDescent="0.25">
      <c r="A118" s="424"/>
      <c r="B118" s="489" t="s">
        <v>121</v>
      </c>
      <c r="C118" s="546"/>
      <c r="D118" s="327"/>
      <c r="E118" s="546"/>
      <c r="G118" s="4"/>
    </row>
    <row r="119" spans="1:13" ht="15" customHeight="1" x14ac:dyDescent="0.25">
      <c r="A119" s="426"/>
      <c r="B119" s="483" t="s">
        <v>79</v>
      </c>
      <c r="C119" s="328">
        <f>SUM(C116:C117)</f>
        <v>4960</v>
      </c>
      <c r="D119" s="328">
        <f>SUM(D116:D117)</f>
        <v>0</v>
      </c>
      <c r="E119" s="328">
        <f>SUM(E116:E117)</f>
        <v>4960</v>
      </c>
      <c r="G119" s="4"/>
    </row>
    <row r="120" spans="1:13" ht="18.75" thickBot="1" x14ac:dyDescent="0.3">
      <c r="A120" s="432" t="s">
        <v>357</v>
      </c>
      <c r="B120" s="490" t="s">
        <v>52</v>
      </c>
      <c r="C120" s="335">
        <v>20000</v>
      </c>
      <c r="D120" s="335">
        <v>10620</v>
      </c>
      <c r="E120" s="335">
        <f>C120+D120</f>
        <v>30620</v>
      </c>
      <c r="G120" s="4"/>
    </row>
    <row r="121" spans="1:13" ht="20.25" customHeight="1" thickBot="1" x14ac:dyDescent="0.35">
      <c r="A121" s="42"/>
      <c r="B121" s="493" t="s">
        <v>332</v>
      </c>
      <c r="C121" s="336">
        <f>C12+C15+C19+C25+C119+C120+C114</f>
        <v>15515104</v>
      </c>
      <c r="D121" s="336">
        <f>D12+D15+D19+D25+D119+D120+D114</f>
        <v>795197</v>
      </c>
      <c r="E121" s="336">
        <f>E12+E15+E19+E25+E119+E120+E114</f>
        <v>16310301</v>
      </c>
      <c r="G121" s="4"/>
    </row>
    <row r="122" spans="1:13" ht="15" customHeight="1" x14ac:dyDescent="0.25">
      <c r="D122" s="715"/>
    </row>
    <row r="123" spans="1:13" ht="15" customHeight="1" x14ac:dyDescent="0.25">
      <c r="D123" s="715"/>
    </row>
    <row r="124" spans="1:13" ht="15" customHeight="1" x14ac:dyDescent="0.25">
      <c r="D124" s="715"/>
    </row>
    <row r="125" spans="1:13" ht="15" customHeight="1" x14ac:dyDescent="0.25">
      <c r="D125" s="715"/>
    </row>
    <row r="126" spans="1:13" ht="15" customHeight="1" x14ac:dyDescent="0.25">
      <c r="D126" s="715"/>
    </row>
    <row r="127" spans="1:13" ht="15" customHeight="1" x14ac:dyDescent="0.25">
      <c r="D127" s="715"/>
    </row>
    <row r="128" spans="1:13" ht="15" customHeight="1" x14ac:dyDescent="0.25">
      <c r="D128" s="715"/>
    </row>
    <row r="129" spans="4:4" ht="15" customHeight="1" x14ac:dyDescent="0.25">
      <c r="D129" s="715"/>
    </row>
    <row r="130" spans="4:4" ht="15" customHeight="1" x14ac:dyDescent="0.25">
      <c r="D130" s="715"/>
    </row>
    <row r="131" spans="4:4" ht="15" customHeight="1" x14ac:dyDescent="0.25">
      <c r="D131" s="715"/>
    </row>
    <row r="132" spans="4:4" ht="15" customHeight="1" x14ac:dyDescent="0.25">
      <c r="D132" s="715"/>
    </row>
    <row r="133" spans="4:4" ht="15" customHeight="1" x14ac:dyDescent="0.25">
      <c r="D133" s="715"/>
    </row>
    <row r="134" spans="4:4" ht="15" customHeight="1" x14ac:dyDescent="0.25">
      <c r="D134" s="715"/>
    </row>
    <row r="135" spans="4:4" ht="15" customHeight="1" x14ac:dyDescent="0.25">
      <c r="D135" s="715"/>
    </row>
    <row r="136" spans="4:4" ht="15" customHeight="1" x14ac:dyDescent="0.25">
      <c r="D136" s="715"/>
    </row>
    <row r="137" spans="4:4" ht="15" customHeight="1" x14ac:dyDescent="0.25">
      <c r="D137" s="715"/>
    </row>
    <row r="138" spans="4:4" ht="15" customHeight="1" x14ac:dyDescent="0.25">
      <c r="D138" s="715"/>
    </row>
    <row r="139" spans="4:4" ht="15" customHeight="1" x14ac:dyDescent="0.25">
      <c r="D139" s="715"/>
    </row>
    <row r="140" spans="4:4" ht="15" customHeight="1" x14ac:dyDescent="0.25">
      <c r="D140" s="715"/>
    </row>
    <row r="141" spans="4:4" ht="15" customHeight="1" x14ac:dyDescent="0.25">
      <c r="D141" s="715"/>
    </row>
    <row r="142" spans="4:4" ht="15" customHeight="1" x14ac:dyDescent="0.25">
      <c r="D142" s="715"/>
    </row>
    <row r="143" spans="4:4" ht="15" customHeight="1" x14ac:dyDescent="0.25">
      <c r="D143" s="715"/>
    </row>
    <row r="144" spans="4:4" ht="15" customHeight="1" x14ac:dyDescent="0.25">
      <c r="D144" s="715"/>
    </row>
    <row r="145" spans="4:4" ht="15" customHeight="1" x14ac:dyDescent="0.25">
      <c r="D145" s="715"/>
    </row>
    <row r="146" spans="4:4" ht="15" customHeight="1" x14ac:dyDescent="0.25">
      <c r="D146" s="715"/>
    </row>
    <row r="147" spans="4:4" ht="15" customHeight="1" x14ac:dyDescent="0.25">
      <c r="D147" s="715"/>
    </row>
    <row r="148" spans="4:4" ht="15" customHeight="1" x14ac:dyDescent="0.25">
      <c r="D148" s="715"/>
    </row>
    <row r="149" spans="4:4" ht="15" customHeight="1" x14ac:dyDescent="0.25">
      <c r="D149" s="715"/>
    </row>
    <row r="150" spans="4:4" ht="15" customHeight="1" x14ac:dyDescent="0.25">
      <c r="D150" s="715"/>
    </row>
    <row r="151" spans="4:4" ht="15" customHeight="1" x14ac:dyDescent="0.25">
      <c r="D151" s="715"/>
    </row>
    <row r="152" spans="4:4" ht="15" customHeight="1" x14ac:dyDescent="0.25">
      <c r="D152" s="715"/>
    </row>
    <row r="153" spans="4:4" ht="15" customHeight="1" x14ac:dyDescent="0.25">
      <c r="D153" s="715"/>
    </row>
    <row r="154" spans="4:4" ht="15" customHeight="1" x14ac:dyDescent="0.25">
      <c r="D154" s="715"/>
    </row>
    <row r="155" spans="4:4" ht="15" customHeight="1" x14ac:dyDescent="0.25">
      <c r="D155" s="715"/>
    </row>
    <row r="156" spans="4:4" ht="15" customHeight="1" x14ac:dyDescent="0.25">
      <c r="D156" s="715"/>
    </row>
    <row r="157" spans="4:4" ht="15" customHeight="1" x14ac:dyDescent="0.25">
      <c r="D157" s="715"/>
    </row>
    <row r="158" spans="4:4" ht="15" customHeight="1" x14ac:dyDescent="0.25">
      <c r="D158" s="715"/>
    </row>
    <row r="159" spans="4:4" ht="15" customHeight="1" x14ac:dyDescent="0.25">
      <c r="D159" s="715"/>
    </row>
    <row r="160" spans="4:4" ht="15" customHeight="1" x14ac:dyDescent="0.25">
      <c r="D160" s="715"/>
    </row>
    <row r="161" spans="4:4" ht="15" customHeight="1" x14ac:dyDescent="0.25">
      <c r="D161" s="715"/>
    </row>
    <row r="162" spans="4:4" ht="15" customHeight="1" x14ac:dyDescent="0.25">
      <c r="D162" s="715"/>
    </row>
    <row r="163" spans="4:4" ht="15" customHeight="1" x14ac:dyDescent="0.25">
      <c r="D163" s="715"/>
    </row>
    <row r="164" spans="4:4" ht="15" customHeight="1" x14ac:dyDescent="0.25">
      <c r="D164" s="715"/>
    </row>
    <row r="165" spans="4:4" ht="15" customHeight="1" x14ac:dyDescent="0.25">
      <c r="D165" s="715"/>
    </row>
    <row r="166" spans="4:4" ht="15" customHeight="1" x14ac:dyDescent="0.25">
      <c r="D166" s="715"/>
    </row>
    <row r="167" spans="4:4" ht="15" customHeight="1" x14ac:dyDescent="0.25">
      <c r="D167" s="715"/>
    </row>
    <row r="168" spans="4:4" ht="15" customHeight="1" x14ac:dyDescent="0.25">
      <c r="D168" s="715"/>
    </row>
    <row r="169" spans="4:4" ht="15" customHeight="1" x14ac:dyDescent="0.25">
      <c r="D169" s="715"/>
    </row>
    <row r="170" spans="4:4" ht="15" customHeight="1" x14ac:dyDescent="0.25">
      <c r="D170" s="715"/>
    </row>
    <row r="171" spans="4:4" ht="15" customHeight="1" x14ac:dyDescent="0.25">
      <c r="D171" s="715"/>
    </row>
    <row r="172" spans="4:4" ht="15" customHeight="1" x14ac:dyDescent="0.25">
      <c r="D172" s="715"/>
    </row>
    <row r="173" spans="4:4" ht="15" customHeight="1" x14ac:dyDescent="0.25">
      <c r="D173" s="715"/>
    </row>
    <row r="174" spans="4:4" ht="15" customHeight="1" x14ac:dyDescent="0.25">
      <c r="D174" s="715"/>
    </row>
    <row r="175" spans="4:4" ht="15" customHeight="1" x14ac:dyDescent="0.25">
      <c r="D175" s="715"/>
    </row>
    <row r="176" spans="4:4" ht="15" customHeight="1" x14ac:dyDescent="0.25">
      <c r="D176" s="715"/>
    </row>
    <row r="177" spans="4:4" ht="15" customHeight="1" x14ac:dyDescent="0.25">
      <c r="D177" s="715"/>
    </row>
    <row r="178" spans="4:4" ht="15" customHeight="1" x14ac:dyDescent="0.25">
      <c r="D178" s="715"/>
    </row>
    <row r="179" spans="4:4" ht="15" customHeight="1" x14ac:dyDescent="0.25">
      <c r="D179" s="715"/>
    </row>
    <row r="180" spans="4:4" ht="15" customHeight="1" x14ac:dyDescent="0.25">
      <c r="D180" s="715"/>
    </row>
    <row r="181" spans="4:4" ht="15" customHeight="1" x14ac:dyDescent="0.25">
      <c r="D181" s="715"/>
    </row>
    <row r="182" spans="4:4" ht="15" customHeight="1" x14ac:dyDescent="0.25">
      <c r="D182" s="715"/>
    </row>
    <row r="183" spans="4:4" ht="15" customHeight="1" x14ac:dyDescent="0.25">
      <c r="D183" s="715"/>
    </row>
    <row r="184" spans="4:4" ht="15" customHeight="1" x14ac:dyDescent="0.25">
      <c r="D184" s="715"/>
    </row>
    <row r="185" spans="4:4" ht="15" customHeight="1" x14ac:dyDescent="0.25">
      <c r="D185" s="715"/>
    </row>
    <row r="186" spans="4:4" ht="15" customHeight="1" x14ac:dyDescent="0.25">
      <c r="D186" s="715"/>
    </row>
    <row r="187" spans="4:4" ht="15" customHeight="1" x14ac:dyDescent="0.25">
      <c r="D187" s="715"/>
    </row>
    <row r="188" spans="4:4" ht="15" customHeight="1" x14ac:dyDescent="0.25">
      <c r="D188" s="715"/>
    </row>
    <row r="189" spans="4:4" ht="15" customHeight="1" x14ac:dyDescent="0.25">
      <c r="D189" s="715"/>
    </row>
    <row r="190" spans="4:4" ht="15" customHeight="1" x14ac:dyDescent="0.25">
      <c r="D190" s="715"/>
    </row>
    <row r="191" spans="4:4" ht="15" customHeight="1" x14ac:dyDescent="0.25">
      <c r="D191" s="715"/>
    </row>
    <row r="192" spans="4:4" ht="15" customHeight="1" x14ac:dyDescent="0.25">
      <c r="D192" s="715"/>
    </row>
    <row r="193" spans="4:4" ht="15" customHeight="1" x14ac:dyDescent="0.25">
      <c r="D193" s="715"/>
    </row>
    <row r="194" spans="4:4" ht="15" customHeight="1" x14ac:dyDescent="0.25">
      <c r="D194" s="715"/>
    </row>
    <row r="195" spans="4:4" ht="15" customHeight="1" x14ac:dyDescent="0.25">
      <c r="D195" s="715"/>
    </row>
    <row r="196" spans="4:4" ht="15" customHeight="1" x14ac:dyDescent="0.25">
      <c r="D196" s="715"/>
    </row>
    <row r="197" spans="4:4" ht="15" customHeight="1" x14ac:dyDescent="0.25">
      <c r="D197" s="715"/>
    </row>
    <row r="198" spans="4:4" ht="15" customHeight="1" x14ac:dyDescent="0.25">
      <c r="D198" s="715"/>
    </row>
    <row r="199" spans="4:4" ht="15" customHeight="1" x14ac:dyDescent="0.25">
      <c r="D199" s="715"/>
    </row>
    <row r="200" spans="4:4" ht="15" customHeight="1" x14ac:dyDescent="0.25">
      <c r="D200" s="715"/>
    </row>
    <row r="201" spans="4:4" ht="15" customHeight="1" x14ac:dyDescent="0.25">
      <c r="D201" s="715"/>
    </row>
    <row r="202" spans="4:4" ht="15" customHeight="1" x14ac:dyDescent="0.25">
      <c r="D202" s="715"/>
    </row>
    <row r="203" spans="4:4" ht="15" customHeight="1" x14ac:dyDescent="0.25">
      <c r="D203" s="715"/>
    </row>
    <row r="204" spans="4:4" ht="15" customHeight="1" x14ac:dyDescent="0.25">
      <c r="D204" s="715"/>
    </row>
    <row r="205" spans="4:4" ht="15" customHeight="1" x14ac:dyDescent="0.25">
      <c r="D205" s="715"/>
    </row>
    <row r="206" spans="4:4" ht="15" customHeight="1" x14ac:dyDescent="0.25">
      <c r="D206" s="715"/>
    </row>
    <row r="207" spans="4:4" ht="15" customHeight="1" x14ac:dyDescent="0.25">
      <c r="D207" s="715"/>
    </row>
    <row r="208" spans="4:4" ht="15" customHeight="1" x14ac:dyDescent="0.25">
      <c r="D208" s="715"/>
    </row>
    <row r="209" spans="4:4" ht="15" customHeight="1" x14ac:dyDescent="0.25">
      <c r="D209" s="715"/>
    </row>
    <row r="210" spans="4:4" ht="15" customHeight="1" x14ac:dyDescent="0.25">
      <c r="D210" s="715"/>
    </row>
    <row r="211" spans="4:4" ht="15" customHeight="1" x14ac:dyDescent="0.25">
      <c r="D211" s="715"/>
    </row>
    <row r="212" spans="4:4" ht="15" customHeight="1" x14ac:dyDescent="0.25">
      <c r="D212" s="715"/>
    </row>
    <row r="213" spans="4:4" ht="15" customHeight="1" x14ac:dyDescent="0.25">
      <c r="D213" s="715"/>
    </row>
    <row r="214" spans="4:4" ht="15" customHeight="1" x14ac:dyDescent="0.25">
      <c r="D214" s="715"/>
    </row>
    <row r="215" spans="4:4" ht="15" customHeight="1" x14ac:dyDescent="0.25">
      <c r="D215" s="715"/>
    </row>
    <row r="216" spans="4:4" ht="15" customHeight="1" x14ac:dyDescent="0.25">
      <c r="D216" s="715"/>
    </row>
    <row r="217" spans="4:4" ht="15" customHeight="1" x14ac:dyDescent="0.25">
      <c r="D217" s="715"/>
    </row>
    <row r="218" spans="4:4" ht="15" customHeight="1" x14ac:dyDescent="0.25">
      <c r="D218" s="715"/>
    </row>
    <row r="219" spans="4:4" ht="15" customHeight="1" x14ac:dyDescent="0.25">
      <c r="D219" s="715"/>
    </row>
    <row r="220" spans="4:4" ht="15" customHeight="1" x14ac:dyDescent="0.25">
      <c r="D220" s="715"/>
    </row>
    <row r="221" spans="4:4" ht="15" customHeight="1" x14ac:dyDescent="0.25">
      <c r="D221" s="715"/>
    </row>
    <row r="222" spans="4:4" ht="15" customHeight="1" x14ac:dyDescent="0.25">
      <c r="D222" s="715"/>
    </row>
    <row r="223" spans="4:4" ht="15" customHeight="1" x14ac:dyDescent="0.25">
      <c r="D223" s="715"/>
    </row>
    <row r="224" spans="4:4" ht="15" customHeight="1" x14ac:dyDescent="0.25">
      <c r="D224" s="715"/>
    </row>
    <row r="225" spans="4:4" ht="15" customHeight="1" x14ac:dyDescent="0.25">
      <c r="D225" s="715"/>
    </row>
    <row r="226" spans="4:4" ht="15" customHeight="1" x14ac:dyDescent="0.25">
      <c r="D226" s="715"/>
    </row>
    <row r="227" spans="4:4" ht="15" customHeight="1" x14ac:dyDescent="0.25">
      <c r="D227" s="715"/>
    </row>
    <row r="228" spans="4:4" ht="15" customHeight="1" x14ac:dyDescent="0.25">
      <c r="D228" s="715"/>
    </row>
    <row r="229" spans="4:4" ht="15" customHeight="1" x14ac:dyDescent="0.25">
      <c r="D229" s="715"/>
    </row>
    <row r="230" spans="4:4" ht="15" customHeight="1" x14ac:dyDescent="0.25">
      <c r="D230" s="715"/>
    </row>
    <row r="231" spans="4:4" ht="15" customHeight="1" x14ac:dyDescent="0.25">
      <c r="D231" s="715"/>
    </row>
    <row r="232" spans="4:4" ht="15" customHeight="1" x14ac:dyDescent="0.25">
      <c r="D232" s="715"/>
    </row>
    <row r="233" spans="4:4" ht="15" customHeight="1" x14ac:dyDescent="0.25">
      <c r="D233" s="715"/>
    </row>
    <row r="234" spans="4:4" ht="15" customHeight="1" x14ac:dyDescent="0.25">
      <c r="D234" s="715"/>
    </row>
    <row r="235" spans="4:4" ht="15" customHeight="1" x14ac:dyDescent="0.25">
      <c r="D235" s="715"/>
    </row>
    <row r="236" spans="4:4" ht="15" customHeight="1" x14ac:dyDescent="0.25">
      <c r="D236" s="715"/>
    </row>
    <row r="237" spans="4:4" ht="15" customHeight="1" x14ac:dyDescent="0.25">
      <c r="D237" s="715"/>
    </row>
    <row r="238" spans="4:4" ht="15" customHeight="1" x14ac:dyDescent="0.25">
      <c r="D238" s="715"/>
    </row>
    <row r="239" spans="4:4" ht="15" customHeight="1" x14ac:dyDescent="0.25">
      <c r="D239" s="715"/>
    </row>
    <row r="240" spans="4:4" ht="15" customHeight="1" x14ac:dyDescent="0.25">
      <c r="D240" s="715"/>
    </row>
    <row r="241" spans="4:4" ht="15" customHeight="1" x14ac:dyDescent="0.25">
      <c r="D241" s="715"/>
    </row>
    <row r="242" spans="4:4" ht="15" customHeight="1" x14ac:dyDescent="0.25">
      <c r="D242" s="715"/>
    </row>
    <row r="243" spans="4:4" ht="15" customHeight="1" x14ac:dyDescent="0.25">
      <c r="D243" s="715"/>
    </row>
    <row r="244" spans="4:4" ht="15" customHeight="1" x14ac:dyDescent="0.25">
      <c r="D244" s="715"/>
    </row>
    <row r="245" spans="4:4" ht="15" customHeight="1" x14ac:dyDescent="0.25">
      <c r="D245" s="715"/>
    </row>
    <row r="246" spans="4:4" ht="15" customHeight="1" x14ac:dyDescent="0.25">
      <c r="D246" s="715"/>
    </row>
    <row r="247" spans="4:4" ht="15" customHeight="1" x14ac:dyDescent="0.25">
      <c r="D247" s="715"/>
    </row>
    <row r="248" spans="4:4" ht="15" customHeight="1" x14ac:dyDescent="0.25">
      <c r="D248" s="715"/>
    </row>
    <row r="249" spans="4:4" ht="15" customHeight="1" x14ac:dyDescent="0.25">
      <c r="D249" s="715"/>
    </row>
    <row r="250" spans="4:4" ht="15" customHeight="1" x14ac:dyDescent="0.25">
      <c r="D250" s="715"/>
    </row>
    <row r="251" spans="4:4" ht="15" customHeight="1" x14ac:dyDescent="0.25">
      <c r="D251" s="715"/>
    </row>
    <row r="252" spans="4:4" ht="15" customHeight="1" x14ac:dyDescent="0.25">
      <c r="D252" s="715"/>
    </row>
    <row r="253" spans="4:4" ht="15" customHeight="1" x14ac:dyDescent="0.25">
      <c r="D253" s="715"/>
    </row>
    <row r="254" spans="4:4" ht="15" customHeight="1" x14ac:dyDescent="0.25">
      <c r="D254" s="715"/>
    </row>
    <row r="255" spans="4:4" ht="15" customHeight="1" x14ac:dyDescent="0.25">
      <c r="D255" s="715"/>
    </row>
    <row r="256" spans="4:4" ht="15" customHeight="1" x14ac:dyDescent="0.25">
      <c r="D256" s="715"/>
    </row>
    <row r="257" spans="4:4" ht="15" customHeight="1" x14ac:dyDescent="0.25">
      <c r="D257" s="715"/>
    </row>
    <row r="258" spans="4:4" ht="15" customHeight="1" x14ac:dyDescent="0.25">
      <c r="D258" s="715"/>
    </row>
    <row r="259" spans="4:4" ht="15" customHeight="1" x14ac:dyDescent="0.25">
      <c r="D259" s="715"/>
    </row>
    <row r="260" spans="4:4" ht="15" customHeight="1" x14ac:dyDescent="0.25">
      <c r="D260" s="715"/>
    </row>
    <row r="261" spans="4:4" ht="15" customHeight="1" x14ac:dyDescent="0.25">
      <c r="D261" s="715"/>
    </row>
    <row r="262" spans="4:4" ht="15" customHeight="1" x14ac:dyDescent="0.25">
      <c r="D262" s="715"/>
    </row>
    <row r="263" spans="4:4" ht="15" customHeight="1" x14ac:dyDescent="0.25">
      <c r="D263" s="715"/>
    </row>
    <row r="264" spans="4:4" ht="15" customHeight="1" x14ac:dyDescent="0.25">
      <c r="D264" s="715"/>
    </row>
    <row r="265" spans="4:4" ht="15" customHeight="1" x14ac:dyDescent="0.25">
      <c r="D265" s="715"/>
    </row>
    <row r="266" spans="4:4" ht="15" customHeight="1" x14ac:dyDescent="0.25">
      <c r="D266" s="715"/>
    </row>
    <row r="267" spans="4:4" ht="15" customHeight="1" x14ac:dyDescent="0.25">
      <c r="D267" s="715"/>
    </row>
    <row r="268" spans="4:4" ht="15" customHeight="1" x14ac:dyDescent="0.25">
      <c r="D268" s="715"/>
    </row>
    <row r="269" spans="4:4" ht="15" customHeight="1" x14ac:dyDescent="0.25">
      <c r="D269" s="715"/>
    </row>
    <row r="270" spans="4:4" ht="15" customHeight="1" x14ac:dyDescent="0.25">
      <c r="D270" s="715"/>
    </row>
    <row r="271" spans="4:4" ht="15" customHeight="1" x14ac:dyDescent="0.25">
      <c r="D271" s="715"/>
    </row>
    <row r="272" spans="4:4" ht="15" customHeight="1" x14ac:dyDescent="0.25">
      <c r="D272" s="715"/>
    </row>
    <row r="273" spans="4:4" ht="15" customHeight="1" x14ac:dyDescent="0.25">
      <c r="D273" s="715"/>
    </row>
    <row r="274" spans="4:4" ht="15" customHeight="1" x14ac:dyDescent="0.25">
      <c r="D274" s="715"/>
    </row>
    <row r="275" spans="4:4" ht="15" customHeight="1" x14ac:dyDescent="0.25">
      <c r="D275" s="715"/>
    </row>
    <row r="276" spans="4:4" ht="15" customHeight="1" x14ac:dyDescent="0.25">
      <c r="D276" s="715"/>
    </row>
    <row r="277" spans="4:4" ht="15" customHeight="1" x14ac:dyDescent="0.25">
      <c r="D277" s="715"/>
    </row>
    <row r="278" spans="4:4" ht="15" customHeight="1" x14ac:dyDescent="0.25">
      <c r="D278" s="715"/>
    </row>
    <row r="279" spans="4:4" ht="15" customHeight="1" x14ac:dyDescent="0.25">
      <c r="D279" s="715"/>
    </row>
    <row r="280" spans="4:4" ht="15" customHeight="1" x14ac:dyDescent="0.25">
      <c r="D280" s="715"/>
    </row>
    <row r="281" spans="4:4" ht="15" customHeight="1" x14ac:dyDescent="0.25">
      <c r="D281" s="715"/>
    </row>
    <row r="282" spans="4:4" ht="15" customHeight="1" x14ac:dyDescent="0.25">
      <c r="D282" s="715"/>
    </row>
    <row r="283" spans="4:4" ht="15" customHeight="1" x14ac:dyDescent="0.25">
      <c r="D283" s="715"/>
    </row>
    <row r="284" spans="4:4" ht="15" customHeight="1" x14ac:dyDescent="0.25">
      <c r="D284" s="715"/>
    </row>
    <row r="285" spans="4:4" ht="15" customHeight="1" x14ac:dyDescent="0.25">
      <c r="D285" s="715"/>
    </row>
    <row r="286" spans="4:4" ht="15" customHeight="1" x14ac:dyDescent="0.25">
      <c r="D286" s="715"/>
    </row>
    <row r="287" spans="4:4" ht="15" customHeight="1" x14ac:dyDescent="0.25">
      <c r="D287" s="715"/>
    </row>
    <row r="288" spans="4:4" ht="15" customHeight="1" x14ac:dyDescent="0.25">
      <c r="D288" s="715"/>
    </row>
    <row r="289" spans="4:4" ht="15" customHeight="1" x14ac:dyDescent="0.25">
      <c r="D289" s="715"/>
    </row>
    <row r="290" spans="4:4" ht="15" customHeight="1" x14ac:dyDescent="0.25">
      <c r="D290" s="715"/>
    </row>
    <row r="291" spans="4:4" ht="15" customHeight="1" x14ac:dyDescent="0.25">
      <c r="D291" s="715"/>
    </row>
    <row r="292" spans="4:4" ht="15" customHeight="1" x14ac:dyDescent="0.25">
      <c r="D292" s="715"/>
    </row>
    <row r="293" spans="4:4" ht="15" customHeight="1" x14ac:dyDescent="0.25">
      <c r="D293" s="715"/>
    </row>
    <row r="294" spans="4:4" ht="15" customHeight="1" x14ac:dyDescent="0.25">
      <c r="D294" s="715"/>
    </row>
    <row r="295" spans="4:4" ht="15" customHeight="1" x14ac:dyDescent="0.25">
      <c r="D295" s="715"/>
    </row>
    <row r="296" spans="4:4" ht="15" customHeight="1" x14ac:dyDescent="0.25">
      <c r="D296" s="715"/>
    </row>
    <row r="297" spans="4:4" ht="15" customHeight="1" x14ac:dyDescent="0.25">
      <c r="D297" s="715"/>
    </row>
    <row r="298" spans="4:4" ht="15" customHeight="1" x14ac:dyDescent="0.25">
      <c r="D298" s="715"/>
    </row>
    <row r="299" spans="4:4" ht="15" customHeight="1" x14ac:dyDescent="0.25">
      <c r="D299" s="715"/>
    </row>
    <row r="300" spans="4:4" ht="15" customHeight="1" x14ac:dyDescent="0.25">
      <c r="D300" s="715"/>
    </row>
    <row r="301" spans="4:4" ht="15" customHeight="1" x14ac:dyDescent="0.25">
      <c r="D301" s="715"/>
    </row>
    <row r="302" spans="4:4" ht="15" customHeight="1" x14ac:dyDescent="0.25">
      <c r="D302" s="715"/>
    </row>
    <row r="303" spans="4:4" ht="15" customHeight="1" x14ac:dyDescent="0.25">
      <c r="D303" s="715"/>
    </row>
    <row r="304" spans="4:4" ht="15" customHeight="1" x14ac:dyDescent="0.25">
      <c r="D304" s="715"/>
    </row>
    <row r="305" spans="4:4" ht="15" customHeight="1" x14ac:dyDescent="0.25">
      <c r="D305" s="715"/>
    </row>
    <row r="306" spans="4:4" ht="15" customHeight="1" x14ac:dyDescent="0.25">
      <c r="D306" s="715"/>
    </row>
    <row r="307" spans="4:4" ht="15" customHeight="1" x14ac:dyDescent="0.25">
      <c r="D307" s="715"/>
    </row>
    <row r="308" spans="4:4" ht="15" customHeight="1" x14ac:dyDescent="0.25">
      <c r="D308" s="715"/>
    </row>
    <row r="309" spans="4:4" ht="15" customHeight="1" x14ac:dyDescent="0.25">
      <c r="D309" s="715"/>
    </row>
    <row r="310" spans="4:4" ht="15" customHeight="1" x14ac:dyDescent="0.25">
      <c r="D310" s="715"/>
    </row>
    <row r="311" spans="4:4" ht="15" customHeight="1" x14ac:dyDescent="0.25">
      <c r="D311" s="715"/>
    </row>
    <row r="312" spans="4:4" ht="15" customHeight="1" x14ac:dyDescent="0.25">
      <c r="D312" s="715"/>
    </row>
    <row r="313" spans="4:4" ht="15" customHeight="1" x14ac:dyDescent="0.25">
      <c r="D313" s="715"/>
    </row>
    <row r="314" spans="4:4" ht="15" customHeight="1" x14ac:dyDescent="0.25">
      <c r="D314" s="715"/>
    </row>
    <row r="315" spans="4:4" ht="15" customHeight="1" x14ac:dyDescent="0.25">
      <c r="D315" s="715"/>
    </row>
    <row r="316" spans="4:4" ht="15" customHeight="1" x14ac:dyDescent="0.25">
      <c r="D316" s="715"/>
    </row>
    <row r="317" spans="4:4" ht="15" customHeight="1" x14ac:dyDescent="0.25">
      <c r="D317" s="715"/>
    </row>
    <row r="318" spans="4:4" ht="15" customHeight="1" x14ac:dyDescent="0.25">
      <c r="D318" s="715"/>
    </row>
    <row r="319" spans="4:4" ht="15" customHeight="1" x14ac:dyDescent="0.25">
      <c r="D319" s="715"/>
    </row>
    <row r="320" spans="4:4" ht="15" customHeight="1" x14ac:dyDescent="0.25">
      <c r="D320" s="715"/>
    </row>
    <row r="321" spans="4:4" ht="15" customHeight="1" x14ac:dyDescent="0.25">
      <c r="D321" s="715"/>
    </row>
    <row r="322" spans="4:4" ht="15" customHeight="1" x14ac:dyDescent="0.25">
      <c r="D322" s="715"/>
    </row>
    <row r="323" spans="4:4" ht="15" customHeight="1" x14ac:dyDescent="0.25">
      <c r="D323" s="715"/>
    </row>
    <row r="324" spans="4:4" ht="15" customHeight="1" x14ac:dyDescent="0.25">
      <c r="D324" s="715"/>
    </row>
    <row r="325" spans="4:4" ht="15" customHeight="1" x14ac:dyDescent="0.25">
      <c r="D325" s="715"/>
    </row>
    <row r="326" spans="4:4" ht="15" customHeight="1" x14ac:dyDescent="0.25">
      <c r="D326" s="715"/>
    </row>
    <row r="327" spans="4:4" ht="15" customHeight="1" x14ac:dyDescent="0.25">
      <c r="D327" s="715"/>
    </row>
    <row r="328" spans="4:4" ht="15" customHeight="1" x14ac:dyDescent="0.25">
      <c r="D328" s="715"/>
    </row>
    <row r="329" spans="4:4" ht="15" customHeight="1" x14ac:dyDescent="0.25">
      <c r="D329" s="715"/>
    </row>
    <row r="330" spans="4:4" ht="15" customHeight="1" x14ac:dyDescent="0.25">
      <c r="D330" s="715"/>
    </row>
    <row r="331" spans="4:4" ht="15" customHeight="1" x14ac:dyDescent="0.25">
      <c r="D331" s="715"/>
    </row>
    <row r="332" spans="4:4" ht="15" customHeight="1" x14ac:dyDescent="0.25">
      <c r="D332" s="715"/>
    </row>
    <row r="333" spans="4:4" ht="15" customHeight="1" x14ac:dyDescent="0.25">
      <c r="D333" s="715"/>
    </row>
    <row r="334" spans="4:4" ht="15" customHeight="1" x14ac:dyDescent="0.25">
      <c r="D334" s="715"/>
    </row>
    <row r="335" spans="4:4" ht="15" customHeight="1" x14ac:dyDescent="0.25">
      <c r="D335" s="715"/>
    </row>
    <row r="336" spans="4:4" ht="15" customHeight="1" x14ac:dyDescent="0.25">
      <c r="D336" s="715"/>
    </row>
    <row r="337" spans="4:4" ht="15" customHeight="1" x14ac:dyDescent="0.25">
      <c r="D337" s="715"/>
    </row>
    <row r="338" spans="4:4" ht="15" customHeight="1" x14ac:dyDescent="0.25">
      <c r="D338" s="715"/>
    </row>
    <row r="339" spans="4:4" ht="15" customHeight="1" x14ac:dyDescent="0.25">
      <c r="D339" s="715"/>
    </row>
    <row r="340" spans="4:4" ht="15" customHeight="1" x14ac:dyDescent="0.25">
      <c r="D340" s="715"/>
    </row>
    <row r="341" spans="4:4" ht="15" customHeight="1" x14ac:dyDescent="0.25">
      <c r="D341" s="715"/>
    </row>
    <row r="342" spans="4:4" ht="15" customHeight="1" x14ac:dyDescent="0.25">
      <c r="D342" s="715"/>
    </row>
    <row r="343" spans="4:4" ht="15" customHeight="1" x14ac:dyDescent="0.25">
      <c r="D343" s="715"/>
    </row>
    <row r="344" spans="4:4" ht="15" customHeight="1" x14ac:dyDescent="0.25">
      <c r="D344" s="715"/>
    </row>
    <row r="345" spans="4:4" ht="15" customHeight="1" x14ac:dyDescent="0.25">
      <c r="D345" s="715"/>
    </row>
    <row r="346" spans="4:4" ht="15" customHeight="1" x14ac:dyDescent="0.25">
      <c r="D346" s="715"/>
    </row>
    <row r="347" spans="4:4" ht="15" customHeight="1" x14ac:dyDescent="0.25">
      <c r="D347" s="715"/>
    </row>
    <row r="348" spans="4:4" ht="15" customHeight="1" x14ac:dyDescent="0.25">
      <c r="D348" s="715"/>
    </row>
    <row r="349" spans="4:4" ht="15" customHeight="1" x14ac:dyDescent="0.25">
      <c r="D349" s="715"/>
    </row>
    <row r="350" spans="4:4" ht="15" customHeight="1" x14ac:dyDescent="0.25">
      <c r="D350" s="715"/>
    </row>
    <row r="351" spans="4:4" ht="15" customHeight="1" x14ac:dyDescent="0.25">
      <c r="D351" s="715"/>
    </row>
    <row r="352" spans="4:4" ht="15" customHeight="1" x14ac:dyDescent="0.25">
      <c r="D352" s="715"/>
    </row>
    <row r="353" spans="4:4" ht="15" customHeight="1" x14ac:dyDescent="0.25">
      <c r="D353" s="715"/>
    </row>
    <row r="354" spans="4:4" ht="15" customHeight="1" x14ac:dyDescent="0.25">
      <c r="D354" s="715"/>
    </row>
    <row r="355" spans="4:4" ht="15" customHeight="1" x14ac:dyDescent="0.25">
      <c r="D355" s="715"/>
    </row>
    <row r="356" spans="4:4" ht="15" customHeight="1" x14ac:dyDescent="0.25">
      <c r="D356" s="715"/>
    </row>
    <row r="357" spans="4:4" ht="15" customHeight="1" x14ac:dyDescent="0.25">
      <c r="D357" s="715"/>
    </row>
    <row r="358" spans="4:4" ht="15" customHeight="1" x14ac:dyDescent="0.25">
      <c r="D358" s="715"/>
    </row>
    <row r="359" spans="4:4" ht="15" customHeight="1" x14ac:dyDescent="0.25">
      <c r="D359" s="715"/>
    </row>
    <row r="360" spans="4:4" ht="15" customHeight="1" x14ac:dyDescent="0.25">
      <c r="D360" s="715"/>
    </row>
    <row r="361" spans="4:4" ht="15" customHeight="1" x14ac:dyDescent="0.25">
      <c r="D361" s="715"/>
    </row>
    <row r="362" spans="4:4" ht="15" customHeight="1" x14ac:dyDescent="0.25">
      <c r="D362" s="715"/>
    </row>
    <row r="363" spans="4:4" ht="15" customHeight="1" x14ac:dyDescent="0.25">
      <c r="D363" s="715"/>
    </row>
    <row r="364" spans="4:4" ht="15" customHeight="1" x14ac:dyDescent="0.25">
      <c r="D364" s="715"/>
    </row>
    <row r="365" spans="4:4" ht="15" customHeight="1" x14ac:dyDescent="0.25">
      <c r="D365" s="715"/>
    </row>
    <row r="366" spans="4:4" ht="15" customHeight="1" x14ac:dyDescent="0.25">
      <c r="D366" s="715"/>
    </row>
    <row r="367" spans="4:4" ht="15" customHeight="1" x14ac:dyDescent="0.25">
      <c r="D367" s="715"/>
    </row>
    <row r="368" spans="4:4" ht="15" customHeight="1" x14ac:dyDescent="0.25">
      <c r="D368" s="715"/>
    </row>
    <row r="369" spans="4:4" ht="15" customHeight="1" x14ac:dyDescent="0.25">
      <c r="D369" s="715"/>
    </row>
    <row r="370" spans="4:4" ht="15" customHeight="1" x14ac:dyDescent="0.25">
      <c r="D370" s="715"/>
    </row>
    <row r="371" spans="4:4" ht="15" customHeight="1" x14ac:dyDescent="0.25">
      <c r="D371" s="715"/>
    </row>
    <row r="372" spans="4:4" ht="15" customHeight="1" x14ac:dyDescent="0.25">
      <c r="D372" s="715"/>
    </row>
    <row r="373" spans="4:4" ht="15" customHeight="1" x14ac:dyDescent="0.25">
      <c r="D373" s="715"/>
    </row>
    <row r="374" spans="4:4" ht="15" customHeight="1" x14ac:dyDescent="0.25">
      <c r="D374" s="715"/>
    </row>
    <row r="375" spans="4:4" ht="15" customHeight="1" x14ac:dyDescent="0.25">
      <c r="D375" s="715"/>
    </row>
    <row r="376" spans="4:4" ht="15" customHeight="1" x14ac:dyDescent="0.25">
      <c r="D376" s="715"/>
    </row>
    <row r="377" spans="4:4" ht="15" customHeight="1" x14ac:dyDescent="0.25">
      <c r="D377" s="715"/>
    </row>
    <row r="378" spans="4:4" ht="15" customHeight="1" x14ac:dyDescent="0.25">
      <c r="D378" s="715"/>
    </row>
    <row r="379" spans="4:4" ht="15" customHeight="1" x14ac:dyDescent="0.25">
      <c r="D379" s="715"/>
    </row>
    <row r="380" spans="4:4" ht="15" customHeight="1" x14ac:dyDescent="0.25">
      <c r="D380" s="715"/>
    </row>
    <row r="381" spans="4:4" ht="15" customHeight="1" x14ac:dyDescent="0.25">
      <c r="D381" s="715"/>
    </row>
    <row r="382" spans="4:4" ht="15" customHeight="1" x14ac:dyDescent="0.25">
      <c r="D382" s="715"/>
    </row>
    <row r="383" spans="4:4" ht="15" customHeight="1" x14ac:dyDescent="0.25">
      <c r="D383" s="715"/>
    </row>
    <row r="384" spans="4:4" ht="15" customHeight="1" x14ac:dyDescent="0.25">
      <c r="D384" s="715"/>
    </row>
    <row r="385" spans="4:4" ht="15" customHeight="1" x14ac:dyDescent="0.25">
      <c r="D385" s="715"/>
    </row>
    <row r="386" spans="4:4" ht="15" customHeight="1" x14ac:dyDescent="0.25">
      <c r="D386" s="715"/>
    </row>
    <row r="387" spans="4:4" ht="15" customHeight="1" x14ac:dyDescent="0.25">
      <c r="D387" s="715"/>
    </row>
    <row r="388" spans="4:4" ht="15" customHeight="1" x14ac:dyDescent="0.25">
      <c r="D388" s="715"/>
    </row>
    <row r="389" spans="4:4" ht="15" customHeight="1" x14ac:dyDescent="0.25">
      <c r="D389" s="715"/>
    </row>
    <row r="390" spans="4:4" ht="15" customHeight="1" x14ac:dyDescent="0.25">
      <c r="D390" s="715"/>
    </row>
    <row r="391" spans="4:4" ht="15" customHeight="1" x14ac:dyDescent="0.25">
      <c r="D391" s="715"/>
    </row>
    <row r="392" spans="4:4" ht="15" customHeight="1" x14ac:dyDescent="0.25">
      <c r="D392" s="715"/>
    </row>
    <row r="393" spans="4:4" ht="15" customHeight="1" x14ac:dyDescent="0.25">
      <c r="D393" s="715"/>
    </row>
    <row r="394" spans="4:4" ht="15" customHeight="1" x14ac:dyDescent="0.25">
      <c r="D394" s="715"/>
    </row>
    <row r="395" spans="4:4" ht="15" customHeight="1" x14ac:dyDescent="0.25">
      <c r="D395" s="715"/>
    </row>
    <row r="396" spans="4:4" ht="15" customHeight="1" x14ac:dyDescent="0.25">
      <c r="D396" s="715"/>
    </row>
    <row r="397" spans="4:4" ht="15" customHeight="1" x14ac:dyDescent="0.25">
      <c r="D397" s="715"/>
    </row>
    <row r="398" spans="4:4" ht="15" customHeight="1" x14ac:dyDescent="0.25">
      <c r="D398" s="715"/>
    </row>
    <row r="399" spans="4:4" ht="15" customHeight="1" x14ac:dyDescent="0.25">
      <c r="D399" s="715"/>
    </row>
    <row r="400" spans="4:4" ht="15" customHeight="1" x14ac:dyDescent="0.25">
      <c r="D400" s="715"/>
    </row>
    <row r="401" spans="4:4" ht="15" customHeight="1" x14ac:dyDescent="0.25">
      <c r="D401" s="715"/>
    </row>
    <row r="402" spans="4:4" ht="15" customHeight="1" x14ac:dyDescent="0.25">
      <c r="D402" s="715"/>
    </row>
    <row r="403" spans="4:4" ht="15" customHeight="1" x14ac:dyDescent="0.25">
      <c r="D403" s="715"/>
    </row>
    <row r="404" spans="4:4" ht="15" customHeight="1" x14ac:dyDescent="0.25">
      <c r="D404" s="715"/>
    </row>
    <row r="405" spans="4:4" ht="15" customHeight="1" x14ac:dyDescent="0.25">
      <c r="D405" s="715"/>
    </row>
    <row r="406" spans="4:4" ht="15" customHeight="1" x14ac:dyDescent="0.25">
      <c r="D406" s="715"/>
    </row>
    <row r="407" spans="4:4" ht="15" customHeight="1" x14ac:dyDescent="0.25">
      <c r="D407" s="715"/>
    </row>
    <row r="408" spans="4:4" ht="15" customHeight="1" x14ac:dyDescent="0.25">
      <c r="D408" s="715"/>
    </row>
    <row r="409" spans="4:4" ht="15" customHeight="1" x14ac:dyDescent="0.25">
      <c r="D409" s="715"/>
    </row>
    <row r="410" spans="4:4" ht="15" customHeight="1" x14ac:dyDescent="0.25">
      <c r="D410" s="715"/>
    </row>
    <row r="411" spans="4:4" ht="15" customHeight="1" x14ac:dyDescent="0.25">
      <c r="D411" s="715"/>
    </row>
    <row r="412" spans="4:4" ht="15" customHeight="1" x14ac:dyDescent="0.25">
      <c r="D412" s="715"/>
    </row>
    <row r="413" spans="4:4" ht="15" customHeight="1" x14ac:dyDescent="0.25">
      <c r="D413" s="715"/>
    </row>
    <row r="414" spans="4:4" ht="15" customHeight="1" x14ac:dyDescent="0.25">
      <c r="D414" s="715"/>
    </row>
    <row r="415" spans="4:4" ht="15" customHeight="1" x14ac:dyDescent="0.25">
      <c r="D415" s="715"/>
    </row>
    <row r="416" spans="4:4" ht="15" customHeight="1" x14ac:dyDescent="0.25">
      <c r="D416" s="715"/>
    </row>
    <row r="417" spans="4:4" ht="15" customHeight="1" x14ac:dyDescent="0.25">
      <c r="D417" s="715"/>
    </row>
    <row r="418" spans="4:4" ht="15" customHeight="1" x14ac:dyDescent="0.25">
      <c r="D418" s="715"/>
    </row>
    <row r="419" spans="4:4" ht="15" customHeight="1" x14ac:dyDescent="0.25">
      <c r="D419" s="715"/>
    </row>
    <row r="420" spans="4:4" ht="15" customHeight="1" x14ac:dyDescent="0.25">
      <c r="D420" s="715"/>
    </row>
    <row r="421" spans="4:4" ht="15" customHeight="1" x14ac:dyDescent="0.25">
      <c r="D421" s="715"/>
    </row>
    <row r="422" spans="4:4" ht="15" customHeight="1" x14ac:dyDescent="0.25">
      <c r="D422" s="715"/>
    </row>
    <row r="423" spans="4:4" ht="15" customHeight="1" x14ac:dyDescent="0.25">
      <c r="D423" s="715"/>
    </row>
    <row r="424" spans="4:4" ht="15" customHeight="1" x14ac:dyDescent="0.25">
      <c r="D424" s="715"/>
    </row>
    <row r="425" spans="4:4" ht="15" customHeight="1" x14ac:dyDescent="0.25">
      <c r="D425" s="715"/>
    </row>
    <row r="426" spans="4:4" ht="15" customHeight="1" x14ac:dyDescent="0.25">
      <c r="D426" s="715"/>
    </row>
    <row r="427" spans="4:4" ht="15" customHeight="1" x14ac:dyDescent="0.25">
      <c r="D427" s="715"/>
    </row>
    <row r="428" spans="4:4" ht="15" customHeight="1" x14ac:dyDescent="0.25">
      <c r="D428" s="715"/>
    </row>
    <row r="429" spans="4:4" ht="15" customHeight="1" x14ac:dyDescent="0.25">
      <c r="D429" s="715"/>
    </row>
    <row r="430" spans="4:4" ht="15" customHeight="1" x14ac:dyDescent="0.25">
      <c r="D430" s="715"/>
    </row>
    <row r="431" spans="4:4" ht="15" customHeight="1" x14ac:dyDescent="0.25">
      <c r="D431" s="715"/>
    </row>
    <row r="432" spans="4:4" ht="15" customHeight="1" x14ac:dyDescent="0.25">
      <c r="D432" s="715"/>
    </row>
    <row r="433" spans="4:4" ht="15" customHeight="1" x14ac:dyDescent="0.25">
      <c r="D433" s="715"/>
    </row>
    <row r="434" spans="4:4" ht="15" customHeight="1" x14ac:dyDescent="0.25">
      <c r="D434" s="715"/>
    </row>
    <row r="435" spans="4:4" ht="15" customHeight="1" x14ac:dyDescent="0.25">
      <c r="D435" s="715"/>
    </row>
    <row r="436" spans="4:4" ht="15" customHeight="1" x14ac:dyDescent="0.25">
      <c r="D436" s="715"/>
    </row>
    <row r="437" spans="4:4" ht="15" customHeight="1" x14ac:dyDescent="0.25">
      <c r="D437" s="715"/>
    </row>
    <row r="438" spans="4:4" ht="15" customHeight="1" x14ac:dyDescent="0.25">
      <c r="D438" s="715"/>
    </row>
    <row r="439" spans="4:4" ht="15" customHeight="1" x14ac:dyDescent="0.25">
      <c r="D439" s="715"/>
    </row>
    <row r="440" spans="4:4" ht="15" customHeight="1" x14ac:dyDescent="0.25">
      <c r="D440" s="715"/>
    </row>
    <row r="441" spans="4:4" ht="15" customHeight="1" x14ac:dyDescent="0.25">
      <c r="D441" s="715"/>
    </row>
    <row r="442" spans="4:4" ht="15" customHeight="1" x14ac:dyDescent="0.25">
      <c r="D442" s="715"/>
    </row>
    <row r="443" spans="4:4" ht="15" customHeight="1" x14ac:dyDescent="0.25">
      <c r="D443" s="715"/>
    </row>
    <row r="444" spans="4:4" ht="15" customHeight="1" x14ac:dyDescent="0.25">
      <c r="D444" s="715"/>
    </row>
    <row r="445" spans="4:4" ht="15" customHeight="1" x14ac:dyDescent="0.25">
      <c r="D445" s="715"/>
    </row>
    <row r="446" spans="4:4" ht="15" customHeight="1" x14ac:dyDescent="0.25">
      <c r="D446" s="715"/>
    </row>
    <row r="447" spans="4:4" ht="15" customHeight="1" x14ac:dyDescent="0.25">
      <c r="D447" s="715"/>
    </row>
    <row r="448" spans="4:4" ht="15" customHeight="1" x14ac:dyDescent="0.25">
      <c r="D448" s="715"/>
    </row>
    <row r="449" spans="4:4" ht="15" customHeight="1" x14ac:dyDescent="0.25">
      <c r="D449" s="715"/>
    </row>
    <row r="450" spans="4:4" ht="15" customHeight="1" x14ac:dyDescent="0.25">
      <c r="D450" s="715"/>
    </row>
    <row r="451" spans="4:4" ht="15" customHeight="1" x14ac:dyDescent="0.25">
      <c r="D451" s="715"/>
    </row>
    <row r="452" spans="4:4" ht="15" customHeight="1" x14ac:dyDescent="0.25">
      <c r="D452" s="715"/>
    </row>
    <row r="453" spans="4:4" ht="15" customHeight="1" x14ac:dyDescent="0.25">
      <c r="D453" s="715"/>
    </row>
    <row r="454" spans="4:4" ht="15" customHeight="1" x14ac:dyDescent="0.25">
      <c r="D454" s="715"/>
    </row>
    <row r="455" spans="4:4" ht="15" customHeight="1" x14ac:dyDescent="0.25">
      <c r="D455" s="715"/>
    </row>
    <row r="456" spans="4:4" ht="15" customHeight="1" x14ac:dyDescent="0.25">
      <c r="D456" s="715"/>
    </row>
    <row r="457" spans="4:4" ht="15" customHeight="1" x14ac:dyDescent="0.25">
      <c r="D457" s="715"/>
    </row>
    <row r="458" spans="4:4" ht="15" customHeight="1" x14ac:dyDescent="0.25">
      <c r="D458" s="715"/>
    </row>
    <row r="459" spans="4:4" ht="15" customHeight="1" x14ac:dyDescent="0.25">
      <c r="D459" s="715"/>
    </row>
    <row r="460" spans="4:4" ht="15" customHeight="1" x14ac:dyDescent="0.25">
      <c r="D460" s="715"/>
    </row>
    <row r="461" spans="4:4" ht="15" customHeight="1" x14ac:dyDescent="0.25">
      <c r="D461" s="715"/>
    </row>
    <row r="462" spans="4:4" ht="15" customHeight="1" x14ac:dyDescent="0.25">
      <c r="D462" s="715"/>
    </row>
    <row r="463" spans="4:4" ht="15" customHeight="1" x14ac:dyDescent="0.25">
      <c r="D463" s="715"/>
    </row>
    <row r="464" spans="4:4" ht="15" customHeight="1" x14ac:dyDescent="0.25">
      <c r="D464" s="715"/>
    </row>
    <row r="465" spans="4:4" ht="15" customHeight="1" x14ac:dyDescent="0.25">
      <c r="D465" s="715"/>
    </row>
    <row r="466" spans="4:4" ht="15" customHeight="1" x14ac:dyDescent="0.25">
      <c r="D466" s="715"/>
    </row>
    <row r="467" spans="4:4" ht="15" customHeight="1" x14ac:dyDescent="0.25">
      <c r="D467" s="715"/>
    </row>
    <row r="468" spans="4:4" ht="15" customHeight="1" x14ac:dyDescent="0.25">
      <c r="D468" s="715"/>
    </row>
    <row r="469" spans="4:4" ht="15" customHeight="1" x14ac:dyDescent="0.25">
      <c r="D469" s="715"/>
    </row>
    <row r="470" spans="4:4" ht="15" customHeight="1" x14ac:dyDescent="0.25">
      <c r="D470" s="715"/>
    </row>
    <row r="471" spans="4:4" ht="15" customHeight="1" x14ac:dyDescent="0.25">
      <c r="D471" s="715"/>
    </row>
    <row r="472" spans="4:4" ht="15" customHeight="1" x14ac:dyDescent="0.25">
      <c r="D472" s="715"/>
    </row>
    <row r="473" spans="4:4" ht="15" customHeight="1" x14ac:dyDescent="0.25">
      <c r="D473" s="715"/>
    </row>
    <row r="474" spans="4:4" ht="15" customHeight="1" x14ac:dyDescent="0.25">
      <c r="D474" s="715"/>
    </row>
    <row r="475" spans="4:4" ht="15" customHeight="1" x14ac:dyDescent="0.25">
      <c r="D475" s="715"/>
    </row>
    <row r="476" spans="4:4" ht="15" customHeight="1" x14ac:dyDescent="0.25">
      <c r="D476" s="715"/>
    </row>
    <row r="477" spans="4:4" ht="15" customHeight="1" x14ac:dyDescent="0.25">
      <c r="D477" s="715"/>
    </row>
    <row r="478" spans="4:4" ht="15" customHeight="1" x14ac:dyDescent="0.25">
      <c r="D478" s="715"/>
    </row>
    <row r="479" spans="4:4" ht="15" customHeight="1" x14ac:dyDescent="0.25">
      <c r="D479" s="715"/>
    </row>
    <row r="480" spans="4:4" ht="15" customHeight="1" x14ac:dyDescent="0.25">
      <c r="D480" s="715"/>
    </row>
    <row r="481" spans="4:4" ht="15" customHeight="1" x14ac:dyDescent="0.25">
      <c r="D481" s="715"/>
    </row>
    <row r="482" spans="4:4" ht="15" customHeight="1" x14ac:dyDescent="0.25">
      <c r="D482" s="715"/>
    </row>
    <row r="483" spans="4:4" ht="15" customHeight="1" x14ac:dyDescent="0.25">
      <c r="D483" s="715"/>
    </row>
    <row r="484" spans="4:4" ht="15" customHeight="1" x14ac:dyDescent="0.25">
      <c r="D484" s="715"/>
    </row>
    <row r="485" spans="4:4" ht="15" customHeight="1" x14ac:dyDescent="0.25">
      <c r="D485" s="715"/>
    </row>
    <row r="486" spans="4:4" ht="15" customHeight="1" x14ac:dyDescent="0.25">
      <c r="D486" s="715"/>
    </row>
    <row r="487" spans="4:4" ht="15" customHeight="1" x14ac:dyDescent="0.25">
      <c r="D487" s="715"/>
    </row>
    <row r="488" spans="4:4" ht="15" customHeight="1" x14ac:dyDescent="0.25">
      <c r="D488" s="715"/>
    </row>
    <row r="489" spans="4:4" ht="15" customHeight="1" x14ac:dyDescent="0.25">
      <c r="D489" s="715"/>
    </row>
    <row r="490" spans="4:4" ht="15" customHeight="1" x14ac:dyDescent="0.25">
      <c r="D490" s="715"/>
    </row>
    <row r="491" spans="4:4" ht="15" customHeight="1" x14ac:dyDescent="0.25">
      <c r="D491" s="715"/>
    </row>
    <row r="492" spans="4:4" ht="15" customHeight="1" x14ac:dyDescent="0.25">
      <c r="D492" s="715"/>
    </row>
    <row r="493" spans="4:4" ht="15" customHeight="1" x14ac:dyDescent="0.25">
      <c r="D493" s="715"/>
    </row>
    <row r="494" spans="4:4" ht="15" customHeight="1" x14ac:dyDescent="0.25">
      <c r="D494" s="715"/>
    </row>
    <row r="495" spans="4:4" ht="15" customHeight="1" x14ac:dyDescent="0.25">
      <c r="D495" s="715"/>
    </row>
    <row r="496" spans="4:4" ht="15" customHeight="1" x14ac:dyDescent="0.25">
      <c r="D496" s="715"/>
    </row>
    <row r="497" spans="4:4" ht="15" customHeight="1" x14ac:dyDescent="0.25">
      <c r="D497" s="715"/>
    </row>
    <row r="498" spans="4:4" ht="15" customHeight="1" x14ac:dyDescent="0.25">
      <c r="D498" s="715"/>
    </row>
    <row r="499" spans="4:4" ht="15" customHeight="1" x14ac:dyDescent="0.25">
      <c r="D499" s="715"/>
    </row>
    <row r="500" spans="4:4" ht="15" customHeight="1" x14ac:dyDescent="0.25">
      <c r="D500" s="715"/>
    </row>
    <row r="501" spans="4:4" ht="15" customHeight="1" x14ac:dyDescent="0.25">
      <c r="D501" s="715"/>
    </row>
    <row r="502" spans="4:4" ht="15" customHeight="1" x14ac:dyDescent="0.25">
      <c r="D502" s="715"/>
    </row>
    <row r="503" spans="4:4" ht="15" customHeight="1" x14ac:dyDescent="0.25">
      <c r="D503" s="715"/>
    </row>
    <row r="504" spans="4:4" ht="15" customHeight="1" x14ac:dyDescent="0.25">
      <c r="D504" s="715"/>
    </row>
    <row r="505" spans="4:4" ht="15" customHeight="1" x14ac:dyDescent="0.25">
      <c r="D505" s="715"/>
    </row>
    <row r="506" spans="4:4" ht="15" customHeight="1" x14ac:dyDescent="0.25">
      <c r="D506" s="715"/>
    </row>
    <row r="507" spans="4:4" ht="15" customHeight="1" x14ac:dyDescent="0.25">
      <c r="D507" s="715"/>
    </row>
    <row r="508" spans="4:4" ht="15" customHeight="1" x14ac:dyDescent="0.25">
      <c r="D508" s="715"/>
    </row>
    <row r="509" spans="4:4" ht="15" customHeight="1" x14ac:dyDescent="0.25">
      <c r="D509" s="715"/>
    </row>
    <row r="510" spans="4:4" ht="15" customHeight="1" x14ac:dyDescent="0.25">
      <c r="D510" s="715"/>
    </row>
    <row r="511" spans="4:4" ht="15" customHeight="1" x14ac:dyDescent="0.25">
      <c r="D511" s="715"/>
    </row>
    <row r="512" spans="4:4" ht="15" customHeight="1" x14ac:dyDescent="0.25">
      <c r="D512" s="715"/>
    </row>
    <row r="513" spans="4:4" ht="15" customHeight="1" x14ac:dyDescent="0.25">
      <c r="D513" s="715"/>
    </row>
    <row r="514" spans="4:4" ht="15" customHeight="1" x14ac:dyDescent="0.25">
      <c r="D514" s="715"/>
    </row>
    <row r="515" spans="4:4" ht="15" customHeight="1" x14ac:dyDescent="0.25">
      <c r="D515" s="715"/>
    </row>
    <row r="516" spans="4:4" ht="15" customHeight="1" x14ac:dyDescent="0.25">
      <c r="D516" s="715"/>
    </row>
    <row r="517" spans="4:4" ht="15" customHeight="1" x14ac:dyDescent="0.25">
      <c r="D517" s="715"/>
    </row>
    <row r="518" spans="4:4" ht="15" customHeight="1" x14ac:dyDescent="0.25">
      <c r="D518" s="715"/>
    </row>
    <row r="519" spans="4:4" ht="15" customHeight="1" x14ac:dyDescent="0.25">
      <c r="D519" s="715"/>
    </row>
    <row r="520" spans="4:4" ht="15" customHeight="1" x14ac:dyDescent="0.25">
      <c r="D520" s="715"/>
    </row>
    <row r="521" spans="4:4" ht="15" customHeight="1" x14ac:dyDescent="0.25">
      <c r="D521" s="715"/>
    </row>
    <row r="522" spans="4:4" ht="15" customHeight="1" x14ac:dyDescent="0.25">
      <c r="D522" s="715"/>
    </row>
    <row r="523" spans="4:4" ht="15" customHeight="1" x14ac:dyDescent="0.25">
      <c r="D523" s="715"/>
    </row>
    <row r="524" spans="4:4" ht="15" customHeight="1" x14ac:dyDescent="0.25">
      <c r="D524" s="715"/>
    </row>
    <row r="525" spans="4:4" ht="15" customHeight="1" x14ac:dyDescent="0.25">
      <c r="D525" s="715"/>
    </row>
    <row r="526" spans="4:4" ht="15" customHeight="1" x14ac:dyDescent="0.25">
      <c r="D526" s="715"/>
    </row>
    <row r="527" spans="4:4" ht="15" customHeight="1" x14ac:dyDescent="0.25">
      <c r="D527" s="715"/>
    </row>
    <row r="528" spans="4:4" ht="15" customHeight="1" x14ac:dyDescent="0.25">
      <c r="D528" s="715"/>
    </row>
    <row r="529" spans="4:4" ht="15" customHeight="1" x14ac:dyDescent="0.25">
      <c r="D529" s="715"/>
    </row>
    <row r="530" spans="4:4" ht="15" customHeight="1" x14ac:dyDescent="0.25">
      <c r="D530" s="715"/>
    </row>
    <row r="531" spans="4:4" ht="15" customHeight="1" x14ac:dyDescent="0.25">
      <c r="D531" s="715"/>
    </row>
    <row r="532" spans="4:4" ht="15" customHeight="1" x14ac:dyDescent="0.25">
      <c r="D532" s="715"/>
    </row>
    <row r="533" spans="4:4" ht="15" customHeight="1" x14ac:dyDescent="0.25">
      <c r="D533" s="715"/>
    </row>
    <row r="534" spans="4:4" ht="15" customHeight="1" x14ac:dyDescent="0.25">
      <c r="D534" s="715"/>
    </row>
    <row r="535" spans="4:4" ht="15" customHeight="1" x14ac:dyDescent="0.25">
      <c r="D535" s="715"/>
    </row>
    <row r="536" spans="4:4" ht="15" customHeight="1" x14ac:dyDescent="0.25">
      <c r="D536" s="715"/>
    </row>
    <row r="537" spans="4:4" ht="15" customHeight="1" x14ac:dyDescent="0.25">
      <c r="D537" s="715"/>
    </row>
    <row r="538" spans="4:4" ht="15" customHeight="1" x14ac:dyDescent="0.25">
      <c r="D538" s="715"/>
    </row>
    <row r="539" spans="4:4" ht="15" customHeight="1" x14ac:dyDescent="0.25">
      <c r="D539" s="715"/>
    </row>
    <row r="540" spans="4:4" ht="15" customHeight="1" x14ac:dyDescent="0.25">
      <c r="D540" s="715"/>
    </row>
    <row r="541" spans="4:4" ht="15" customHeight="1" x14ac:dyDescent="0.25">
      <c r="D541" s="715"/>
    </row>
    <row r="542" spans="4:4" ht="15" customHeight="1" x14ac:dyDescent="0.25">
      <c r="D542" s="715"/>
    </row>
    <row r="543" spans="4:4" ht="15" customHeight="1" x14ac:dyDescent="0.25">
      <c r="D543" s="715"/>
    </row>
    <row r="544" spans="4:4" ht="15" customHeight="1" x14ac:dyDescent="0.25">
      <c r="D544" s="715"/>
    </row>
    <row r="545" spans="4:4" ht="15" customHeight="1" x14ac:dyDescent="0.25">
      <c r="D545" s="715"/>
    </row>
    <row r="546" spans="4:4" ht="15" customHeight="1" x14ac:dyDescent="0.25">
      <c r="D546" s="715"/>
    </row>
    <row r="547" spans="4:4" ht="15" customHeight="1" x14ac:dyDescent="0.25">
      <c r="D547" s="715"/>
    </row>
    <row r="548" spans="4:4" ht="15" customHeight="1" x14ac:dyDescent="0.25">
      <c r="D548" s="715"/>
    </row>
    <row r="549" spans="4:4" ht="15" customHeight="1" x14ac:dyDescent="0.25">
      <c r="D549" s="715"/>
    </row>
    <row r="550" spans="4:4" ht="15" customHeight="1" x14ac:dyDescent="0.25">
      <c r="D550" s="715"/>
    </row>
    <row r="551" spans="4:4" ht="15" customHeight="1" x14ac:dyDescent="0.25">
      <c r="D551" s="715"/>
    </row>
    <row r="552" spans="4:4" ht="15" customHeight="1" x14ac:dyDescent="0.25">
      <c r="D552" s="715"/>
    </row>
    <row r="553" spans="4:4" ht="15" customHeight="1" x14ac:dyDescent="0.25">
      <c r="D553" s="715"/>
    </row>
    <row r="554" spans="4:4" ht="15" customHeight="1" x14ac:dyDescent="0.25">
      <c r="D554" s="715"/>
    </row>
    <row r="555" spans="4:4" ht="15" customHeight="1" x14ac:dyDescent="0.25">
      <c r="D555" s="715"/>
    </row>
    <row r="556" spans="4:4" ht="15" customHeight="1" x14ac:dyDescent="0.25">
      <c r="D556" s="715"/>
    </row>
    <row r="557" spans="4:4" ht="15" customHeight="1" x14ac:dyDescent="0.25">
      <c r="D557" s="715"/>
    </row>
    <row r="558" spans="4:4" ht="15" customHeight="1" x14ac:dyDescent="0.25">
      <c r="D558" s="715"/>
    </row>
    <row r="559" spans="4:4" ht="15" customHeight="1" x14ac:dyDescent="0.25">
      <c r="D559" s="715"/>
    </row>
    <row r="560" spans="4:4" ht="15" customHeight="1" x14ac:dyDescent="0.25">
      <c r="D560" s="715"/>
    </row>
    <row r="561" spans="4:4" ht="15" customHeight="1" x14ac:dyDescent="0.25">
      <c r="D561" s="715"/>
    </row>
    <row r="562" spans="4:4" ht="15" customHeight="1" x14ac:dyDescent="0.25">
      <c r="D562" s="715"/>
    </row>
    <row r="563" spans="4:4" ht="15" customHeight="1" x14ac:dyDescent="0.25">
      <c r="D563" s="715"/>
    </row>
    <row r="564" spans="4:4" ht="15" customHeight="1" x14ac:dyDescent="0.25">
      <c r="D564" s="715"/>
    </row>
    <row r="565" spans="4:4" ht="15" customHeight="1" x14ac:dyDescent="0.25">
      <c r="D565" s="715"/>
    </row>
    <row r="566" spans="4:4" ht="15" customHeight="1" x14ac:dyDescent="0.25">
      <c r="D566" s="715"/>
    </row>
    <row r="567" spans="4:4" ht="15" customHeight="1" x14ac:dyDescent="0.25">
      <c r="D567" s="715"/>
    </row>
    <row r="568" spans="4:4" ht="15" customHeight="1" x14ac:dyDescent="0.25">
      <c r="D568" s="715"/>
    </row>
    <row r="569" spans="4:4" ht="15" customHeight="1" x14ac:dyDescent="0.25">
      <c r="D569" s="715"/>
    </row>
    <row r="570" spans="4:4" ht="15" customHeight="1" x14ac:dyDescent="0.25">
      <c r="D570" s="715"/>
    </row>
    <row r="571" spans="4:4" ht="15" customHeight="1" x14ac:dyDescent="0.25">
      <c r="D571" s="715"/>
    </row>
    <row r="572" spans="4:4" ht="15" customHeight="1" x14ac:dyDescent="0.25">
      <c r="D572" s="715"/>
    </row>
    <row r="573" spans="4:4" ht="15" customHeight="1" x14ac:dyDescent="0.25">
      <c r="D573" s="715"/>
    </row>
    <row r="574" spans="4:4" ht="15" customHeight="1" x14ac:dyDescent="0.25">
      <c r="D574" s="715"/>
    </row>
    <row r="575" spans="4:4" ht="15" customHeight="1" x14ac:dyDescent="0.25">
      <c r="D575" s="715"/>
    </row>
    <row r="576" spans="4:4" ht="15" customHeight="1" x14ac:dyDescent="0.25">
      <c r="D576" s="715"/>
    </row>
    <row r="577" spans="4:4" ht="15" customHeight="1" x14ac:dyDescent="0.25">
      <c r="D577" s="715"/>
    </row>
    <row r="578" spans="4:4" ht="15" customHeight="1" x14ac:dyDescent="0.25">
      <c r="D578" s="715"/>
    </row>
    <row r="579" spans="4:4" ht="15" customHeight="1" x14ac:dyDescent="0.25">
      <c r="D579" s="715"/>
    </row>
    <row r="580" spans="4:4" ht="15" customHeight="1" x14ac:dyDescent="0.25">
      <c r="D580" s="715"/>
    </row>
    <row r="581" spans="4:4" ht="15" customHeight="1" x14ac:dyDescent="0.25">
      <c r="D581" s="715"/>
    </row>
    <row r="582" spans="4:4" ht="15" customHeight="1" x14ac:dyDescent="0.25">
      <c r="D582" s="715"/>
    </row>
    <row r="583" spans="4:4" ht="15" customHeight="1" x14ac:dyDescent="0.25">
      <c r="D583" s="715"/>
    </row>
    <row r="584" spans="4:4" ht="15" customHeight="1" x14ac:dyDescent="0.25">
      <c r="D584" s="715"/>
    </row>
    <row r="585" spans="4:4" ht="15" customHeight="1" x14ac:dyDescent="0.25">
      <c r="D585" s="715"/>
    </row>
    <row r="586" spans="4:4" ht="15" customHeight="1" x14ac:dyDescent="0.25">
      <c r="D586" s="715"/>
    </row>
    <row r="587" spans="4:4" ht="15" customHeight="1" x14ac:dyDescent="0.25">
      <c r="D587" s="715"/>
    </row>
    <row r="588" spans="4:4" ht="15" customHeight="1" x14ac:dyDescent="0.25">
      <c r="D588" s="715"/>
    </row>
    <row r="589" spans="4:4" ht="15" customHeight="1" x14ac:dyDescent="0.25">
      <c r="D589" s="715"/>
    </row>
    <row r="590" spans="4:4" ht="15" customHeight="1" x14ac:dyDescent="0.25">
      <c r="D590" s="715"/>
    </row>
    <row r="591" spans="4:4" ht="15" customHeight="1" x14ac:dyDescent="0.25">
      <c r="D591" s="715"/>
    </row>
    <row r="592" spans="4:4" ht="15" customHeight="1" x14ac:dyDescent="0.25">
      <c r="D592" s="715"/>
    </row>
    <row r="593" spans="4:4" ht="15" customHeight="1" x14ac:dyDescent="0.25">
      <c r="D593" s="715"/>
    </row>
    <row r="594" spans="4:4" ht="15" customHeight="1" x14ac:dyDescent="0.25">
      <c r="D594" s="715"/>
    </row>
    <row r="595" spans="4:4" ht="15" customHeight="1" x14ac:dyDescent="0.25">
      <c r="D595" s="715"/>
    </row>
    <row r="596" spans="4:4" ht="15" customHeight="1" x14ac:dyDescent="0.25">
      <c r="D596" s="715"/>
    </row>
    <row r="597" spans="4:4" ht="15" customHeight="1" x14ac:dyDescent="0.25">
      <c r="D597" s="715"/>
    </row>
    <row r="598" spans="4:4" ht="15" customHeight="1" x14ac:dyDescent="0.25">
      <c r="D598" s="715"/>
    </row>
    <row r="599" spans="4:4" ht="15" customHeight="1" x14ac:dyDescent="0.25">
      <c r="D599" s="715"/>
    </row>
    <row r="600" spans="4:4" ht="15" customHeight="1" x14ac:dyDescent="0.25">
      <c r="D600" s="715"/>
    </row>
    <row r="601" spans="4:4" ht="15" customHeight="1" x14ac:dyDescent="0.25">
      <c r="D601" s="715"/>
    </row>
    <row r="602" spans="4:4" ht="15" customHeight="1" x14ac:dyDescent="0.25">
      <c r="D602" s="715"/>
    </row>
    <row r="603" spans="4:4" ht="15" customHeight="1" x14ac:dyDescent="0.25">
      <c r="D603" s="715"/>
    </row>
    <row r="604" spans="4:4" ht="15" customHeight="1" x14ac:dyDescent="0.25">
      <c r="D604" s="715"/>
    </row>
    <row r="605" spans="4:4" ht="15" customHeight="1" x14ac:dyDescent="0.25">
      <c r="D605" s="715"/>
    </row>
    <row r="606" spans="4:4" ht="15" customHeight="1" x14ac:dyDescent="0.25">
      <c r="D606" s="715"/>
    </row>
    <row r="607" spans="4:4" ht="15" customHeight="1" x14ac:dyDescent="0.25">
      <c r="D607" s="715"/>
    </row>
    <row r="608" spans="4:4" ht="15" customHeight="1" x14ac:dyDescent="0.25">
      <c r="D608" s="715"/>
    </row>
    <row r="609" spans="4:4" ht="15" customHeight="1" x14ac:dyDescent="0.25">
      <c r="D609" s="715"/>
    </row>
    <row r="610" spans="4:4" ht="15" customHeight="1" x14ac:dyDescent="0.25">
      <c r="D610" s="715"/>
    </row>
    <row r="611" spans="4:4" ht="15" customHeight="1" x14ac:dyDescent="0.25">
      <c r="D611" s="715"/>
    </row>
    <row r="612" spans="4:4" ht="15" customHeight="1" x14ac:dyDescent="0.25">
      <c r="D612" s="715"/>
    </row>
    <row r="613" spans="4:4" ht="15" customHeight="1" x14ac:dyDescent="0.25">
      <c r="D613" s="715"/>
    </row>
    <row r="614" spans="4:4" ht="15" customHeight="1" x14ac:dyDescent="0.25">
      <c r="D614" s="715"/>
    </row>
    <row r="615" spans="4:4" ht="15" customHeight="1" x14ac:dyDescent="0.25">
      <c r="D615" s="715"/>
    </row>
    <row r="616" spans="4:4" ht="15" customHeight="1" x14ac:dyDescent="0.25">
      <c r="D616" s="715"/>
    </row>
    <row r="617" spans="4:4" ht="15" customHeight="1" x14ac:dyDescent="0.25">
      <c r="D617" s="715"/>
    </row>
    <row r="618" spans="4:4" ht="15" customHeight="1" x14ac:dyDescent="0.25">
      <c r="D618" s="715"/>
    </row>
    <row r="619" spans="4:4" ht="15" customHeight="1" x14ac:dyDescent="0.25">
      <c r="D619" s="715"/>
    </row>
    <row r="620" spans="4:4" ht="15" customHeight="1" x14ac:dyDescent="0.25">
      <c r="D620" s="715"/>
    </row>
    <row r="621" spans="4:4" ht="15" customHeight="1" x14ac:dyDescent="0.25">
      <c r="D621" s="715"/>
    </row>
    <row r="622" spans="4:4" ht="15" customHeight="1" x14ac:dyDescent="0.25">
      <c r="D622" s="715"/>
    </row>
    <row r="623" spans="4:4" ht="15" customHeight="1" x14ac:dyDescent="0.25">
      <c r="D623" s="715"/>
    </row>
    <row r="624" spans="4:4" ht="15" customHeight="1" x14ac:dyDescent="0.25">
      <c r="D624" s="715"/>
    </row>
    <row r="625" spans="4:4" ht="15" customHeight="1" x14ac:dyDescent="0.25">
      <c r="D625" s="715"/>
    </row>
    <row r="626" spans="4:4" ht="15" customHeight="1" x14ac:dyDescent="0.25">
      <c r="D626" s="715"/>
    </row>
    <row r="627" spans="4:4" ht="15" customHeight="1" x14ac:dyDescent="0.25">
      <c r="D627" s="715"/>
    </row>
    <row r="628" spans="4:4" ht="15" customHeight="1" x14ac:dyDescent="0.25">
      <c r="D628" s="715"/>
    </row>
    <row r="629" spans="4:4" ht="15" customHeight="1" x14ac:dyDescent="0.25">
      <c r="D629" s="715"/>
    </row>
    <row r="630" spans="4:4" ht="15" customHeight="1" x14ac:dyDescent="0.25">
      <c r="D630" s="715"/>
    </row>
    <row r="631" spans="4:4" ht="15" customHeight="1" x14ac:dyDescent="0.25">
      <c r="D631" s="715"/>
    </row>
    <row r="632" spans="4:4" ht="15" customHeight="1" x14ac:dyDescent="0.25">
      <c r="D632" s="715"/>
    </row>
    <row r="633" spans="4:4" ht="15" customHeight="1" x14ac:dyDescent="0.25">
      <c r="D633" s="715"/>
    </row>
    <row r="634" spans="4:4" ht="15" customHeight="1" x14ac:dyDescent="0.25">
      <c r="D634" s="715"/>
    </row>
    <row r="635" spans="4:4" ht="15" customHeight="1" x14ac:dyDescent="0.25">
      <c r="D635" s="715"/>
    </row>
    <row r="636" spans="4:4" ht="15" customHeight="1" x14ac:dyDescent="0.25">
      <c r="D636" s="715"/>
    </row>
    <row r="637" spans="4:4" ht="15" customHeight="1" x14ac:dyDescent="0.25">
      <c r="D637" s="715"/>
    </row>
    <row r="638" spans="4:4" ht="15" customHeight="1" x14ac:dyDescent="0.25">
      <c r="D638" s="715"/>
    </row>
    <row r="639" spans="4:4" ht="15" customHeight="1" x14ac:dyDescent="0.25">
      <c r="D639" s="715"/>
    </row>
    <row r="640" spans="4:4" ht="15" customHeight="1" x14ac:dyDescent="0.25">
      <c r="D640" s="715"/>
    </row>
    <row r="641" spans="4:4" ht="15" customHeight="1" x14ac:dyDescent="0.25">
      <c r="D641" s="715"/>
    </row>
    <row r="642" spans="4:4" ht="15" customHeight="1" x14ac:dyDescent="0.25">
      <c r="D642" s="715"/>
    </row>
    <row r="643" spans="4:4" ht="15" customHeight="1" x14ac:dyDescent="0.25">
      <c r="D643" s="715"/>
    </row>
    <row r="644" spans="4:4" ht="15" customHeight="1" x14ac:dyDescent="0.25">
      <c r="D644" s="715"/>
    </row>
    <row r="645" spans="4:4" ht="15" customHeight="1" x14ac:dyDescent="0.25">
      <c r="D645" s="715"/>
    </row>
    <row r="646" spans="4:4" ht="15" customHeight="1" x14ac:dyDescent="0.25">
      <c r="D646" s="715"/>
    </row>
    <row r="647" spans="4:4" ht="15" customHeight="1" x14ac:dyDescent="0.25">
      <c r="D647" s="715"/>
    </row>
    <row r="648" spans="4:4" ht="15" customHeight="1" x14ac:dyDescent="0.25">
      <c r="D648" s="715"/>
    </row>
    <row r="649" spans="4:4" ht="15" customHeight="1" x14ac:dyDescent="0.25">
      <c r="D649" s="715"/>
    </row>
    <row r="650" spans="4:4" ht="15" customHeight="1" x14ac:dyDescent="0.25">
      <c r="D650" s="715"/>
    </row>
    <row r="651" spans="4:4" ht="15" customHeight="1" x14ac:dyDescent="0.25">
      <c r="D651" s="715"/>
    </row>
    <row r="652" spans="4:4" ht="15" customHeight="1" x14ac:dyDescent="0.25">
      <c r="D652" s="715"/>
    </row>
    <row r="653" spans="4:4" ht="15" customHeight="1" x14ac:dyDescent="0.25">
      <c r="D653" s="715"/>
    </row>
    <row r="654" spans="4:4" ht="15" customHeight="1" x14ac:dyDescent="0.25">
      <c r="D654" s="715"/>
    </row>
    <row r="655" spans="4:4" ht="15" customHeight="1" x14ac:dyDescent="0.25">
      <c r="D655" s="715"/>
    </row>
    <row r="656" spans="4:4" ht="15" customHeight="1" x14ac:dyDescent="0.25">
      <c r="D656" s="715"/>
    </row>
    <row r="657" spans="4:4" ht="15" customHeight="1" x14ac:dyDescent="0.25">
      <c r="D657" s="715"/>
    </row>
    <row r="658" spans="4:4" ht="15" customHeight="1" x14ac:dyDescent="0.25">
      <c r="D658" s="715"/>
    </row>
    <row r="659" spans="4:4" ht="15" customHeight="1" x14ac:dyDescent="0.25">
      <c r="D659" s="715"/>
    </row>
    <row r="660" spans="4:4" ht="15" customHeight="1" x14ac:dyDescent="0.25">
      <c r="D660" s="715"/>
    </row>
    <row r="661" spans="4:4" ht="15" customHeight="1" x14ac:dyDescent="0.25">
      <c r="D661" s="715"/>
    </row>
    <row r="662" spans="4:4" ht="15" customHeight="1" x14ac:dyDescent="0.25">
      <c r="D662" s="715"/>
    </row>
    <row r="663" spans="4:4" ht="15" customHeight="1" x14ac:dyDescent="0.25">
      <c r="D663" s="715"/>
    </row>
    <row r="664" spans="4:4" ht="15" customHeight="1" x14ac:dyDescent="0.25">
      <c r="D664" s="715"/>
    </row>
    <row r="665" spans="4:4" ht="15" customHeight="1" x14ac:dyDescent="0.25">
      <c r="D665" s="715"/>
    </row>
    <row r="666" spans="4:4" ht="15" customHeight="1" x14ac:dyDescent="0.25">
      <c r="D666" s="715"/>
    </row>
    <row r="667" spans="4:4" ht="15" customHeight="1" x14ac:dyDescent="0.25">
      <c r="D667" s="715"/>
    </row>
    <row r="668" spans="4:4" ht="15" customHeight="1" x14ac:dyDescent="0.25">
      <c r="D668" s="715"/>
    </row>
    <row r="669" spans="4:4" ht="15" customHeight="1" x14ac:dyDescent="0.25">
      <c r="D669" s="715"/>
    </row>
    <row r="670" spans="4:4" ht="15" customHeight="1" x14ac:dyDescent="0.25">
      <c r="D670" s="715"/>
    </row>
    <row r="671" spans="4:4" ht="15" customHeight="1" x14ac:dyDescent="0.25">
      <c r="D671" s="715"/>
    </row>
    <row r="672" spans="4:4" ht="15" customHeight="1" x14ac:dyDescent="0.25">
      <c r="D672" s="715"/>
    </row>
    <row r="673" spans="4:4" ht="15" customHeight="1" x14ac:dyDescent="0.25">
      <c r="D673" s="715"/>
    </row>
    <row r="674" spans="4:4" ht="15" customHeight="1" x14ac:dyDescent="0.25">
      <c r="D674" s="715"/>
    </row>
    <row r="675" spans="4:4" ht="15" customHeight="1" x14ac:dyDescent="0.25">
      <c r="D675" s="715"/>
    </row>
    <row r="676" spans="4:4" ht="15" customHeight="1" x14ac:dyDescent="0.25">
      <c r="D676" s="715"/>
    </row>
    <row r="677" spans="4:4" ht="15" customHeight="1" x14ac:dyDescent="0.25">
      <c r="D677" s="715"/>
    </row>
    <row r="678" spans="4:4" ht="15" customHeight="1" x14ac:dyDescent="0.25">
      <c r="D678" s="715"/>
    </row>
    <row r="679" spans="4:4" ht="15" customHeight="1" x14ac:dyDescent="0.25">
      <c r="D679" s="715"/>
    </row>
    <row r="680" spans="4:4" ht="15" customHeight="1" x14ac:dyDescent="0.25">
      <c r="D680" s="715"/>
    </row>
    <row r="681" spans="4:4" ht="15" customHeight="1" x14ac:dyDescent="0.25">
      <c r="D681" s="715"/>
    </row>
    <row r="682" spans="4:4" ht="15" customHeight="1" x14ac:dyDescent="0.25">
      <c r="D682" s="715"/>
    </row>
    <row r="683" spans="4:4" ht="15" customHeight="1" x14ac:dyDescent="0.25">
      <c r="D683" s="715"/>
    </row>
    <row r="684" spans="4:4" ht="15" customHeight="1" x14ac:dyDescent="0.25">
      <c r="D684" s="715"/>
    </row>
    <row r="685" spans="4:4" ht="15" customHeight="1" x14ac:dyDescent="0.25">
      <c r="D685" s="715"/>
    </row>
    <row r="686" spans="4:4" ht="15" customHeight="1" x14ac:dyDescent="0.25">
      <c r="D686" s="715"/>
    </row>
    <row r="687" spans="4:4" ht="15" customHeight="1" x14ac:dyDescent="0.25">
      <c r="D687" s="715"/>
    </row>
    <row r="688" spans="4:4" ht="15" customHeight="1" x14ac:dyDescent="0.25">
      <c r="D688" s="715"/>
    </row>
    <row r="689" spans="4:4" ht="15" customHeight="1" x14ac:dyDescent="0.25">
      <c r="D689" s="715"/>
    </row>
    <row r="690" spans="4:4" ht="15" customHeight="1" x14ac:dyDescent="0.25">
      <c r="D690" s="715"/>
    </row>
    <row r="691" spans="4:4" ht="15" customHeight="1" x14ac:dyDescent="0.25">
      <c r="D691" s="715"/>
    </row>
    <row r="692" spans="4:4" ht="15" customHeight="1" x14ac:dyDescent="0.25">
      <c r="D692" s="715"/>
    </row>
    <row r="693" spans="4:4" ht="15" customHeight="1" x14ac:dyDescent="0.25">
      <c r="D693" s="715"/>
    </row>
    <row r="694" spans="4:4" ht="15" customHeight="1" x14ac:dyDescent="0.25">
      <c r="D694" s="715"/>
    </row>
    <row r="695" spans="4:4" ht="15" customHeight="1" x14ac:dyDescent="0.25">
      <c r="D695" s="715"/>
    </row>
    <row r="696" spans="4:4" ht="15" customHeight="1" x14ac:dyDescent="0.25">
      <c r="D696" s="715"/>
    </row>
    <row r="697" spans="4:4" ht="15" customHeight="1" x14ac:dyDescent="0.25">
      <c r="D697" s="715"/>
    </row>
    <row r="698" spans="4:4" ht="15" customHeight="1" x14ac:dyDescent="0.25">
      <c r="D698" s="715"/>
    </row>
    <row r="699" spans="4:4" ht="15" customHeight="1" x14ac:dyDescent="0.25">
      <c r="D699" s="715"/>
    </row>
    <row r="700" spans="4:4" ht="15" customHeight="1" x14ac:dyDescent="0.25">
      <c r="D700" s="715"/>
    </row>
    <row r="701" spans="4:4" ht="15" customHeight="1" x14ac:dyDescent="0.25">
      <c r="D701" s="715"/>
    </row>
    <row r="702" spans="4:4" ht="15" customHeight="1" x14ac:dyDescent="0.25">
      <c r="D702" s="715"/>
    </row>
    <row r="703" spans="4:4" ht="15" customHeight="1" x14ac:dyDescent="0.25">
      <c r="D703" s="715"/>
    </row>
    <row r="704" spans="4:4" ht="15" customHeight="1" x14ac:dyDescent="0.25">
      <c r="D704" s="715"/>
    </row>
    <row r="705" spans="4:4" ht="15" customHeight="1" x14ac:dyDescent="0.25">
      <c r="D705" s="715"/>
    </row>
    <row r="706" spans="4:4" ht="15" customHeight="1" x14ac:dyDescent="0.25">
      <c r="D706" s="715"/>
    </row>
    <row r="707" spans="4:4" ht="15" customHeight="1" x14ac:dyDescent="0.25">
      <c r="D707" s="715"/>
    </row>
    <row r="708" spans="4:4" ht="15" customHeight="1" x14ac:dyDescent="0.25">
      <c r="D708" s="715"/>
    </row>
    <row r="709" spans="4:4" ht="15" customHeight="1" x14ac:dyDescent="0.25">
      <c r="D709" s="715"/>
    </row>
    <row r="710" spans="4:4" ht="15" customHeight="1" x14ac:dyDescent="0.25">
      <c r="D710" s="715"/>
    </row>
    <row r="711" spans="4:4" ht="15" customHeight="1" x14ac:dyDescent="0.25">
      <c r="D711" s="715"/>
    </row>
    <row r="712" spans="4:4" ht="15" customHeight="1" x14ac:dyDescent="0.25">
      <c r="D712" s="715"/>
    </row>
    <row r="713" spans="4:4" ht="15" customHeight="1" x14ac:dyDescent="0.25">
      <c r="D713" s="715"/>
    </row>
    <row r="714" spans="4:4" ht="15" customHeight="1" x14ac:dyDescent="0.25">
      <c r="D714" s="715"/>
    </row>
    <row r="715" spans="4:4" ht="15" customHeight="1" x14ac:dyDescent="0.25">
      <c r="D715" s="715"/>
    </row>
    <row r="716" spans="4:4" ht="15" customHeight="1" x14ac:dyDescent="0.25">
      <c r="D716" s="715"/>
    </row>
    <row r="717" spans="4:4" ht="15" customHeight="1" x14ac:dyDescent="0.25">
      <c r="D717" s="715"/>
    </row>
    <row r="718" spans="4:4" ht="15" customHeight="1" x14ac:dyDescent="0.25">
      <c r="D718" s="715"/>
    </row>
    <row r="719" spans="4:4" ht="15" customHeight="1" x14ac:dyDescent="0.25">
      <c r="D719" s="715"/>
    </row>
    <row r="720" spans="4:4" ht="15" customHeight="1" x14ac:dyDescent="0.25">
      <c r="D720" s="715"/>
    </row>
    <row r="721" spans="4:4" ht="15" customHeight="1" x14ac:dyDescent="0.25">
      <c r="D721" s="715"/>
    </row>
    <row r="722" spans="4:4" ht="15" customHeight="1" x14ac:dyDescent="0.25">
      <c r="D722" s="715"/>
    </row>
    <row r="723" spans="4:4" ht="15" customHeight="1" x14ac:dyDescent="0.25">
      <c r="D723" s="715"/>
    </row>
    <row r="724" spans="4:4" ht="15" customHeight="1" x14ac:dyDescent="0.25">
      <c r="D724" s="715"/>
    </row>
    <row r="725" spans="4:4" ht="15" customHeight="1" x14ac:dyDescent="0.25">
      <c r="D725" s="715"/>
    </row>
    <row r="726" spans="4:4" ht="15" customHeight="1" x14ac:dyDescent="0.25">
      <c r="D726" s="715"/>
    </row>
    <row r="727" spans="4:4" ht="15" customHeight="1" x14ac:dyDescent="0.25">
      <c r="D727" s="715"/>
    </row>
    <row r="728" spans="4:4" ht="15" customHeight="1" x14ac:dyDescent="0.25">
      <c r="D728" s="715"/>
    </row>
    <row r="729" spans="4:4" ht="15" customHeight="1" x14ac:dyDescent="0.25">
      <c r="D729" s="715"/>
    </row>
    <row r="730" spans="4:4" ht="15" customHeight="1" x14ac:dyDescent="0.25">
      <c r="D730" s="715"/>
    </row>
    <row r="731" spans="4:4" ht="15" customHeight="1" x14ac:dyDescent="0.25">
      <c r="D731" s="715"/>
    </row>
    <row r="732" spans="4:4" ht="15" customHeight="1" x14ac:dyDescent="0.25">
      <c r="D732" s="715"/>
    </row>
    <row r="733" spans="4:4" ht="15" customHeight="1" x14ac:dyDescent="0.25">
      <c r="D733" s="715"/>
    </row>
    <row r="734" spans="4:4" ht="15" customHeight="1" x14ac:dyDescent="0.25">
      <c r="D734" s="715"/>
    </row>
    <row r="735" spans="4:4" ht="15" customHeight="1" x14ac:dyDescent="0.25">
      <c r="D735" s="715"/>
    </row>
    <row r="736" spans="4:4" ht="15" customHeight="1" x14ac:dyDescent="0.25">
      <c r="D736" s="715"/>
    </row>
    <row r="737" spans="4:4" ht="15" customHeight="1" x14ac:dyDescent="0.25">
      <c r="D737" s="715"/>
    </row>
    <row r="738" spans="4:4" ht="15" customHeight="1" x14ac:dyDescent="0.25">
      <c r="D738" s="715"/>
    </row>
    <row r="739" spans="4:4" ht="15" customHeight="1" x14ac:dyDescent="0.25">
      <c r="D739" s="715"/>
    </row>
    <row r="740" spans="4:4" ht="15" customHeight="1" x14ac:dyDescent="0.25">
      <c r="D740" s="715"/>
    </row>
    <row r="741" spans="4:4" ht="15" customHeight="1" x14ac:dyDescent="0.25">
      <c r="D741" s="715"/>
    </row>
    <row r="742" spans="4:4" ht="15" customHeight="1" x14ac:dyDescent="0.25">
      <c r="D742" s="715"/>
    </row>
    <row r="743" spans="4:4" ht="15" customHeight="1" x14ac:dyDescent="0.25">
      <c r="D743" s="715"/>
    </row>
    <row r="744" spans="4:4" ht="15" customHeight="1" x14ac:dyDescent="0.25">
      <c r="D744" s="715"/>
    </row>
    <row r="745" spans="4:4" ht="15" customHeight="1" x14ac:dyDescent="0.25">
      <c r="D745" s="715"/>
    </row>
    <row r="746" spans="4:4" ht="15" customHeight="1" x14ac:dyDescent="0.25">
      <c r="D746" s="715"/>
    </row>
    <row r="747" spans="4:4" ht="15" customHeight="1" x14ac:dyDescent="0.25">
      <c r="D747" s="715"/>
    </row>
    <row r="748" spans="4:4" ht="15" customHeight="1" x14ac:dyDescent="0.25">
      <c r="D748" s="715"/>
    </row>
    <row r="749" spans="4:4" ht="15" customHeight="1" x14ac:dyDescent="0.25">
      <c r="D749" s="715"/>
    </row>
    <row r="750" spans="4:4" ht="15" customHeight="1" x14ac:dyDescent="0.25">
      <c r="D750" s="715"/>
    </row>
    <row r="751" spans="4:4" ht="15" customHeight="1" x14ac:dyDescent="0.25">
      <c r="D751" s="715"/>
    </row>
    <row r="752" spans="4:4" ht="15" customHeight="1" x14ac:dyDescent="0.25">
      <c r="D752" s="715"/>
    </row>
    <row r="753" spans="4:4" ht="15" customHeight="1" x14ac:dyDescent="0.25">
      <c r="D753" s="715"/>
    </row>
    <row r="754" spans="4:4" ht="15" customHeight="1" x14ac:dyDescent="0.25">
      <c r="D754" s="715"/>
    </row>
    <row r="755" spans="4:4" ht="15" customHeight="1" x14ac:dyDescent="0.25">
      <c r="D755" s="715"/>
    </row>
    <row r="756" spans="4:4" ht="15" customHeight="1" x14ac:dyDescent="0.25">
      <c r="D756" s="715"/>
    </row>
    <row r="757" spans="4:4" ht="15" customHeight="1" x14ac:dyDescent="0.25">
      <c r="D757" s="715"/>
    </row>
    <row r="758" spans="4:4" ht="15" customHeight="1" x14ac:dyDescent="0.25">
      <c r="D758" s="715"/>
    </row>
    <row r="759" spans="4:4" ht="15" customHeight="1" x14ac:dyDescent="0.25">
      <c r="D759" s="715"/>
    </row>
    <row r="760" spans="4:4" ht="15" customHeight="1" x14ac:dyDescent="0.25">
      <c r="D760" s="715"/>
    </row>
    <row r="761" spans="4:4" ht="15" customHeight="1" x14ac:dyDescent="0.25">
      <c r="D761" s="715"/>
    </row>
    <row r="762" spans="4:4" ht="15" customHeight="1" x14ac:dyDescent="0.25">
      <c r="D762" s="715"/>
    </row>
    <row r="763" spans="4:4" ht="15" customHeight="1" x14ac:dyDescent="0.25">
      <c r="D763" s="715"/>
    </row>
    <row r="764" spans="4:4" ht="15" customHeight="1" x14ac:dyDescent="0.25">
      <c r="D764" s="715"/>
    </row>
    <row r="765" spans="4:4" ht="15" customHeight="1" x14ac:dyDescent="0.25">
      <c r="D765" s="715"/>
    </row>
    <row r="766" spans="4:4" ht="15" customHeight="1" x14ac:dyDescent="0.25">
      <c r="D766" s="715"/>
    </row>
    <row r="767" spans="4:4" ht="15" customHeight="1" x14ac:dyDescent="0.25">
      <c r="D767" s="715"/>
    </row>
    <row r="768" spans="4:4" ht="15" customHeight="1" x14ac:dyDescent="0.25">
      <c r="D768" s="715"/>
    </row>
    <row r="769" spans="4:4" ht="15" customHeight="1" x14ac:dyDescent="0.25">
      <c r="D769" s="715"/>
    </row>
    <row r="770" spans="4:4" ht="15" customHeight="1" x14ac:dyDescent="0.25">
      <c r="D770" s="715"/>
    </row>
    <row r="771" spans="4:4" ht="15" customHeight="1" x14ac:dyDescent="0.25">
      <c r="D771" s="715"/>
    </row>
    <row r="772" spans="4:4" ht="15" customHeight="1" x14ac:dyDescent="0.25">
      <c r="D772" s="715"/>
    </row>
    <row r="773" spans="4:4" ht="15" customHeight="1" x14ac:dyDescent="0.25">
      <c r="D773" s="715"/>
    </row>
    <row r="774" spans="4:4" ht="15" customHeight="1" x14ac:dyDescent="0.25">
      <c r="D774" s="715"/>
    </row>
    <row r="775" spans="4:4" ht="15" customHeight="1" x14ac:dyDescent="0.25">
      <c r="D775" s="715"/>
    </row>
    <row r="776" spans="4:4" ht="15" customHeight="1" x14ac:dyDescent="0.25">
      <c r="D776" s="715"/>
    </row>
    <row r="777" spans="4:4" ht="15" customHeight="1" x14ac:dyDescent="0.25">
      <c r="D777" s="715"/>
    </row>
    <row r="778" spans="4:4" ht="15" customHeight="1" x14ac:dyDescent="0.25">
      <c r="D778" s="715"/>
    </row>
    <row r="779" spans="4:4" ht="15" customHeight="1" x14ac:dyDescent="0.25">
      <c r="D779" s="715"/>
    </row>
    <row r="780" spans="4:4" ht="15" customHeight="1" x14ac:dyDescent="0.25">
      <c r="D780" s="715"/>
    </row>
    <row r="781" spans="4:4" ht="15" customHeight="1" x14ac:dyDescent="0.25">
      <c r="D781" s="715"/>
    </row>
    <row r="782" spans="4:4" ht="15" customHeight="1" x14ac:dyDescent="0.25">
      <c r="D782" s="715"/>
    </row>
    <row r="783" spans="4:4" ht="15" customHeight="1" x14ac:dyDescent="0.25">
      <c r="D783" s="715"/>
    </row>
    <row r="784" spans="4:4" ht="15" customHeight="1" x14ac:dyDescent="0.25">
      <c r="D784" s="715"/>
    </row>
    <row r="785" spans="4:4" ht="15" customHeight="1" x14ac:dyDescent="0.25">
      <c r="D785" s="715"/>
    </row>
    <row r="786" spans="4:4" ht="15" customHeight="1" x14ac:dyDescent="0.25">
      <c r="D786" s="715"/>
    </row>
    <row r="787" spans="4:4" ht="15" customHeight="1" x14ac:dyDescent="0.25">
      <c r="D787" s="715"/>
    </row>
    <row r="788" spans="4:4" ht="15" customHeight="1" x14ac:dyDescent="0.25">
      <c r="D788" s="715"/>
    </row>
    <row r="789" spans="4:4" ht="15" customHeight="1" x14ac:dyDescent="0.25">
      <c r="D789" s="715"/>
    </row>
    <row r="790" spans="4:4" ht="15" customHeight="1" x14ac:dyDescent="0.25">
      <c r="D790" s="715"/>
    </row>
    <row r="791" spans="4:4" ht="15" customHeight="1" x14ac:dyDescent="0.25">
      <c r="D791" s="715"/>
    </row>
    <row r="792" spans="4:4" ht="15" customHeight="1" x14ac:dyDescent="0.25">
      <c r="D792" s="715"/>
    </row>
    <row r="793" spans="4:4" ht="15" customHeight="1" x14ac:dyDescent="0.25">
      <c r="D793" s="715"/>
    </row>
    <row r="794" spans="4:4" ht="15" customHeight="1" x14ac:dyDescent="0.25">
      <c r="D794" s="715"/>
    </row>
    <row r="795" spans="4:4" ht="15" customHeight="1" x14ac:dyDescent="0.25">
      <c r="D795" s="715"/>
    </row>
    <row r="796" spans="4:4" ht="15" customHeight="1" x14ac:dyDescent="0.25">
      <c r="D796" s="715"/>
    </row>
    <row r="797" spans="4:4" ht="15" customHeight="1" x14ac:dyDescent="0.25">
      <c r="D797" s="715"/>
    </row>
    <row r="798" spans="4:4" ht="15" customHeight="1" x14ac:dyDescent="0.25">
      <c r="D798" s="715"/>
    </row>
    <row r="799" spans="4:4" ht="15" customHeight="1" x14ac:dyDescent="0.25">
      <c r="D799" s="715"/>
    </row>
    <row r="800" spans="4:4" ht="15" customHeight="1" x14ac:dyDescent="0.25">
      <c r="D800" s="715"/>
    </row>
    <row r="801" spans="4:4" ht="15" customHeight="1" x14ac:dyDescent="0.25">
      <c r="D801" s="715"/>
    </row>
    <row r="802" spans="4:4" ht="15" customHeight="1" x14ac:dyDescent="0.25">
      <c r="D802" s="715"/>
    </row>
    <row r="803" spans="4:4" ht="15" customHeight="1" x14ac:dyDescent="0.25">
      <c r="D803" s="715"/>
    </row>
    <row r="804" spans="4:4" ht="15" customHeight="1" x14ac:dyDescent="0.25">
      <c r="D804" s="715"/>
    </row>
    <row r="805" spans="4:4" ht="15" customHeight="1" x14ac:dyDescent="0.25">
      <c r="D805" s="715"/>
    </row>
    <row r="806" spans="4:4" ht="15" customHeight="1" x14ac:dyDescent="0.25">
      <c r="D806" s="715"/>
    </row>
    <row r="807" spans="4:4" ht="15" customHeight="1" x14ac:dyDescent="0.25">
      <c r="D807" s="715"/>
    </row>
    <row r="808" spans="4:4" ht="15" customHeight="1" x14ac:dyDescent="0.25">
      <c r="D808" s="715"/>
    </row>
    <row r="809" spans="4:4" ht="15" customHeight="1" x14ac:dyDescent="0.25">
      <c r="D809" s="715"/>
    </row>
    <row r="810" spans="4:4" ht="15" customHeight="1" x14ac:dyDescent="0.25">
      <c r="D810" s="715"/>
    </row>
    <row r="811" spans="4:4" ht="15" customHeight="1" x14ac:dyDescent="0.25">
      <c r="D811" s="715"/>
    </row>
    <row r="812" spans="4:4" ht="15" customHeight="1" x14ac:dyDescent="0.25">
      <c r="D812" s="715"/>
    </row>
    <row r="813" spans="4:4" ht="15" customHeight="1" x14ac:dyDescent="0.25">
      <c r="D813" s="715"/>
    </row>
    <row r="814" spans="4:4" ht="15" customHeight="1" x14ac:dyDescent="0.25">
      <c r="D814" s="715"/>
    </row>
    <row r="815" spans="4:4" ht="15" customHeight="1" x14ac:dyDescent="0.25">
      <c r="D815" s="715"/>
    </row>
    <row r="816" spans="4:4" ht="15" customHeight="1" x14ac:dyDescent="0.25">
      <c r="D816" s="715"/>
    </row>
    <row r="817" spans="4:4" ht="15" customHeight="1" x14ac:dyDescent="0.25">
      <c r="D817" s="715"/>
    </row>
    <row r="818" spans="4:4" ht="15" customHeight="1" x14ac:dyDescent="0.25">
      <c r="D818" s="715"/>
    </row>
    <row r="819" spans="4:4" ht="15" customHeight="1" x14ac:dyDescent="0.25">
      <c r="D819" s="715"/>
    </row>
    <row r="820" spans="4:4" ht="15" customHeight="1" x14ac:dyDescent="0.25">
      <c r="D820" s="715"/>
    </row>
    <row r="821" spans="4:4" ht="15" customHeight="1" x14ac:dyDescent="0.25">
      <c r="D821" s="715"/>
    </row>
    <row r="822" spans="4:4" ht="15" customHeight="1" x14ac:dyDescent="0.25">
      <c r="D822" s="715"/>
    </row>
    <row r="823" spans="4:4" ht="15" customHeight="1" x14ac:dyDescent="0.25">
      <c r="D823" s="715"/>
    </row>
    <row r="824" spans="4:4" ht="15" customHeight="1" x14ac:dyDescent="0.25">
      <c r="D824" s="715"/>
    </row>
    <row r="825" spans="4:4" ht="15" customHeight="1" x14ac:dyDescent="0.25">
      <c r="D825" s="715"/>
    </row>
    <row r="826" spans="4:4" ht="15" customHeight="1" x14ac:dyDescent="0.25">
      <c r="D826" s="715"/>
    </row>
    <row r="827" spans="4:4" ht="15" customHeight="1" x14ac:dyDescent="0.25">
      <c r="D827" s="715"/>
    </row>
    <row r="828" spans="4:4" ht="15" customHeight="1" x14ac:dyDescent="0.25">
      <c r="D828" s="715"/>
    </row>
    <row r="829" spans="4:4" ht="15" customHeight="1" x14ac:dyDescent="0.25">
      <c r="D829" s="715"/>
    </row>
    <row r="830" spans="4:4" ht="15" customHeight="1" x14ac:dyDescent="0.25">
      <c r="D830" s="715"/>
    </row>
    <row r="831" spans="4:4" ht="15" customHeight="1" x14ac:dyDescent="0.25">
      <c r="D831" s="715"/>
    </row>
    <row r="832" spans="4:4" ht="15" customHeight="1" x14ac:dyDescent="0.25">
      <c r="D832" s="715"/>
    </row>
    <row r="833" spans="4:4" ht="15" customHeight="1" x14ac:dyDescent="0.25">
      <c r="D833" s="715"/>
    </row>
    <row r="834" spans="4:4" ht="15" customHeight="1" x14ac:dyDescent="0.25">
      <c r="D834" s="715"/>
    </row>
    <row r="835" spans="4:4" ht="15" customHeight="1" x14ac:dyDescent="0.25">
      <c r="D835" s="715"/>
    </row>
    <row r="836" spans="4:4" ht="15" customHeight="1" x14ac:dyDescent="0.25">
      <c r="D836" s="715"/>
    </row>
    <row r="837" spans="4:4" ht="15" customHeight="1" x14ac:dyDescent="0.25">
      <c r="D837" s="715"/>
    </row>
    <row r="838" spans="4:4" ht="15" customHeight="1" x14ac:dyDescent="0.25">
      <c r="D838" s="715"/>
    </row>
    <row r="839" spans="4:4" ht="15" customHeight="1" x14ac:dyDescent="0.25">
      <c r="D839" s="715"/>
    </row>
    <row r="840" spans="4:4" ht="15" customHeight="1" x14ac:dyDescent="0.25">
      <c r="D840" s="715"/>
    </row>
    <row r="841" spans="4:4" ht="15" customHeight="1" x14ac:dyDescent="0.25">
      <c r="D841" s="715"/>
    </row>
    <row r="842" spans="4:4" ht="15" customHeight="1" x14ac:dyDescent="0.25">
      <c r="D842" s="715"/>
    </row>
    <row r="843" spans="4:4" ht="15" customHeight="1" x14ac:dyDescent="0.25">
      <c r="D843" s="715"/>
    </row>
    <row r="844" spans="4:4" ht="15" customHeight="1" x14ac:dyDescent="0.25">
      <c r="D844" s="715"/>
    </row>
    <row r="845" spans="4:4" ht="15" customHeight="1" x14ac:dyDescent="0.25">
      <c r="D845" s="715"/>
    </row>
    <row r="846" spans="4:4" ht="15" customHeight="1" x14ac:dyDescent="0.25">
      <c r="D846" s="715"/>
    </row>
    <row r="847" spans="4:4" ht="15" customHeight="1" x14ac:dyDescent="0.25">
      <c r="D847" s="715"/>
    </row>
    <row r="848" spans="4:4" ht="15" customHeight="1" x14ac:dyDescent="0.25">
      <c r="D848" s="715"/>
    </row>
    <row r="849" spans="4:4" ht="15" customHeight="1" x14ac:dyDescent="0.25">
      <c r="D849" s="715"/>
    </row>
    <row r="850" spans="4:4" ht="15" customHeight="1" x14ac:dyDescent="0.25">
      <c r="D850" s="715"/>
    </row>
    <row r="851" spans="4:4" ht="15" customHeight="1" x14ac:dyDescent="0.25">
      <c r="D851" s="715"/>
    </row>
    <row r="852" spans="4:4" ht="15" customHeight="1" x14ac:dyDescent="0.25">
      <c r="D852" s="715"/>
    </row>
    <row r="853" spans="4:4" ht="15" customHeight="1" x14ac:dyDescent="0.25">
      <c r="D853" s="715"/>
    </row>
    <row r="854" spans="4:4" ht="15" customHeight="1" x14ac:dyDescent="0.25">
      <c r="D854" s="715"/>
    </row>
    <row r="855" spans="4:4" ht="15" customHeight="1" x14ac:dyDescent="0.25">
      <c r="D855" s="715"/>
    </row>
    <row r="856" spans="4:4" ht="15" customHeight="1" x14ac:dyDescent="0.25">
      <c r="D856" s="715"/>
    </row>
    <row r="857" spans="4:4" ht="15" customHeight="1" x14ac:dyDescent="0.25">
      <c r="D857" s="715"/>
    </row>
    <row r="858" spans="4:4" ht="15" customHeight="1" x14ac:dyDescent="0.25">
      <c r="D858" s="715"/>
    </row>
    <row r="859" spans="4:4" ht="15" customHeight="1" x14ac:dyDescent="0.25">
      <c r="D859" s="715"/>
    </row>
    <row r="860" spans="4:4" ht="15" customHeight="1" x14ac:dyDescent="0.25">
      <c r="D860" s="715"/>
    </row>
    <row r="861" spans="4:4" ht="15" customHeight="1" x14ac:dyDescent="0.25">
      <c r="D861" s="715"/>
    </row>
    <row r="862" spans="4:4" ht="15" customHeight="1" x14ac:dyDescent="0.25">
      <c r="D862" s="715"/>
    </row>
    <row r="863" spans="4:4" ht="15" customHeight="1" x14ac:dyDescent="0.25">
      <c r="D863" s="715"/>
    </row>
    <row r="864" spans="4:4" ht="15" customHeight="1" x14ac:dyDescent="0.25">
      <c r="D864" s="715"/>
    </row>
    <row r="865" spans="4:4" ht="15" customHeight="1" x14ac:dyDescent="0.25">
      <c r="D865" s="715"/>
    </row>
    <row r="866" spans="4:4" ht="15" customHeight="1" x14ac:dyDescent="0.25">
      <c r="D866" s="715"/>
    </row>
    <row r="867" spans="4:4" ht="15" customHeight="1" x14ac:dyDescent="0.25">
      <c r="D867" s="715"/>
    </row>
    <row r="868" spans="4:4" ht="15" customHeight="1" x14ac:dyDescent="0.25">
      <c r="D868" s="715"/>
    </row>
    <row r="869" spans="4:4" ht="15" customHeight="1" x14ac:dyDescent="0.25">
      <c r="D869" s="715"/>
    </row>
    <row r="870" spans="4:4" ht="15" customHeight="1" x14ac:dyDescent="0.25">
      <c r="D870" s="715"/>
    </row>
    <row r="871" spans="4:4" ht="15" customHeight="1" x14ac:dyDescent="0.25">
      <c r="D871" s="715"/>
    </row>
    <row r="872" spans="4:4" ht="15" customHeight="1" x14ac:dyDescent="0.25">
      <c r="D872" s="715"/>
    </row>
    <row r="873" spans="4:4" ht="15" customHeight="1" x14ac:dyDescent="0.25">
      <c r="D873" s="715"/>
    </row>
    <row r="874" spans="4:4" ht="15" customHeight="1" x14ac:dyDescent="0.25">
      <c r="D874" s="715"/>
    </row>
    <row r="875" spans="4:4" ht="15" customHeight="1" x14ac:dyDescent="0.25">
      <c r="D875" s="715"/>
    </row>
    <row r="876" spans="4:4" ht="15" customHeight="1" x14ac:dyDescent="0.25">
      <c r="D876" s="715"/>
    </row>
    <row r="877" spans="4:4" ht="15" customHeight="1" x14ac:dyDescent="0.25">
      <c r="D877" s="715"/>
    </row>
    <row r="878" spans="4:4" ht="15" customHeight="1" x14ac:dyDescent="0.25">
      <c r="D878" s="715"/>
    </row>
    <row r="879" spans="4:4" ht="15" customHeight="1" x14ac:dyDescent="0.25">
      <c r="D879" s="715"/>
    </row>
    <row r="880" spans="4:4" ht="15" customHeight="1" x14ac:dyDescent="0.25">
      <c r="D880" s="715"/>
    </row>
    <row r="881" spans="4:4" ht="15" customHeight="1" x14ac:dyDescent="0.25">
      <c r="D881" s="715"/>
    </row>
    <row r="882" spans="4:4" ht="15" customHeight="1" x14ac:dyDescent="0.25">
      <c r="D882" s="715"/>
    </row>
    <row r="883" spans="4:4" ht="15" customHeight="1" x14ac:dyDescent="0.25">
      <c r="D883" s="715"/>
    </row>
    <row r="884" spans="4:4" ht="15" customHeight="1" x14ac:dyDescent="0.25">
      <c r="D884" s="715"/>
    </row>
    <row r="885" spans="4:4" ht="15" customHeight="1" x14ac:dyDescent="0.25">
      <c r="D885" s="715"/>
    </row>
    <row r="886" spans="4:4" ht="15" customHeight="1" x14ac:dyDescent="0.25">
      <c r="D886" s="715"/>
    </row>
    <row r="887" spans="4:4" ht="15" customHeight="1" x14ac:dyDescent="0.25">
      <c r="D887" s="715"/>
    </row>
    <row r="888" spans="4:4" ht="15" customHeight="1" x14ac:dyDescent="0.25">
      <c r="D888" s="715"/>
    </row>
    <row r="889" spans="4:4" ht="15" customHeight="1" x14ac:dyDescent="0.25">
      <c r="D889" s="715"/>
    </row>
    <row r="890" spans="4:4" ht="15" customHeight="1" x14ac:dyDescent="0.25">
      <c r="D890" s="715"/>
    </row>
    <row r="891" spans="4:4" ht="15" customHeight="1" x14ac:dyDescent="0.25">
      <c r="D891" s="715"/>
    </row>
    <row r="892" spans="4:4" ht="15" customHeight="1" x14ac:dyDescent="0.25">
      <c r="D892" s="715"/>
    </row>
    <row r="893" spans="4:4" ht="15" customHeight="1" x14ac:dyDescent="0.25">
      <c r="D893" s="715"/>
    </row>
    <row r="894" spans="4:4" ht="15" customHeight="1" x14ac:dyDescent="0.25">
      <c r="D894" s="715"/>
    </row>
    <row r="895" spans="4:4" ht="15" customHeight="1" x14ac:dyDescent="0.25">
      <c r="D895" s="715"/>
    </row>
    <row r="896" spans="4:4" ht="15" customHeight="1" x14ac:dyDescent="0.25">
      <c r="D896" s="715"/>
    </row>
    <row r="897" spans="4:4" ht="15" customHeight="1" x14ac:dyDescent="0.25">
      <c r="D897" s="715"/>
    </row>
    <row r="898" spans="4:4" ht="15" customHeight="1" x14ac:dyDescent="0.25">
      <c r="D898" s="715"/>
    </row>
    <row r="899" spans="4:4" ht="15" customHeight="1" x14ac:dyDescent="0.25">
      <c r="D899" s="715"/>
    </row>
    <row r="900" spans="4:4" ht="15" customHeight="1" x14ac:dyDescent="0.25">
      <c r="D900" s="715"/>
    </row>
    <row r="901" spans="4:4" ht="15" customHeight="1" x14ac:dyDescent="0.25">
      <c r="D901" s="715"/>
    </row>
    <row r="902" spans="4:4" ht="15" customHeight="1" x14ac:dyDescent="0.25">
      <c r="D902" s="715"/>
    </row>
    <row r="903" spans="4:4" ht="15" customHeight="1" x14ac:dyDescent="0.25">
      <c r="D903" s="715"/>
    </row>
    <row r="904" spans="4:4" ht="15" customHeight="1" x14ac:dyDescent="0.25">
      <c r="D904" s="715"/>
    </row>
    <row r="905" spans="4:4" ht="15" customHeight="1" x14ac:dyDescent="0.25">
      <c r="D905" s="715"/>
    </row>
    <row r="906" spans="4:4" ht="15" customHeight="1" x14ac:dyDescent="0.25">
      <c r="D906" s="715"/>
    </row>
    <row r="907" spans="4:4" ht="15" customHeight="1" x14ac:dyDescent="0.25">
      <c r="D907" s="715"/>
    </row>
    <row r="908" spans="4:4" ht="15" customHeight="1" x14ac:dyDescent="0.25">
      <c r="D908" s="715"/>
    </row>
    <row r="909" spans="4:4" ht="15" customHeight="1" x14ac:dyDescent="0.25">
      <c r="D909" s="715"/>
    </row>
    <row r="910" spans="4:4" ht="15" customHeight="1" x14ac:dyDescent="0.25">
      <c r="D910" s="715"/>
    </row>
    <row r="911" spans="4:4" ht="15" customHeight="1" x14ac:dyDescent="0.25">
      <c r="D911" s="715"/>
    </row>
    <row r="912" spans="4:4" ht="15" customHeight="1" x14ac:dyDescent="0.25">
      <c r="D912" s="715"/>
    </row>
    <row r="913" spans="4:4" ht="15" customHeight="1" x14ac:dyDescent="0.25">
      <c r="D913" s="715"/>
    </row>
    <row r="914" spans="4:4" ht="15" customHeight="1" x14ac:dyDescent="0.25">
      <c r="D914" s="715"/>
    </row>
    <row r="915" spans="4:4" ht="15" customHeight="1" x14ac:dyDescent="0.25">
      <c r="D915" s="715"/>
    </row>
    <row r="916" spans="4:4" ht="15" customHeight="1" x14ac:dyDescent="0.25">
      <c r="D916" s="715"/>
    </row>
    <row r="917" spans="4:4" ht="15" customHeight="1" x14ac:dyDescent="0.25">
      <c r="D917" s="715"/>
    </row>
    <row r="918" spans="4:4" ht="15" customHeight="1" x14ac:dyDescent="0.25">
      <c r="D918" s="715"/>
    </row>
    <row r="919" spans="4:4" ht="15" customHeight="1" x14ac:dyDescent="0.25">
      <c r="D919" s="715"/>
    </row>
    <row r="920" spans="4:4" ht="15" customHeight="1" x14ac:dyDescent="0.25">
      <c r="D920" s="715"/>
    </row>
    <row r="921" spans="4:4" ht="15" customHeight="1" x14ac:dyDescent="0.25">
      <c r="D921" s="715"/>
    </row>
    <row r="922" spans="4:4" ht="15" customHeight="1" x14ac:dyDescent="0.25">
      <c r="D922" s="715"/>
    </row>
    <row r="923" spans="4:4" ht="15" customHeight="1" x14ac:dyDescent="0.25">
      <c r="D923" s="715"/>
    </row>
    <row r="924" spans="4:4" ht="15" customHeight="1" x14ac:dyDescent="0.25">
      <c r="D924" s="715"/>
    </row>
    <row r="925" spans="4:4" ht="15" customHeight="1" x14ac:dyDescent="0.25">
      <c r="D925" s="715"/>
    </row>
    <row r="926" spans="4:4" ht="15" customHeight="1" x14ac:dyDescent="0.25">
      <c r="D926" s="715"/>
    </row>
    <row r="927" spans="4:4" ht="15" customHeight="1" x14ac:dyDescent="0.25">
      <c r="D927" s="715"/>
    </row>
    <row r="928" spans="4:4" ht="15" customHeight="1" x14ac:dyDescent="0.25">
      <c r="D928" s="715"/>
    </row>
    <row r="929" spans="4:4" ht="15" customHeight="1" x14ac:dyDescent="0.25">
      <c r="D929" s="715"/>
    </row>
    <row r="930" spans="4:4" ht="15" customHeight="1" x14ac:dyDescent="0.25">
      <c r="D930" s="715"/>
    </row>
    <row r="931" spans="4:4" ht="15" customHeight="1" x14ac:dyDescent="0.25">
      <c r="D931" s="715"/>
    </row>
    <row r="932" spans="4:4" ht="15" customHeight="1" x14ac:dyDescent="0.25">
      <c r="D932" s="715"/>
    </row>
    <row r="933" spans="4:4" ht="15" customHeight="1" x14ac:dyDescent="0.25">
      <c r="D933" s="715"/>
    </row>
    <row r="934" spans="4:4" ht="15" customHeight="1" x14ac:dyDescent="0.25">
      <c r="D934" s="715"/>
    </row>
    <row r="935" spans="4:4" ht="15" customHeight="1" x14ac:dyDescent="0.25">
      <c r="D935" s="715"/>
    </row>
    <row r="936" spans="4:4" ht="15" customHeight="1" x14ac:dyDescent="0.25">
      <c r="D936" s="715"/>
    </row>
    <row r="937" spans="4:4" ht="15" customHeight="1" x14ac:dyDescent="0.25">
      <c r="D937" s="715"/>
    </row>
    <row r="938" spans="4:4" ht="15" customHeight="1" x14ac:dyDescent="0.25">
      <c r="D938" s="715"/>
    </row>
    <row r="939" spans="4:4" ht="15" customHeight="1" x14ac:dyDescent="0.25">
      <c r="D939" s="715"/>
    </row>
    <row r="940" spans="4:4" ht="15" customHeight="1" x14ac:dyDescent="0.25">
      <c r="D940" s="715"/>
    </row>
    <row r="941" spans="4:4" ht="15" customHeight="1" x14ac:dyDescent="0.25">
      <c r="D941" s="715"/>
    </row>
    <row r="942" spans="4:4" ht="15" customHeight="1" x14ac:dyDescent="0.25">
      <c r="D942" s="715"/>
    </row>
    <row r="943" spans="4:4" ht="15" customHeight="1" x14ac:dyDescent="0.25">
      <c r="D943" s="715"/>
    </row>
    <row r="944" spans="4:4" ht="15" customHeight="1" x14ac:dyDescent="0.25">
      <c r="D944" s="715"/>
    </row>
    <row r="945" spans="4:4" ht="15" customHeight="1" x14ac:dyDescent="0.25">
      <c r="D945" s="715"/>
    </row>
    <row r="946" spans="4:4" ht="15" customHeight="1" x14ac:dyDescent="0.25">
      <c r="D946" s="715"/>
    </row>
    <row r="947" spans="4:4" ht="15" customHeight="1" x14ac:dyDescent="0.25">
      <c r="D947" s="715"/>
    </row>
    <row r="948" spans="4:4" ht="15" customHeight="1" x14ac:dyDescent="0.25">
      <c r="D948" s="715"/>
    </row>
    <row r="949" spans="4:4" ht="15" customHeight="1" x14ac:dyDescent="0.25">
      <c r="D949" s="715"/>
    </row>
    <row r="950" spans="4:4" ht="15" customHeight="1" x14ac:dyDescent="0.25">
      <c r="D950" s="715"/>
    </row>
    <row r="951" spans="4:4" ht="15" customHeight="1" x14ac:dyDescent="0.25">
      <c r="D951" s="715"/>
    </row>
    <row r="952" spans="4:4" ht="15" customHeight="1" x14ac:dyDescent="0.25">
      <c r="D952" s="715"/>
    </row>
    <row r="953" spans="4:4" ht="15" customHeight="1" x14ac:dyDescent="0.25">
      <c r="D953" s="715"/>
    </row>
    <row r="954" spans="4:4" ht="15" customHeight="1" x14ac:dyDescent="0.25">
      <c r="D954" s="715"/>
    </row>
    <row r="955" spans="4:4" ht="15" customHeight="1" x14ac:dyDescent="0.25">
      <c r="D955" s="715"/>
    </row>
    <row r="956" spans="4:4" ht="15" customHeight="1" x14ac:dyDescent="0.25">
      <c r="D956" s="715"/>
    </row>
    <row r="957" spans="4:4" ht="15" customHeight="1" x14ac:dyDescent="0.25">
      <c r="D957" s="715"/>
    </row>
    <row r="958" spans="4:4" ht="15" customHeight="1" x14ac:dyDescent="0.25">
      <c r="D958" s="715"/>
    </row>
    <row r="959" spans="4:4" ht="15" customHeight="1" x14ac:dyDescent="0.25">
      <c r="D959" s="715"/>
    </row>
    <row r="960" spans="4:4" ht="15" customHeight="1" x14ac:dyDescent="0.25">
      <c r="D960" s="715"/>
    </row>
    <row r="961" spans="4:4" ht="15" customHeight="1" x14ac:dyDescent="0.25">
      <c r="D961" s="715"/>
    </row>
    <row r="962" spans="4:4" ht="15" customHeight="1" x14ac:dyDescent="0.25">
      <c r="D962" s="715"/>
    </row>
    <row r="963" spans="4:4" ht="15" customHeight="1" x14ac:dyDescent="0.25">
      <c r="D963" s="715"/>
    </row>
    <row r="964" spans="4:4" ht="15" customHeight="1" x14ac:dyDescent="0.25">
      <c r="D964" s="715"/>
    </row>
    <row r="965" spans="4:4" ht="15" customHeight="1" x14ac:dyDescent="0.25">
      <c r="D965" s="715"/>
    </row>
    <row r="966" spans="4:4" ht="15" customHeight="1" x14ac:dyDescent="0.25">
      <c r="D966" s="715"/>
    </row>
    <row r="967" spans="4:4" ht="15" customHeight="1" x14ac:dyDescent="0.25">
      <c r="D967" s="715"/>
    </row>
    <row r="968" spans="4:4" ht="15" customHeight="1" x14ac:dyDescent="0.25">
      <c r="D968" s="715"/>
    </row>
    <row r="969" spans="4:4" ht="15" customHeight="1" x14ac:dyDescent="0.25">
      <c r="D969" s="715"/>
    </row>
    <row r="970" spans="4:4" ht="15" customHeight="1" x14ac:dyDescent="0.25">
      <c r="D970" s="715"/>
    </row>
    <row r="971" spans="4:4" ht="15" customHeight="1" x14ac:dyDescent="0.25">
      <c r="D971" s="715"/>
    </row>
    <row r="972" spans="4:4" ht="15" customHeight="1" x14ac:dyDescent="0.25">
      <c r="D972" s="715"/>
    </row>
    <row r="973" spans="4:4" ht="15" customHeight="1" x14ac:dyDescent="0.25">
      <c r="D973" s="715"/>
    </row>
    <row r="974" spans="4:4" ht="15" customHeight="1" x14ac:dyDescent="0.25">
      <c r="D974" s="715"/>
    </row>
    <row r="975" spans="4:4" ht="15" customHeight="1" x14ac:dyDescent="0.25">
      <c r="D975" s="715"/>
    </row>
    <row r="976" spans="4:4" ht="15" customHeight="1" x14ac:dyDescent="0.25">
      <c r="D976" s="715"/>
    </row>
    <row r="977" spans="4:4" ht="15" customHeight="1" x14ac:dyDescent="0.25">
      <c r="D977" s="715"/>
    </row>
    <row r="978" spans="4:4" ht="15" customHeight="1" x14ac:dyDescent="0.25">
      <c r="D978" s="715"/>
    </row>
    <row r="979" spans="4:4" ht="15" customHeight="1" x14ac:dyDescent="0.25">
      <c r="D979" s="715"/>
    </row>
    <row r="980" spans="4:4" ht="15" customHeight="1" x14ac:dyDescent="0.25">
      <c r="D980" s="715"/>
    </row>
    <row r="981" spans="4:4" ht="15" customHeight="1" x14ac:dyDescent="0.25">
      <c r="D981" s="715"/>
    </row>
    <row r="982" spans="4:4" ht="15" customHeight="1" x14ac:dyDescent="0.25">
      <c r="D982" s="715"/>
    </row>
    <row r="983" spans="4:4" ht="15" customHeight="1" x14ac:dyDescent="0.25">
      <c r="D983" s="715"/>
    </row>
    <row r="984" spans="4:4" ht="15" customHeight="1" x14ac:dyDescent="0.25">
      <c r="D984" s="715"/>
    </row>
    <row r="985" spans="4:4" ht="15" customHeight="1" x14ac:dyDescent="0.25">
      <c r="D985" s="715"/>
    </row>
    <row r="986" spans="4:4" ht="15" customHeight="1" x14ac:dyDescent="0.25">
      <c r="D986" s="715"/>
    </row>
    <row r="987" spans="4:4" ht="15" customHeight="1" x14ac:dyDescent="0.25">
      <c r="D987" s="715"/>
    </row>
    <row r="988" spans="4:4" ht="15" customHeight="1" x14ac:dyDescent="0.25">
      <c r="D988" s="715"/>
    </row>
    <row r="989" spans="4:4" ht="15" customHeight="1" x14ac:dyDescent="0.25">
      <c r="D989" s="715"/>
    </row>
    <row r="990" spans="4:4" ht="15" customHeight="1" x14ac:dyDescent="0.25">
      <c r="D990" s="715"/>
    </row>
    <row r="991" spans="4:4" ht="15" customHeight="1" x14ac:dyDescent="0.25">
      <c r="D991" s="715"/>
    </row>
    <row r="992" spans="4:4" ht="15" customHeight="1" x14ac:dyDescent="0.25">
      <c r="D992" s="715"/>
    </row>
    <row r="993" spans="4:4" ht="15" customHeight="1" x14ac:dyDescent="0.25">
      <c r="D993" s="715"/>
    </row>
    <row r="994" spans="4:4" ht="15" customHeight="1" x14ac:dyDescent="0.25">
      <c r="D994" s="715"/>
    </row>
  </sheetData>
  <customSheetViews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4">
    <mergeCell ref="A1:B1"/>
    <mergeCell ref="A4:B4"/>
    <mergeCell ref="A62:B62"/>
    <mergeCell ref="A2:E2"/>
  </mergeCells>
  <phoneticPr fontId="0" type="noConversion"/>
  <printOptions horizontalCentered="1" verticalCentered="1"/>
  <pageMargins left="0" right="0" top="0" bottom="0" header="0.51181102362204722" footer="0.51181102362204722"/>
  <pageSetup paperSize="9" scale="42" fitToHeight="0" orientation="portrait" r:id="rId3"/>
  <headerFooter alignWithMargins="0">
    <oddHeader xml:space="preserve">&amp;R&amp;"Times New Roman CE,Félkövér"&amp;20 18. melléklet a 12/2017. (V.3.) önkormányzati rendelethez
"18. melléklet a 4/2017. (III.7.) önkormányzati rendelethez”
</oddHeader>
  </headerFooter>
  <rowBreaks count="1" manualBreakCount="1">
    <brk id="61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76" zoomScaleNormal="76" workbookViewId="0">
      <selection activeCell="M348" sqref="M348"/>
    </sheetView>
  </sheetViews>
  <sheetFormatPr defaultRowHeight="15" x14ac:dyDescent="0.2"/>
  <cols>
    <col min="1" max="1" width="102.83203125" style="586" customWidth="1"/>
    <col min="2" max="2" width="23.83203125" style="586" bestFit="1" customWidth="1"/>
    <col min="3" max="14" width="20.83203125" style="586" customWidth="1"/>
    <col min="15" max="15" width="9.33203125" style="586"/>
    <col min="16" max="16" width="18.1640625" style="587" bestFit="1" customWidth="1"/>
    <col min="17" max="16384" width="9.33203125" style="586"/>
  </cols>
  <sheetData>
    <row r="1" spans="1:16" s="658" customFormat="1" ht="20.25" x14ac:dyDescent="0.3">
      <c r="A1" s="656" t="s">
        <v>661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P1" s="659"/>
    </row>
    <row r="2" spans="1:16" s="658" customFormat="1" ht="15.75" x14ac:dyDescent="0.25">
      <c r="A2" s="1257"/>
      <c r="B2" s="1257"/>
      <c r="P2" s="659"/>
    </row>
    <row r="3" spans="1:16" s="658" customFormat="1" ht="15.75" thickBot="1" x14ac:dyDescent="0.25">
      <c r="P3" s="659"/>
    </row>
    <row r="4" spans="1:16" s="658" customFormat="1" ht="20.100000000000001" customHeight="1" x14ac:dyDescent="0.25">
      <c r="A4" s="612" t="s">
        <v>413</v>
      </c>
      <c r="B4" s="660" t="s">
        <v>455</v>
      </c>
      <c r="C4" s="660" t="s">
        <v>350</v>
      </c>
      <c r="D4" s="660" t="s">
        <v>351</v>
      </c>
      <c r="E4" s="660" t="s">
        <v>352</v>
      </c>
      <c r="F4" s="660" t="s">
        <v>353</v>
      </c>
      <c r="G4" s="660" t="s">
        <v>355</v>
      </c>
      <c r="H4" s="660" t="s">
        <v>356</v>
      </c>
      <c r="I4" s="660" t="s">
        <v>357</v>
      </c>
      <c r="J4" s="660" t="s">
        <v>358</v>
      </c>
      <c r="K4" s="660" t="s">
        <v>433</v>
      </c>
      <c r="L4" s="660" t="s">
        <v>434</v>
      </c>
      <c r="M4" s="660" t="s">
        <v>435</v>
      </c>
      <c r="N4" s="660" t="s">
        <v>436</v>
      </c>
      <c r="P4" s="659"/>
    </row>
    <row r="5" spans="1:16" s="658" customFormat="1" ht="20.100000000000001" customHeight="1" x14ac:dyDescent="0.2">
      <c r="A5" s="661"/>
      <c r="B5" s="662"/>
      <c r="C5" s="662"/>
      <c r="D5" s="662"/>
      <c r="E5" s="662"/>
      <c r="F5" s="662"/>
      <c r="G5" s="662"/>
      <c r="H5" s="662"/>
      <c r="I5" s="662"/>
      <c r="J5" s="662"/>
      <c r="K5" s="662"/>
      <c r="L5" s="662"/>
      <c r="M5" s="662"/>
      <c r="N5" s="662"/>
      <c r="P5" s="659"/>
    </row>
    <row r="6" spans="1:16" s="658" customFormat="1" ht="67.5" customHeight="1" thickBot="1" x14ac:dyDescent="0.25">
      <c r="A6" s="663"/>
      <c r="B6" s="605" t="s">
        <v>456</v>
      </c>
      <c r="C6" s="605" t="s">
        <v>457</v>
      </c>
      <c r="D6" s="605" t="s">
        <v>457</v>
      </c>
      <c r="E6" s="605" t="s">
        <v>457</v>
      </c>
      <c r="F6" s="605" t="s">
        <v>457</v>
      </c>
      <c r="G6" s="605" t="s">
        <v>457</v>
      </c>
      <c r="H6" s="605" t="s">
        <v>457</v>
      </c>
      <c r="I6" s="605" t="s">
        <v>457</v>
      </c>
      <c r="J6" s="605" t="s">
        <v>457</v>
      </c>
      <c r="K6" s="605" t="s">
        <v>457</v>
      </c>
      <c r="L6" s="605" t="s">
        <v>457</v>
      </c>
      <c r="M6" s="605" t="s">
        <v>457</v>
      </c>
      <c r="N6" s="605" t="s">
        <v>457</v>
      </c>
      <c r="P6" s="659"/>
    </row>
    <row r="7" spans="1:16" s="635" customFormat="1" ht="24" customHeight="1" x14ac:dyDescent="0.25">
      <c r="A7" s="664" t="s">
        <v>458</v>
      </c>
      <c r="B7" s="665">
        <f>'1 kiemelt ei. '!G13</f>
        <v>18000795</v>
      </c>
      <c r="C7" s="666">
        <v>539951</v>
      </c>
      <c r="D7" s="666">
        <v>539951</v>
      </c>
      <c r="E7" s="666">
        <v>3589549</v>
      </c>
      <c r="F7" s="666">
        <v>776966</v>
      </c>
      <c r="G7" s="666">
        <v>727456</v>
      </c>
      <c r="H7" s="666">
        <v>1402939</v>
      </c>
      <c r="I7" s="666">
        <v>539951</v>
      </c>
      <c r="J7" s="666">
        <f>719029+400000</f>
        <v>1119029</v>
      </c>
      <c r="K7" s="666">
        <v>4292168</v>
      </c>
      <c r="L7" s="666">
        <f>1226400+100000</f>
        <v>1326400</v>
      </c>
      <c r="M7" s="666">
        <f>1039951+300000</f>
        <v>1339951</v>
      </c>
      <c r="N7" s="666">
        <f>1673411+133073</f>
        <v>1806484</v>
      </c>
      <c r="P7" s="667">
        <f>SUM(C7:N7)-B7</f>
        <v>0</v>
      </c>
    </row>
    <row r="8" spans="1:16" s="635" customFormat="1" ht="24" customHeight="1" thickBot="1" x14ac:dyDescent="0.3">
      <c r="A8" s="668" t="s">
        <v>459</v>
      </c>
      <c r="B8" s="669">
        <f>'1 kiemelt ei. '!G17</f>
        <v>3583764</v>
      </c>
      <c r="C8" s="669"/>
      <c r="D8" s="669"/>
      <c r="E8" s="669"/>
      <c r="F8" s="669"/>
      <c r="G8" s="669"/>
      <c r="H8" s="669"/>
      <c r="I8" s="669">
        <v>100000</v>
      </c>
      <c r="J8" s="669">
        <v>100000</v>
      </c>
      <c r="K8" s="669">
        <v>100000</v>
      </c>
      <c r="L8" s="669">
        <v>100000</v>
      </c>
      <c r="M8" s="669"/>
      <c r="N8" s="669">
        <f>184990+2998774</f>
        <v>3183764</v>
      </c>
      <c r="P8" s="667">
        <f>SUM(C8:N8)-B8</f>
        <v>0</v>
      </c>
    </row>
    <row r="9" spans="1:16" s="635" customFormat="1" ht="24" customHeight="1" thickBot="1" x14ac:dyDescent="0.3">
      <c r="A9" s="638" t="s">
        <v>460</v>
      </c>
      <c r="B9" s="670">
        <f t="shared" ref="B9:N9" si="0">+B7+B8</f>
        <v>21584559</v>
      </c>
      <c r="C9" s="670">
        <f t="shared" si="0"/>
        <v>539951</v>
      </c>
      <c r="D9" s="670">
        <f t="shared" si="0"/>
        <v>539951</v>
      </c>
      <c r="E9" s="670">
        <f t="shared" si="0"/>
        <v>3589549</v>
      </c>
      <c r="F9" s="670">
        <f t="shared" si="0"/>
        <v>776966</v>
      </c>
      <c r="G9" s="670">
        <f t="shared" si="0"/>
        <v>727456</v>
      </c>
      <c r="H9" s="670">
        <f t="shared" si="0"/>
        <v>1402939</v>
      </c>
      <c r="I9" s="670">
        <f t="shared" si="0"/>
        <v>639951</v>
      </c>
      <c r="J9" s="670">
        <f t="shared" si="0"/>
        <v>1219029</v>
      </c>
      <c r="K9" s="670">
        <f t="shared" si="0"/>
        <v>4392168</v>
      </c>
      <c r="L9" s="670">
        <f t="shared" si="0"/>
        <v>1426400</v>
      </c>
      <c r="M9" s="670">
        <f t="shared" si="0"/>
        <v>1339951</v>
      </c>
      <c r="N9" s="670">
        <f t="shared" si="0"/>
        <v>4990248</v>
      </c>
      <c r="P9" s="667">
        <f>SUM(C9:N9)-B9</f>
        <v>0</v>
      </c>
    </row>
    <row r="10" spans="1:16" s="658" customFormat="1" ht="49.5" customHeight="1" thickBot="1" x14ac:dyDescent="0.3">
      <c r="A10" s="671" t="s">
        <v>461</v>
      </c>
      <c r="B10" s="672">
        <f>'1 kiemelt ei. '!G19</f>
        <v>11504211</v>
      </c>
      <c r="C10" s="673"/>
      <c r="D10" s="673"/>
      <c r="E10" s="673"/>
      <c r="F10" s="673">
        <v>11504211</v>
      </c>
      <c r="G10" s="673"/>
      <c r="H10" s="673"/>
      <c r="I10" s="673"/>
      <c r="J10" s="673"/>
      <c r="K10" s="673"/>
      <c r="L10" s="673"/>
      <c r="M10" s="673"/>
      <c r="N10" s="673"/>
      <c r="P10" s="667">
        <f>SUM(C10:N10)-B10</f>
        <v>0</v>
      </c>
    </row>
    <row r="11" spans="1:16" s="635" customFormat="1" ht="24" customHeight="1" thickBot="1" x14ac:dyDescent="0.3">
      <c r="A11" s="630" t="s">
        <v>462</v>
      </c>
      <c r="B11" s="670">
        <f>+B9+B10</f>
        <v>33088770</v>
      </c>
      <c r="C11" s="670">
        <f t="shared" ref="C11:N11" si="1">+C9+C10</f>
        <v>539951</v>
      </c>
      <c r="D11" s="670">
        <f t="shared" si="1"/>
        <v>539951</v>
      </c>
      <c r="E11" s="670">
        <f t="shared" si="1"/>
        <v>3589549</v>
      </c>
      <c r="F11" s="670">
        <f t="shared" si="1"/>
        <v>12281177</v>
      </c>
      <c r="G11" s="670">
        <f t="shared" si="1"/>
        <v>727456</v>
      </c>
      <c r="H11" s="670">
        <f t="shared" si="1"/>
        <v>1402939</v>
      </c>
      <c r="I11" s="670">
        <f t="shared" si="1"/>
        <v>639951</v>
      </c>
      <c r="J11" s="670">
        <f t="shared" si="1"/>
        <v>1219029</v>
      </c>
      <c r="K11" s="670">
        <f t="shared" si="1"/>
        <v>4392168</v>
      </c>
      <c r="L11" s="670">
        <f t="shared" si="1"/>
        <v>1426400</v>
      </c>
      <c r="M11" s="670">
        <f t="shared" si="1"/>
        <v>1339951</v>
      </c>
      <c r="N11" s="670">
        <f t="shared" si="1"/>
        <v>4990248</v>
      </c>
      <c r="P11" s="667">
        <f>SUM(C11:N11)-B11</f>
        <v>0</v>
      </c>
    </row>
    <row r="12" spans="1:16" s="658" customFormat="1" ht="24" customHeight="1" x14ac:dyDescent="0.2">
      <c r="P12" s="659"/>
    </row>
    <row r="13" spans="1:16" s="658" customFormat="1" x14ac:dyDescent="0.2">
      <c r="B13" s="674">
        <f>B11-'2 mérleg'!F58</f>
        <v>0</v>
      </c>
      <c r="P13" s="659"/>
    </row>
    <row r="14" spans="1:16" s="658" customFormat="1" x14ac:dyDescent="0.2">
      <c r="P14" s="659"/>
    </row>
    <row r="15" spans="1:16" s="658" customFormat="1" x14ac:dyDescent="0.2">
      <c r="P15" s="659"/>
    </row>
    <row r="16" spans="1:16" s="658" customFormat="1" x14ac:dyDescent="0.2">
      <c r="C16" s="803"/>
      <c r="D16" s="803"/>
      <c r="E16" s="803"/>
      <c r="F16" s="803"/>
      <c r="G16" s="803"/>
      <c r="H16" s="803"/>
      <c r="I16" s="803"/>
      <c r="J16" s="803"/>
      <c r="K16" s="803"/>
      <c r="L16" s="803"/>
      <c r="M16" s="803"/>
      <c r="N16" s="803"/>
      <c r="P16" s="659"/>
    </row>
    <row r="17" spans="2:16" s="658" customFormat="1" x14ac:dyDescent="0.2">
      <c r="P17" s="659"/>
    </row>
    <row r="18" spans="2:16" s="658" customFormat="1" x14ac:dyDescent="0.2">
      <c r="B18" s="659"/>
      <c r="C18" s="659"/>
      <c r="P18" s="659"/>
    </row>
    <row r="19" spans="2:16" s="658" customFormat="1" x14ac:dyDescent="0.2">
      <c r="P19" s="659"/>
    </row>
    <row r="20" spans="2:16" s="658" customFormat="1" x14ac:dyDescent="0.2">
      <c r="P20" s="659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0" orientation="landscape" r:id="rId1"/>
  <headerFooter alignWithMargins="0">
    <oddHeader xml:space="preserve">&amp;L&amp;F&amp;A&amp;R&amp;"Times New Roman CE,Félkövér"&amp;12 19. melléklet a 12/2017. (V.3.) önkormányzati rendelethez
"19. melléklet a 4/2017. (III.7.) önkormányzati rendelethez”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2:K58"/>
  <sheetViews>
    <sheetView zoomScale="75" zoomScaleNormal="75" workbookViewId="0">
      <selection activeCell="Y24" sqref="Y24"/>
    </sheetView>
  </sheetViews>
  <sheetFormatPr defaultRowHeight="15" customHeight="1" x14ac:dyDescent="0.25"/>
  <cols>
    <col min="1" max="1" width="3.1640625" style="46" customWidth="1"/>
    <col min="2" max="2" width="5" style="46" customWidth="1"/>
    <col min="3" max="3" width="104" style="46" bestFit="1" customWidth="1"/>
    <col min="4" max="6" width="32.6640625" style="46" customWidth="1"/>
    <col min="7" max="7" width="8.5" style="46" customWidth="1"/>
    <col min="8" max="8" width="116.1640625" style="46" customWidth="1"/>
    <col min="9" max="11" width="37" style="46" customWidth="1"/>
    <col min="12" max="16384" width="9.33203125" style="46"/>
  </cols>
  <sheetData>
    <row r="2" spans="1:11" ht="18.75" customHeight="1" x14ac:dyDescent="0.25">
      <c r="A2" s="1185" t="s">
        <v>385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</row>
    <row r="3" spans="1:11" ht="15" customHeight="1" thickBot="1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535" t="s">
        <v>419</v>
      </c>
    </row>
    <row r="4" spans="1:11" ht="18" x14ac:dyDescent="0.25">
      <c r="A4" s="62"/>
      <c r="B4" s="56" t="s">
        <v>26</v>
      </c>
      <c r="C4" s="56"/>
      <c r="D4" s="439" t="s">
        <v>542</v>
      </c>
      <c r="E4" s="439" t="s">
        <v>677</v>
      </c>
      <c r="F4" s="439" t="s">
        <v>752</v>
      </c>
      <c r="G4" s="56" t="s">
        <v>27</v>
      </c>
      <c r="H4" s="514"/>
      <c r="I4" s="439" t="s">
        <v>542</v>
      </c>
      <c r="J4" s="439" t="s">
        <v>677</v>
      </c>
      <c r="K4" s="439" t="s">
        <v>752</v>
      </c>
    </row>
    <row r="5" spans="1:11" ht="18" x14ac:dyDescent="0.25">
      <c r="A5" s="167"/>
      <c r="B5" s="58"/>
      <c r="C5" s="58"/>
      <c r="D5" s="654" t="s">
        <v>159</v>
      </c>
      <c r="E5" s="654" t="s">
        <v>678</v>
      </c>
      <c r="F5" s="654" t="s">
        <v>751</v>
      </c>
      <c r="G5" s="58"/>
      <c r="H5" s="57"/>
      <c r="I5" s="654" t="s">
        <v>159</v>
      </c>
      <c r="J5" s="654" t="s">
        <v>678</v>
      </c>
      <c r="K5" s="654" t="s">
        <v>751</v>
      </c>
    </row>
    <row r="6" spans="1:11" ht="18.75" thickBot="1" x14ac:dyDescent="0.3">
      <c r="A6" s="63"/>
      <c r="B6" s="64"/>
      <c r="C6" s="64"/>
      <c r="D6" s="322"/>
      <c r="E6" s="794"/>
      <c r="F6" s="794" t="s">
        <v>541</v>
      </c>
      <c r="G6" s="495"/>
      <c r="H6" s="515"/>
      <c r="I6" s="322"/>
      <c r="J6" s="794"/>
      <c r="K6" s="794" t="s">
        <v>541</v>
      </c>
    </row>
    <row r="7" spans="1:11" ht="20.25" x14ac:dyDescent="0.3">
      <c r="A7" s="347" t="s">
        <v>202</v>
      </c>
      <c r="B7" s="348"/>
      <c r="C7" s="348"/>
      <c r="D7" s="349">
        <f>'3 működési bevételek'!G47</f>
        <v>3174959</v>
      </c>
      <c r="E7" s="349">
        <f>'3 működési bevételek'!H47</f>
        <v>136170</v>
      </c>
      <c r="F7" s="349">
        <f>'3 működési bevételek'!I47</f>
        <v>3311129</v>
      </c>
      <c r="G7" s="499" t="s">
        <v>406</v>
      </c>
      <c r="H7" s="516"/>
      <c r="I7" s="345">
        <f>+'8 oktatás'!C32+'8 oktatás'!C9</f>
        <v>3284192</v>
      </c>
      <c r="J7" s="345">
        <f>+'8 oktatás'!D32+'8 oktatás'!D9</f>
        <v>177005</v>
      </c>
      <c r="K7" s="345">
        <f>+'8 oktatás'!E32+'8 oktatás'!E9</f>
        <v>3461197</v>
      </c>
    </row>
    <row r="8" spans="1:11" ht="20.25" x14ac:dyDescent="0.3">
      <c r="A8" s="323" t="s">
        <v>373</v>
      </c>
      <c r="B8" s="296"/>
      <c r="C8" s="296"/>
      <c r="D8" s="175">
        <f>'3 működési bevételek'!G61</f>
        <v>9723200</v>
      </c>
      <c r="E8" s="175">
        <f>'3 működési bevételek'!H61</f>
        <v>0</v>
      </c>
      <c r="F8" s="175">
        <f>'3 működési bevételek'!I61</f>
        <v>9723200</v>
      </c>
      <c r="G8" s="433" t="s">
        <v>181</v>
      </c>
      <c r="H8" s="517"/>
      <c r="I8" s="324">
        <f>+'9 kultúra'!C93</f>
        <v>2199363</v>
      </c>
      <c r="J8" s="324">
        <f>+'9 kultúra'!D93</f>
        <v>375753</v>
      </c>
      <c r="K8" s="324">
        <f>+'9 kultúra'!E93</f>
        <v>2575116</v>
      </c>
    </row>
    <row r="9" spans="1:11" ht="20.25" x14ac:dyDescent="0.3">
      <c r="A9" s="178" t="s">
        <v>110</v>
      </c>
      <c r="B9" s="179"/>
      <c r="C9" s="179"/>
      <c r="D9" s="162">
        <f>'3 működési bevételek'!G89</f>
        <v>1588190</v>
      </c>
      <c r="E9" s="162">
        <f>'3 működési bevételek'!H89</f>
        <v>437301</v>
      </c>
      <c r="F9" s="162">
        <f>'3 működési bevételek'!I89</f>
        <v>2025491</v>
      </c>
      <c r="G9" s="181" t="s">
        <v>308</v>
      </c>
      <c r="H9" s="518"/>
      <c r="I9" s="262">
        <f>'10 szociális'!C32</f>
        <v>1006464</v>
      </c>
      <c r="J9" s="262">
        <f>'10 szociális'!D32</f>
        <v>99451</v>
      </c>
      <c r="K9" s="262">
        <f>'10 szociális'!E32</f>
        <v>1105915</v>
      </c>
    </row>
    <row r="10" spans="1:11" ht="20.25" x14ac:dyDescent="0.3">
      <c r="A10" s="178" t="s">
        <v>203</v>
      </c>
      <c r="B10" s="179"/>
      <c r="C10" s="179"/>
      <c r="D10" s="162">
        <f>'3 működési bevételek'!G96</f>
        <v>120000</v>
      </c>
      <c r="E10" s="162">
        <f>'3 működési bevételek'!H96</f>
        <v>20000</v>
      </c>
      <c r="F10" s="162">
        <f>'3 működési bevételek'!I96</f>
        <v>140000</v>
      </c>
      <c r="G10" s="181" t="s">
        <v>298</v>
      </c>
      <c r="H10" s="518"/>
      <c r="I10" s="262">
        <f>'11 egészségügy'!C26</f>
        <v>582487</v>
      </c>
      <c r="J10" s="262">
        <f>'11 egészségügy'!D26</f>
        <v>37801</v>
      </c>
      <c r="K10" s="262">
        <f>'11 egészségügy'!E26</f>
        <v>620288</v>
      </c>
    </row>
    <row r="11" spans="1:11" ht="20.25" x14ac:dyDescent="0.3">
      <c r="A11" s="178" t="s">
        <v>160</v>
      </c>
      <c r="B11" s="179"/>
      <c r="C11" s="179"/>
      <c r="D11" s="162">
        <f>'3 működési bevételek'!G112</f>
        <v>1461371</v>
      </c>
      <c r="E11" s="162">
        <f>'3 működési bevételek'!H112</f>
        <v>1395</v>
      </c>
      <c r="F11" s="162">
        <f>'3 működési bevételek'!I112</f>
        <v>1462766</v>
      </c>
      <c r="G11" s="181" t="s">
        <v>268</v>
      </c>
      <c r="H11" s="518"/>
      <c r="I11" s="262">
        <f>'12 gyermek és ifj.véd.'!C15</f>
        <v>653419</v>
      </c>
      <c r="J11" s="262">
        <f>'12 gyermek és ifj.véd.'!D15</f>
        <v>23894</v>
      </c>
      <c r="K11" s="262">
        <f>'12 gyermek és ifj.véd.'!E15</f>
        <v>677313</v>
      </c>
    </row>
    <row r="12" spans="1:11" ht="20.25" x14ac:dyDescent="0.3">
      <c r="A12" s="70"/>
      <c r="B12" s="57"/>
      <c r="C12" s="57"/>
      <c r="D12" s="161"/>
      <c r="E12" s="161"/>
      <c r="F12" s="161"/>
      <c r="G12" s="181" t="s">
        <v>344</v>
      </c>
      <c r="H12" s="519"/>
      <c r="I12" s="251">
        <f>'13 egyéb'!C88</f>
        <v>5105185</v>
      </c>
      <c r="J12" s="251">
        <f>'13 egyéb'!D88</f>
        <v>661327</v>
      </c>
      <c r="K12" s="251">
        <f>'13 egyéb'!E88</f>
        <v>5766512</v>
      </c>
    </row>
    <row r="13" spans="1:11" ht="20.25" x14ac:dyDescent="0.3">
      <c r="A13" s="68"/>
      <c r="B13" s="67"/>
      <c r="C13" s="66"/>
      <c r="D13" s="199"/>
      <c r="E13" s="199"/>
      <c r="F13" s="199"/>
      <c r="G13" s="181" t="s">
        <v>326</v>
      </c>
      <c r="H13" s="494"/>
      <c r="I13" s="251">
        <f>'14 sport'!C33</f>
        <v>644600</v>
      </c>
      <c r="J13" s="251">
        <f>'14 sport'!D33</f>
        <v>5255</v>
      </c>
      <c r="K13" s="251">
        <f>'14 sport'!E33</f>
        <v>649855</v>
      </c>
    </row>
    <row r="14" spans="1:11" ht="20.25" x14ac:dyDescent="0.3">
      <c r="A14" s="68"/>
      <c r="B14" s="57"/>
      <c r="C14" s="67"/>
      <c r="D14" s="256"/>
      <c r="E14" s="256"/>
      <c r="F14" s="256"/>
      <c r="G14" s="181" t="s">
        <v>175</v>
      </c>
      <c r="H14" s="520"/>
      <c r="I14" s="262">
        <f>+'15 város.ü.'!G31</f>
        <v>1020796</v>
      </c>
      <c r="J14" s="262">
        <f>+'15 város.ü.'!H31</f>
        <v>203502</v>
      </c>
      <c r="K14" s="262">
        <f>+'15 város.ü.'!I31</f>
        <v>1224298</v>
      </c>
    </row>
    <row r="15" spans="1:11" ht="20.25" x14ac:dyDescent="0.3">
      <c r="A15" s="68"/>
      <c r="B15" s="57"/>
      <c r="C15" s="67"/>
      <c r="D15" s="256"/>
      <c r="E15" s="256"/>
      <c r="F15" s="256"/>
      <c r="G15" s="181" t="s">
        <v>386</v>
      </c>
      <c r="H15" s="520"/>
      <c r="I15" s="262">
        <f>+'16 út-híd'!C30</f>
        <v>229400</v>
      </c>
      <c r="J15" s="262">
        <f>+'16 út-híd'!D30</f>
        <v>60192</v>
      </c>
      <c r="K15" s="262">
        <f>+'16 út-híd'!E30</f>
        <v>289592</v>
      </c>
    </row>
    <row r="16" spans="1:11" ht="20.25" x14ac:dyDescent="0.3">
      <c r="A16" s="68"/>
      <c r="B16" s="57"/>
      <c r="C16" s="67"/>
      <c r="D16" s="281"/>
      <c r="E16" s="256"/>
      <c r="F16" s="256"/>
      <c r="G16" s="66" t="s">
        <v>20</v>
      </c>
      <c r="H16" s="521"/>
      <c r="I16" s="403"/>
      <c r="J16" s="403"/>
      <c r="K16" s="403"/>
    </row>
    <row r="17" spans="1:11" ht="20.25" x14ac:dyDescent="0.3">
      <c r="A17" s="69"/>
      <c r="B17" s="65"/>
      <c r="C17" s="65"/>
      <c r="D17" s="498"/>
      <c r="E17" s="257"/>
      <c r="F17" s="257"/>
      <c r="G17" s="66"/>
      <c r="H17" s="433" t="s">
        <v>288</v>
      </c>
      <c r="I17" s="175">
        <v>2272</v>
      </c>
      <c r="J17" s="175">
        <f>1028-1800</f>
        <v>-772</v>
      </c>
      <c r="K17" s="175">
        <f t="shared" ref="K17:K22" si="0">SUM(I17:J17)</f>
        <v>1500</v>
      </c>
    </row>
    <row r="18" spans="1:11" ht="36.75" x14ac:dyDescent="0.3">
      <c r="A18" s="69"/>
      <c r="B18" s="65"/>
      <c r="C18" s="65"/>
      <c r="D18" s="498"/>
      <c r="E18" s="257"/>
      <c r="F18" s="257"/>
      <c r="G18" s="66"/>
      <c r="H18" s="488" t="s">
        <v>690</v>
      </c>
      <c r="I18" s="276"/>
      <c r="J18" s="175">
        <v>11793</v>
      </c>
      <c r="K18" s="175">
        <f t="shared" si="0"/>
        <v>11793</v>
      </c>
    </row>
    <row r="19" spans="1:11" ht="20.25" x14ac:dyDescent="0.3">
      <c r="A19" s="69"/>
      <c r="B19" s="65"/>
      <c r="C19" s="65"/>
      <c r="D19" s="498"/>
      <c r="E19" s="257"/>
      <c r="F19" s="257"/>
      <c r="G19" s="66"/>
      <c r="H19" s="181" t="s">
        <v>649</v>
      </c>
      <c r="I19" s="342">
        <v>7936</v>
      </c>
      <c r="J19" s="342"/>
      <c r="K19" s="342">
        <f t="shared" si="0"/>
        <v>7936</v>
      </c>
    </row>
    <row r="20" spans="1:11" ht="20.25" x14ac:dyDescent="0.3">
      <c r="A20" s="69"/>
      <c r="B20" s="65"/>
      <c r="C20" s="65"/>
      <c r="D20" s="498"/>
      <c r="E20" s="257"/>
      <c r="F20" s="257"/>
      <c r="G20" s="66"/>
      <c r="H20" s="181" t="s">
        <v>645</v>
      </c>
      <c r="I20" s="342"/>
      <c r="J20" s="342">
        <v>36407</v>
      </c>
      <c r="K20" s="342">
        <f t="shared" si="0"/>
        <v>36407</v>
      </c>
    </row>
    <row r="21" spans="1:11" ht="20.25" x14ac:dyDescent="0.3">
      <c r="A21" s="69"/>
      <c r="B21" s="65"/>
      <c r="C21" s="65"/>
      <c r="D21" s="498"/>
      <c r="E21" s="257"/>
      <c r="F21" s="257"/>
      <c r="G21" s="66"/>
      <c r="H21" s="181" t="s">
        <v>748</v>
      </c>
      <c r="I21" s="342"/>
      <c r="J21" s="342">
        <v>4095</v>
      </c>
      <c r="K21" s="342">
        <f t="shared" si="0"/>
        <v>4095</v>
      </c>
    </row>
    <row r="22" spans="1:11" ht="20.25" x14ac:dyDescent="0.3">
      <c r="A22" s="69"/>
      <c r="B22" s="65"/>
      <c r="C22" s="65"/>
      <c r="D22" s="498"/>
      <c r="E22" s="257"/>
      <c r="F22" s="257"/>
      <c r="G22" s="66"/>
      <c r="H22" s="181" t="s">
        <v>315</v>
      </c>
      <c r="I22" s="262">
        <v>140709</v>
      </c>
      <c r="J22" s="262">
        <v>-140709</v>
      </c>
      <c r="K22" s="262">
        <f t="shared" si="0"/>
        <v>0</v>
      </c>
    </row>
    <row r="23" spans="1:11" ht="21" thickBot="1" x14ac:dyDescent="0.35">
      <c r="A23" s="172"/>
      <c r="B23" s="173"/>
      <c r="C23" s="496"/>
      <c r="D23" s="174"/>
      <c r="E23" s="258"/>
      <c r="F23" s="258"/>
      <c r="G23" s="500" t="s">
        <v>59</v>
      </c>
      <c r="H23" s="534"/>
      <c r="I23" s="721">
        <f>SUM(I17:I22)</f>
        <v>150917</v>
      </c>
      <c r="J23" s="721">
        <f>SUM(J17:J22)</f>
        <v>-89186</v>
      </c>
      <c r="K23" s="721">
        <f>SUM(K17:K22)</f>
        <v>61731</v>
      </c>
    </row>
    <row r="24" spans="1:11" ht="21" thickBot="1" x14ac:dyDescent="0.35">
      <c r="A24" s="71" t="s">
        <v>269</v>
      </c>
      <c r="B24" s="72"/>
      <c r="C24" s="497"/>
      <c r="D24" s="249">
        <f>SUM(D7:D23)</f>
        <v>16067720</v>
      </c>
      <c r="E24" s="249">
        <f>SUM(E7:E23)</f>
        <v>594866</v>
      </c>
      <c r="F24" s="249">
        <f>SUM(F7:F23)</f>
        <v>16662586</v>
      </c>
      <c r="G24" s="64" t="s">
        <v>322</v>
      </c>
      <c r="H24" s="64"/>
      <c r="I24" s="266">
        <f>+I23+I15+I14+I13+I12+I11+I10+I9+I8+I7</f>
        <v>14876823</v>
      </c>
      <c r="J24" s="266">
        <f>+J23+J15+J14+J13+J12+J11+J10+J9+J8+J7</f>
        <v>1554994</v>
      </c>
      <c r="K24" s="266">
        <f>+K23+K15+K14+K13+K12+K11+K10+K9+K8+K7</f>
        <v>16431817</v>
      </c>
    </row>
    <row r="25" spans="1:11" ht="18.75" customHeight="1" thickBot="1" x14ac:dyDescent="0.3">
      <c r="A25" s="169"/>
      <c r="B25" s="169"/>
      <c r="C25" s="169"/>
      <c r="D25" s="169"/>
      <c r="E25" s="169"/>
      <c r="F25" s="60"/>
      <c r="G25" s="60"/>
      <c r="H25" s="60"/>
      <c r="I25" s="60"/>
      <c r="J25" s="60"/>
      <c r="K25" s="60"/>
    </row>
    <row r="26" spans="1:11" ht="18.75" customHeight="1" x14ac:dyDescent="0.25">
      <c r="A26" s="62"/>
      <c r="B26" s="56"/>
      <c r="C26" s="56" t="s">
        <v>120</v>
      </c>
      <c r="D26" s="439" t="s">
        <v>542</v>
      </c>
      <c r="E26" s="439" t="s">
        <v>677</v>
      </c>
      <c r="F26" s="439" t="s">
        <v>752</v>
      </c>
      <c r="G26" s="501"/>
      <c r="H26" s="56" t="s">
        <v>135</v>
      </c>
      <c r="I26" s="439" t="s">
        <v>542</v>
      </c>
      <c r="J26" s="439" t="s">
        <v>677</v>
      </c>
      <c r="K26" s="439" t="s">
        <v>752</v>
      </c>
    </row>
    <row r="27" spans="1:11" ht="18.75" customHeight="1" x14ac:dyDescent="0.25">
      <c r="A27" s="167"/>
      <c r="B27" s="58"/>
      <c r="C27" s="58"/>
      <c r="D27" s="654" t="s">
        <v>159</v>
      </c>
      <c r="E27" s="654" t="s">
        <v>678</v>
      </c>
      <c r="F27" s="654" t="s">
        <v>751</v>
      </c>
      <c r="G27" s="168"/>
      <c r="H27" s="58"/>
      <c r="I27" s="654" t="s">
        <v>159</v>
      </c>
      <c r="J27" s="654" t="s">
        <v>678</v>
      </c>
      <c r="K27" s="654" t="s">
        <v>751</v>
      </c>
    </row>
    <row r="28" spans="1:11" ht="18.75" customHeight="1" thickBot="1" x14ac:dyDescent="0.3">
      <c r="A28" s="63"/>
      <c r="B28" s="64"/>
      <c r="C28" s="64"/>
      <c r="D28" s="322"/>
      <c r="E28" s="794"/>
      <c r="F28" s="794" t="s">
        <v>541</v>
      </c>
      <c r="G28" s="495"/>
      <c r="H28" s="515"/>
      <c r="I28" s="322"/>
      <c r="J28" s="794"/>
      <c r="K28" s="794" t="s">
        <v>541</v>
      </c>
    </row>
    <row r="29" spans="1:11" ht="20.25" x14ac:dyDescent="0.3">
      <c r="A29" s="157" t="s">
        <v>133</v>
      </c>
      <c r="B29" s="159"/>
      <c r="C29" s="158"/>
      <c r="D29" s="250">
        <f>'17 felhalm.bevétel '!D31</f>
        <v>0</v>
      </c>
      <c r="E29" s="250">
        <f>'17 felhalm.bevétel '!E31</f>
        <v>4335922</v>
      </c>
      <c r="F29" s="250">
        <f>'17 felhalm.bevétel '!F31</f>
        <v>4335922</v>
      </c>
      <c r="G29" s="506" t="s">
        <v>333</v>
      </c>
      <c r="H29" s="522"/>
      <c r="I29" s="236"/>
      <c r="J29" s="236"/>
      <c r="K29" s="236"/>
    </row>
    <row r="30" spans="1:11" ht="20.25" x14ac:dyDescent="0.3">
      <c r="A30" s="182" t="s">
        <v>132</v>
      </c>
      <c r="B30" s="183"/>
      <c r="C30" s="184"/>
      <c r="D30" s="251">
        <f>'17 felhalm.bevétel '!D34</f>
        <v>550000</v>
      </c>
      <c r="E30" s="251">
        <f>'17 felhalm.bevétel '!E34</f>
        <v>0</v>
      </c>
      <c r="F30" s="251">
        <f>'17 felhalm.bevétel '!F34</f>
        <v>550000</v>
      </c>
      <c r="G30" s="433" t="s">
        <v>406</v>
      </c>
      <c r="H30" s="523"/>
      <c r="I30" s="343">
        <f>+'8 oktatás'!C40</f>
        <v>0</v>
      </c>
      <c r="J30" s="343">
        <f>+'8 oktatás'!D40</f>
        <v>39748</v>
      </c>
      <c r="K30" s="343">
        <f>+'8 oktatás'!E40</f>
        <v>39748</v>
      </c>
    </row>
    <row r="31" spans="1:11" ht="20.25" x14ac:dyDescent="0.3">
      <c r="A31" s="182" t="s">
        <v>134</v>
      </c>
      <c r="B31" s="184"/>
      <c r="C31" s="802"/>
      <c r="D31" s="251">
        <f>'17 felhalm.bevétel '!D41</f>
        <v>33000</v>
      </c>
      <c r="E31" s="251">
        <f>'17 felhalm.bevétel '!E41</f>
        <v>1027</v>
      </c>
      <c r="F31" s="251">
        <f>'17 felhalm.bevétel '!F41</f>
        <v>34027</v>
      </c>
      <c r="G31" s="181" t="s">
        <v>181</v>
      </c>
      <c r="H31" s="524"/>
      <c r="I31" s="343">
        <f>+'9 kultúra'!C118</f>
        <v>13000</v>
      </c>
      <c r="J31" s="343">
        <f>+'9 kultúra'!D118</f>
        <v>41341</v>
      </c>
      <c r="K31" s="343">
        <f>+'9 kultúra'!E118</f>
        <v>54341</v>
      </c>
    </row>
    <row r="32" spans="1:11" ht="20.25" x14ac:dyDescent="0.3">
      <c r="A32" s="180" t="s">
        <v>161</v>
      </c>
      <c r="B32" s="181"/>
      <c r="C32" s="179"/>
      <c r="D32" s="262">
        <f>'17 felhalm.bevétel '!D57</f>
        <v>1990</v>
      </c>
      <c r="E32" s="262">
        <f>'17 felhalm.bevétel '!E57</f>
        <v>34</v>
      </c>
      <c r="F32" s="262">
        <f>'17 felhalm.bevétel '!F57</f>
        <v>2024</v>
      </c>
      <c r="G32" s="181" t="s">
        <v>308</v>
      </c>
      <c r="H32" s="524"/>
      <c r="I32" s="343">
        <f>'10 szociális'!C40</f>
        <v>0</v>
      </c>
      <c r="J32" s="343">
        <f>'10 szociális'!D40</f>
        <v>9515</v>
      </c>
      <c r="K32" s="343">
        <f>'10 szociális'!E40</f>
        <v>9515</v>
      </c>
    </row>
    <row r="33" spans="1:11" ht="20.25" x14ac:dyDescent="0.3">
      <c r="A33" s="160"/>
      <c r="B33" s="158"/>
      <c r="C33" s="158"/>
      <c r="D33" s="502"/>
      <c r="E33" s="252"/>
      <c r="F33" s="252"/>
      <c r="G33" s="181" t="s">
        <v>298</v>
      </c>
      <c r="H33" s="524"/>
      <c r="I33" s="343">
        <f>'11 egészségügy'!C35</f>
        <v>5129</v>
      </c>
      <c r="J33" s="343">
        <f>'11 egészségügy'!D35</f>
        <v>90797</v>
      </c>
      <c r="K33" s="343">
        <f>'11 egészségügy'!E35</f>
        <v>95926</v>
      </c>
    </row>
    <row r="34" spans="1:11" ht="20.25" x14ac:dyDescent="0.3">
      <c r="A34" s="160"/>
      <c r="B34" s="158"/>
      <c r="C34" s="158"/>
      <c r="D34" s="502"/>
      <c r="E34" s="252"/>
      <c r="F34" s="252"/>
      <c r="G34" s="181" t="s">
        <v>268</v>
      </c>
      <c r="H34" s="524"/>
      <c r="I34" s="343">
        <f>'12 gyermek és ifj.véd.'!C23</f>
        <v>6638</v>
      </c>
      <c r="J34" s="343">
        <f>'12 gyermek és ifj.véd.'!D23</f>
        <v>913</v>
      </c>
      <c r="K34" s="343">
        <f>'12 gyermek és ifj.véd.'!E23</f>
        <v>7551</v>
      </c>
    </row>
    <row r="35" spans="1:11" ht="21" thickBot="1" x14ac:dyDescent="0.35">
      <c r="A35" s="129"/>
      <c r="B35" s="130"/>
      <c r="C35" s="130"/>
      <c r="D35" s="503"/>
      <c r="E35" s="253"/>
      <c r="F35" s="253"/>
      <c r="G35" s="181" t="s">
        <v>344</v>
      </c>
      <c r="H35" s="524"/>
      <c r="I35" s="343">
        <f>'13 egyéb'!C96</f>
        <v>27670</v>
      </c>
      <c r="J35" s="343">
        <f>'13 egyéb'!D96</f>
        <v>15886</v>
      </c>
      <c r="K35" s="343">
        <f>'13 egyéb'!E96</f>
        <v>43556</v>
      </c>
    </row>
    <row r="36" spans="1:11" ht="21" thickBot="1" x14ac:dyDescent="0.35">
      <c r="A36" s="129"/>
      <c r="B36" s="130"/>
      <c r="C36" s="130"/>
      <c r="D36" s="503"/>
      <c r="E36" s="253"/>
      <c r="F36" s="253"/>
      <c r="G36" s="507" t="s">
        <v>334</v>
      </c>
      <c r="H36" s="237"/>
      <c r="I36" s="263">
        <f>SUM(I29:I35)</f>
        <v>52437</v>
      </c>
      <c r="J36" s="263">
        <f>SUM(J29:J35)</f>
        <v>198200</v>
      </c>
      <c r="K36" s="263">
        <f>SUM(K29:K35)</f>
        <v>250637</v>
      </c>
    </row>
    <row r="37" spans="1:11" ht="20.25" x14ac:dyDescent="0.3">
      <c r="A37" s="68"/>
      <c r="B37" s="57"/>
      <c r="C37" s="57"/>
      <c r="D37" s="88"/>
      <c r="E37" s="252"/>
      <c r="F37" s="252"/>
      <c r="G37" s="66" t="s">
        <v>265</v>
      </c>
      <c r="H37" s="86"/>
      <c r="I37" s="264">
        <f>+'18 felhalm.kiadás'!C12</f>
        <v>144455</v>
      </c>
      <c r="J37" s="264">
        <f>+'18 felhalm.kiadás'!D12</f>
        <v>0</v>
      </c>
      <c r="K37" s="264">
        <f>+'18 felhalm.kiadás'!E12</f>
        <v>144455</v>
      </c>
    </row>
    <row r="38" spans="1:11" ht="20.25" x14ac:dyDescent="0.3">
      <c r="A38" s="68"/>
      <c r="B38" s="57"/>
      <c r="C38" s="57"/>
      <c r="D38" s="88"/>
      <c r="E38" s="252"/>
      <c r="F38" s="252"/>
      <c r="G38" s="181" t="s">
        <v>328</v>
      </c>
      <c r="H38" s="520"/>
      <c r="I38" s="261">
        <f>'18 felhalm.kiadás'!C15</f>
        <v>50000</v>
      </c>
      <c r="J38" s="261">
        <f>'18 felhalm.kiadás'!D15</f>
        <v>468</v>
      </c>
      <c r="K38" s="261">
        <f>'18 felhalm.kiadás'!E15</f>
        <v>50468</v>
      </c>
    </row>
    <row r="39" spans="1:11" ht="20.25" x14ac:dyDescent="0.3">
      <c r="A39" s="68"/>
      <c r="B39" s="57"/>
      <c r="C39" s="57"/>
      <c r="D39" s="88"/>
      <c r="E39" s="252"/>
      <c r="F39" s="252"/>
      <c r="G39" s="181" t="s">
        <v>349</v>
      </c>
      <c r="H39" s="494"/>
      <c r="I39" s="186">
        <f>+'18 felhalm.kiadás'!C19</f>
        <v>41357</v>
      </c>
      <c r="J39" s="186">
        <f>+'18 felhalm.kiadás'!D19</f>
        <v>47163</v>
      </c>
      <c r="K39" s="186">
        <f>+'18 felhalm.kiadás'!E19</f>
        <v>88520</v>
      </c>
    </row>
    <row r="40" spans="1:11" ht="20.25" x14ac:dyDescent="0.3">
      <c r="A40" s="73"/>
      <c r="B40" s="74"/>
      <c r="C40" s="57"/>
      <c r="D40" s="88"/>
      <c r="E40" s="252"/>
      <c r="F40" s="252"/>
      <c r="G40" s="181" t="s">
        <v>354</v>
      </c>
      <c r="H40" s="494"/>
      <c r="I40" s="186">
        <f>+'18 felhalm.kiadás'!C25</f>
        <v>527832</v>
      </c>
      <c r="J40" s="186">
        <f>+'18 felhalm.kiadás'!D25</f>
        <v>7385</v>
      </c>
      <c r="K40" s="186">
        <f>+'18 felhalm.kiadás'!E25</f>
        <v>535217</v>
      </c>
    </row>
    <row r="41" spans="1:11" ht="20.25" x14ac:dyDescent="0.3">
      <c r="A41" s="73"/>
      <c r="B41" s="74"/>
      <c r="C41" s="75"/>
      <c r="D41" s="504"/>
      <c r="E41" s="252"/>
      <c r="F41" s="252"/>
      <c r="G41" s="181" t="s">
        <v>296</v>
      </c>
      <c r="H41" s="494"/>
      <c r="I41" s="186">
        <f>+'18 felhalm.kiadás'!C114</f>
        <v>14726500</v>
      </c>
      <c r="J41" s="186">
        <f>+'18 felhalm.kiadás'!D114</f>
        <v>729561</v>
      </c>
      <c r="K41" s="186">
        <f>+'18 felhalm.kiadás'!E114</f>
        <v>15456061</v>
      </c>
    </row>
    <row r="42" spans="1:11" ht="20.25" x14ac:dyDescent="0.3">
      <c r="A42" s="70"/>
      <c r="B42" s="77"/>
      <c r="C42" s="75"/>
      <c r="D42" s="504"/>
      <c r="E42" s="252"/>
      <c r="F42" s="252"/>
      <c r="G42" s="181" t="s">
        <v>323</v>
      </c>
      <c r="H42" s="181"/>
      <c r="I42" s="186">
        <f>+'18 felhalm.kiadás'!C119</f>
        <v>4960</v>
      </c>
      <c r="J42" s="186">
        <f>+'18 felhalm.kiadás'!D119</f>
        <v>0</v>
      </c>
      <c r="K42" s="186">
        <f>+'18 felhalm.kiadás'!E119</f>
        <v>4960</v>
      </c>
    </row>
    <row r="43" spans="1:11" ht="20.25" x14ac:dyDescent="0.3">
      <c r="A43" s="70"/>
      <c r="B43" s="77"/>
      <c r="C43" s="75"/>
      <c r="D43" s="504"/>
      <c r="E43" s="252"/>
      <c r="F43" s="252"/>
      <c r="G43" s="181" t="s">
        <v>53</v>
      </c>
      <c r="H43" s="181"/>
      <c r="I43" s="186">
        <f>'18 felhalm.kiadás'!C120</f>
        <v>20000</v>
      </c>
      <c r="J43" s="186">
        <f>'18 felhalm.kiadás'!D120</f>
        <v>10620</v>
      </c>
      <c r="K43" s="186">
        <f>'18 felhalm.kiadás'!E120</f>
        <v>30620</v>
      </c>
    </row>
    <row r="44" spans="1:11" ht="21" thickBot="1" x14ac:dyDescent="0.35">
      <c r="A44" s="70"/>
      <c r="B44" s="77"/>
      <c r="C44" s="75"/>
      <c r="D44" s="505"/>
      <c r="E44" s="254"/>
      <c r="F44" s="254"/>
      <c r="G44" s="508" t="s">
        <v>335</v>
      </c>
      <c r="H44" s="525"/>
      <c r="I44" s="265">
        <f>SUM(I37:I43)</f>
        <v>15515104</v>
      </c>
      <c r="J44" s="265">
        <f>SUM(J37:J43)</f>
        <v>795197</v>
      </c>
      <c r="K44" s="265">
        <f>SUM(K37:K43)</f>
        <v>16310301</v>
      </c>
    </row>
    <row r="45" spans="1:11" ht="21" thickBot="1" x14ac:dyDescent="0.35">
      <c r="A45" s="78" t="s">
        <v>324</v>
      </c>
      <c r="B45" s="78"/>
      <c r="C45" s="45"/>
      <c r="D45" s="255">
        <f>SUM(D29:D44)</f>
        <v>584990</v>
      </c>
      <c r="E45" s="255">
        <f>SUM(E29:E44)</f>
        <v>4336983</v>
      </c>
      <c r="F45" s="255">
        <f>SUM(F29:F44)</f>
        <v>4921973</v>
      </c>
      <c r="G45" s="513" t="s">
        <v>325</v>
      </c>
      <c r="H45" s="513"/>
      <c r="I45" s="260">
        <f>+I44+I36</f>
        <v>15567541</v>
      </c>
      <c r="J45" s="260">
        <f>+J44+J36</f>
        <v>993397</v>
      </c>
      <c r="K45" s="260">
        <f>+K44+K36</f>
        <v>16560938</v>
      </c>
    </row>
    <row r="46" spans="1:11" s="57" customFormat="1" ht="18.75" customHeight="1" thickBot="1" x14ac:dyDescent="0.3">
      <c r="A46" s="79"/>
      <c r="B46" s="79"/>
      <c r="C46" s="80"/>
      <c r="D46" s="80"/>
      <c r="E46" s="80"/>
      <c r="F46" s="80"/>
      <c r="G46" s="56"/>
      <c r="H46" s="56"/>
      <c r="I46" s="56"/>
      <c r="J46" s="56"/>
      <c r="K46" s="56"/>
    </row>
    <row r="47" spans="1:11" ht="18" x14ac:dyDescent="0.25">
      <c r="A47" s="208" t="s">
        <v>305</v>
      </c>
      <c r="B47" s="209"/>
      <c r="C47" s="509"/>
      <c r="D47" s="243"/>
      <c r="E47" s="243"/>
      <c r="F47" s="243"/>
      <c r="G47" s="208" t="s">
        <v>305</v>
      </c>
      <c r="H47" s="526"/>
      <c r="I47" s="238"/>
      <c r="J47" s="238"/>
      <c r="K47" s="238"/>
    </row>
    <row r="48" spans="1:11" ht="20.25" x14ac:dyDescent="0.3">
      <c r="A48" s="81"/>
      <c r="B48" s="57"/>
      <c r="C48" s="510" t="s">
        <v>182</v>
      </c>
      <c r="D48" s="698">
        <v>125000</v>
      </c>
      <c r="E48" s="698">
        <f>1424429-377</f>
        <v>1424052</v>
      </c>
      <c r="F48" s="698">
        <f>+D48+E48</f>
        <v>1549052</v>
      </c>
      <c r="G48" s="433" t="s">
        <v>557</v>
      </c>
      <c r="H48" s="433"/>
      <c r="I48" s="793"/>
      <c r="J48" s="324"/>
      <c r="K48" s="324">
        <f>SUM(I48:J48)</f>
        <v>0</v>
      </c>
    </row>
    <row r="49" spans="1:11" ht="20.25" x14ac:dyDescent="0.3">
      <c r="A49" s="81"/>
      <c r="B49" s="77"/>
      <c r="C49" s="242" t="s">
        <v>255</v>
      </c>
      <c r="D49" s="341">
        <v>13666654</v>
      </c>
      <c r="E49" s="341">
        <f>-3873279+377</f>
        <v>-3872902</v>
      </c>
      <c r="F49" s="698">
        <f>+D49+E49</f>
        <v>9793752</v>
      </c>
      <c r="G49" s="433" t="s">
        <v>644</v>
      </c>
      <c r="H49" s="433"/>
      <c r="I49" s="793"/>
      <c r="J49" s="324">
        <v>96015</v>
      </c>
      <c r="K49" s="324">
        <f>SUM(I49:J49)</f>
        <v>96015</v>
      </c>
    </row>
    <row r="50" spans="1:11" ht="20.25" x14ac:dyDescent="0.3">
      <c r="A50" s="81"/>
      <c r="B50" s="77"/>
      <c r="C50" s="242" t="s">
        <v>538</v>
      </c>
      <c r="D50" s="491"/>
      <c r="E50" s="341">
        <f>161407-61496</f>
        <v>99911</v>
      </c>
      <c r="F50" s="698">
        <f>SUM(D50:E50)</f>
        <v>99911</v>
      </c>
      <c r="I50" s="793"/>
      <c r="J50" s="324"/>
      <c r="K50" s="324">
        <f>SUM(I50:J50)</f>
        <v>0</v>
      </c>
    </row>
    <row r="51" spans="1:11" ht="20.25" x14ac:dyDescent="0.3">
      <c r="A51" s="81"/>
      <c r="B51" s="77"/>
      <c r="C51" s="242" t="s">
        <v>539</v>
      </c>
      <c r="D51" s="341"/>
      <c r="E51" s="341">
        <v>61496</v>
      </c>
      <c r="F51" s="698">
        <f>SUM(D51:E51)</f>
        <v>61496</v>
      </c>
      <c r="G51" s="66"/>
      <c r="H51" s="58"/>
      <c r="I51" s="239"/>
      <c r="J51" s="239"/>
      <c r="K51" s="239"/>
    </row>
    <row r="52" spans="1:11" ht="20.25" x14ac:dyDescent="0.3">
      <c r="A52" s="81"/>
      <c r="B52" s="77"/>
      <c r="C52" s="242" t="s">
        <v>556</v>
      </c>
      <c r="D52" s="341"/>
      <c r="E52" s="341"/>
      <c r="F52" s="698">
        <f>SUM(D52:E52)</f>
        <v>0</v>
      </c>
      <c r="G52" s="66"/>
      <c r="H52" s="58"/>
      <c r="I52" s="239"/>
      <c r="J52" s="239"/>
      <c r="K52" s="239"/>
    </row>
    <row r="53" spans="1:11" ht="20.25" x14ac:dyDescent="0.3">
      <c r="A53" s="81"/>
      <c r="B53" s="77"/>
      <c r="C53" s="242" t="s">
        <v>586</v>
      </c>
      <c r="D53" s="341"/>
      <c r="E53" s="341"/>
      <c r="F53" s="698">
        <f>SUM(D53:E53)</f>
        <v>0</v>
      </c>
      <c r="G53" s="66"/>
      <c r="H53" s="58"/>
      <c r="I53" s="239"/>
      <c r="J53" s="239"/>
      <c r="K53" s="239"/>
    </row>
    <row r="54" spans="1:11" ht="21" thickBot="1" x14ac:dyDescent="0.35">
      <c r="A54" s="81"/>
      <c r="B54" s="77"/>
      <c r="C54" s="568" t="s">
        <v>644</v>
      </c>
      <c r="D54" s="791"/>
      <c r="E54" s="733"/>
      <c r="F54" s="698">
        <f>SUM(D54:E54)</f>
        <v>0</v>
      </c>
      <c r="G54" s="66"/>
      <c r="H54" s="58"/>
      <c r="I54" s="239"/>
      <c r="J54" s="239"/>
      <c r="K54" s="239"/>
    </row>
    <row r="55" spans="1:11" ht="21" thickBot="1" x14ac:dyDescent="0.35">
      <c r="A55" s="210" t="s">
        <v>242</v>
      </c>
      <c r="B55" s="45"/>
      <c r="C55" s="211"/>
      <c r="D55" s="259">
        <f>SUM(D47:D51)</f>
        <v>13791654</v>
      </c>
      <c r="E55" s="259">
        <f>SUM(E47:E54)</f>
        <v>-2287443</v>
      </c>
      <c r="F55" s="259">
        <f>SUM(F47:F51)</f>
        <v>11504211</v>
      </c>
      <c r="G55" s="511" t="s">
        <v>242</v>
      </c>
      <c r="H55" s="240"/>
      <c r="I55" s="266">
        <f>SUM(I47:I51)</f>
        <v>0</v>
      </c>
      <c r="J55" s="266">
        <f>SUM(J47:J51)</f>
        <v>96015</v>
      </c>
      <c r="K55" s="266">
        <f>SUM(K47:K51)</f>
        <v>96015</v>
      </c>
    </row>
    <row r="56" spans="1:11" ht="18" x14ac:dyDescent="0.25">
      <c r="A56" s="81"/>
      <c r="B56" s="79"/>
      <c r="C56" s="79"/>
      <c r="D56" s="243"/>
      <c r="E56" s="243"/>
      <c r="F56" s="243"/>
      <c r="G56" s="58"/>
      <c r="H56" s="58"/>
      <c r="I56" s="238"/>
      <c r="J56" s="238"/>
      <c r="K56" s="238"/>
    </row>
    <row r="57" spans="1:11" ht="18.75" thickBot="1" x14ac:dyDescent="0.3">
      <c r="A57" s="82"/>
      <c r="B57" s="59"/>
      <c r="C57" s="59"/>
      <c r="D57" s="241"/>
      <c r="E57" s="241"/>
      <c r="F57" s="241"/>
      <c r="G57" s="512"/>
      <c r="H57" s="59"/>
      <c r="I57" s="241"/>
      <c r="J57" s="241"/>
      <c r="K57" s="241"/>
    </row>
    <row r="58" spans="1:11" ht="21" thickBot="1" x14ac:dyDescent="0.35">
      <c r="A58" s="44" t="s">
        <v>306</v>
      </c>
      <c r="B58" s="45"/>
      <c r="C58" s="45"/>
      <c r="D58" s="260">
        <f>+D55+D45+D24</f>
        <v>30444364</v>
      </c>
      <c r="E58" s="260">
        <f>+E55+E45+E24</f>
        <v>2644406</v>
      </c>
      <c r="F58" s="260">
        <f>+F55+F45+F24</f>
        <v>33088770</v>
      </c>
      <c r="G58" s="511" t="s">
        <v>241</v>
      </c>
      <c r="H58" s="240"/>
      <c r="I58" s="266">
        <f>+I55+I45+I24</f>
        <v>30444364</v>
      </c>
      <c r="J58" s="266">
        <f>+J55+J45+J24</f>
        <v>2644406</v>
      </c>
      <c r="K58" s="266">
        <f>+K55+K45+K24</f>
        <v>33088770</v>
      </c>
    </row>
  </sheetData>
  <customSheetViews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43" orientation="landscape" r:id="rId3"/>
  <headerFooter alignWithMargins="0">
    <oddHeader xml:space="preserve">&amp;L&amp;F&amp;A&amp;R&amp;"Times New Roman CE,Félkövér"&amp;18 2. melléklet a  12/2017. (V.3.) önkormányzati rendelethez
"2. melléklet a 4/2017. (III.7.) önkormányzati rendelethez" </oddHeader>
  </headerFooter>
  <rowBreaks count="1" manualBreakCount="1">
    <brk id="24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="85" zoomScaleNormal="85" workbookViewId="0">
      <selection activeCell="M348" sqref="M348"/>
    </sheetView>
  </sheetViews>
  <sheetFormatPr defaultRowHeight="15" x14ac:dyDescent="0.2"/>
  <cols>
    <col min="1" max="1" width="102.83203125" style="658" customWidth="1"/>
    <col min="2" max="2" width="26.83203125" style="658" bestFit="1" customWidth="1"/>
    <col min="3" max="14" width="20.83203125" style="658" customWidth="1"/>
    <col min="15" max="15" width="9.33203125" style="658"/>
    <col min="16" max="16" width="16.33203125" style="659" customWidth="1"/>
    <col min="17" max="17" width="11" style="658" bestFit="1" customWidth="1"/>
    <col min="18" max="18" width="19" style="658" customWidth="1"/>
    <col min="19" max="16384" width="9.33203125" style="658"/>
  </cols>
  <sheetData>
    <row r="1" spans="1:18" ht="20.25" x14ac:dyDescent="0.3">
      <c r="A1" s="656" t="s">
        <v>662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</row>
    <row r="2" spans="1:18" ht="15.75" x14ac:dyDescent="0.25">
      <c r="A2" s="1257"/>
      <c r="B2" s="1257"/>
    </row>
    <row r="3" spans="1:18" ht="15.75" thickBot="1" x14ac:dyDescent="0.25"/>
    <row r="4" spans="1:18" ht="20.100000000000001" customHeight="1" x14ac:dyDescent="0.25">
      <c r="A4" s="612" t="s">
        <v>463</v>
      </c>
      <c r="B4" s="660" t="s">
        <v>455</v>
      </c>
      <c r="C4" s="660" t="s">
        <v>350</v>
      </c>
      <c r="D4" s="660" t="s">
        <v>351</v>
      </c>
      <c r="E4" s="660" t="s">
        <v>352</v>
      </c>
      <c r="F4" s="660" t="s">
        <v>353</v>
      </c>
      <c r="G4" s="660" t="s">
        <v>355</v>
      </c>
      <c r="H4" s="660" t="s">
        <v>356</v>
      </c>
      <c r="I4" s="660" t="s">
        <v>357</v>
      </c>
      <c r="J4" s="660" t="s">
        <v>358</v>
      </c>
      <c r="K4" s="660" t="s">
        <v>433</v>
      </c>
      <c r="L4" s="660" t="s">
        <v>434</v>
      </c>
      <c r="M4" s="660" t="s">
        <v>435</v>
      </c>
      <c r="N4" s="660" t="s">
        <v>436</v>
      </c>
    </row>
    <row r="5" spans="1:18" ht="20.100000000000001" customHeight="1" x14ac:dyDescent="0.2">
      <c r="A5" s="661"/>
      <c r="B5" s="662"/>
      <c r="C5" s="662"/>
      <c r="D5" s="662"/>
      <c r="E5" s="662"/>
      <c r="F5" s="662"/>
      <c r="G5" s="662"/>
      <c r="H5" s="662"/>
      <c r="I5" s="662"/>
      <c r="J5" s="662"/>
      <c r="K5" s="662"/>
      <c r="L5" s="662"/>
      <c r="M5" s="662"/>
      <c r="N5" s="662"/>
    </row>
    <row r="6" spans="1:18" ht="67.5" customHeight="1" thickBot="1" x14ac:dyDescent="0.25">
      <c r="A6" s="663"/>
      <c r="B6" s="605" t="s">
        <v>464</v>
      </c>
      <c r="C6" s="605" t="s">
        <v>457</v>
      </c>
      <c r="D6" s="605" t="s">
        <v>457</v>
      </c>
      <c r="E6" s="605" t="s">
        <v>457</v>
      </c>
      <c r="F6" s="605" t="s">
        <v>457</v>
      </c>
      <c r="G6" s="605" t="s">
        <v>457</v>
      </c>
      <c r="H6" s="605" t="s">
        <v>457</v>
      </c>
      <c r="I6" s="605" t="s">
        <v>457</v>
      </c>
      <c r="J6" s="605" t="s">
        <v>457</v>
      </c>
      <c r="K6" s="605" t="s">
        <v>457</v>
      </c>
      <c r="L6" s="605" t="s">
        <v>457</v>
      </c>
      <c r="M6" s="605" t="s">
        <v>457</v>
      </c>
      <c r="N6" s="605" t="s">
        <v>457</v>
      </c>
    </row>
    <row r="7" spans="1:18" s="635" customFormat="1" ht="24" customHeight="1" x14ac:dyDescent="0.25">
      <c r="A7" s="664" t="s">
        <v>465</v>
      </c>
      <c r="B7" s="665">
        <f>'1 kiemelt ei. '!N13</f>
        <v>18237846</v>
      </c>
      <c r="C7" s="666">
        <v>1159309.7615792893</v>
      </c>
      <c r="D7" s="666">
        <v>1104873.8518563926</v>
      </c>
      <c r="E7" s="666">
        <v>1652473.0865059979</v>
      </c>
      <c r="F7" s="666">
        <f>1099246.13942475+30000</f>
        <v>1129246.1394247501</v>
      </c>
      <c r="G7" s="666">
        <v>1258765.3694351478</v>
      </c>
      <c r="H7" s="666">
        <v>1377725.8440615705</v>
      </c>
      <c r="I7" s="666">
        <v>1133392.6648546013</v>
      </c>
      <c r="J7" s="666">
        <v>1223452.0743226288</v>
      </c>
      <c r="K7" s="666">
        <f>1295437.56097053+1500000</f>
        <v>2795437.5609705299</v>
      </c>
      <c r="L7" s="666">
        <f>1107375.50211939+500000</f>
        <v>1607375.5021193901</v>
      </c>
      <c r="M7" s="666">
        <f>1269982.76921444+500000</f>
        <v>1769982.7692144399</v>
      </c>
      <c r="N7" s="666">
        <f>1164788.37565526+861023</f>
        <v>2025811.3756552599</v>
      </c>
      <c r="P7" s="667">
        <f>SUM(C7:N7)-B7</f>
        <v>0</v>
      </c>
    </row>
    <row r="8" spans="1:18" s="635" customFormat="1" ht="24" customHeight="1" thickBot="1" x14ac:dyDescent="0.3">
      <c r="A8" s="675" t="s">
        <v>466</v>
      </c>
      <c r="B8" s="669">
        <f>'1 kiemelt ei. '!N17</f>
        <v>14754909</v>
      </c>
      <c r="C8" s="669"/>
      <c r="D8" s="669"/>
      <c r="E8" s="669">
        <f>144000+241000</f>
        <v>385000</v>
      </c>
      <c r="F8" s="669"/>
      <c r="G8" s="669"/>
      <c r="H8" s="669">
        <f>3000000-400000</f>
        <v>2600000</v>
      </c>
      <c r="I8" s="669">
        <f>50000+3000000-200000</f>
        <v>2850000</v>
      </c>
      <c r="J8" s="669">
        <f>40000+3000000-212632</f>
        <v>2827368</v>
      </c>
      <c r="K8" s="669">
        <f>241000+2000000</f>
        <v>2241000</v>
      </c>
      <c r="L8" s="669">
        <f>250000+1000000</f>
        <v>1250000</v>
      </c>
      <c r="M8" s="669">
        <f>250000+1000000</f>
        <v>1250000</v>
      </c>
      <c r="N8" s="669">
        <v>1351541</v>
      </c>
      <c r="P8" s="667">
        <f>SUM(C8:N8)-B8</f>
        <v>0</v>
      </c>
      <c r="R8" s="722"/>
    </row>
    <row r="9" spans="1:18" s="635" customFormat="1" ht="24" customHeight="1" thickBot="1" x14ac:dyDescent="0.3">
      <c r="A9" s="630" t="s">
        <v>467</v>
      </c>
      <c r="B9" s="670">
        <f t="shared" ref="B9:N9" si="0">B7+B8</f>
        <v>32992755</v>
      </c>
      <c r="C9" s="670">
        <f t="shared" si="0"/>
        <v>1159309.7615792893</v>
      </c>
      <c r="D9" s="670">
        <f t="shared" si="0"/>
        <v>1104873.8518563926</v>
      </c>
      <c r="E9" s="670">
        <f t="shared" si="0"/>
        <v>2037473.0865059979</v>
      </c>
      <c r="F9" s="670">
        <f t="shared" si="0"/>
        <v>1129246.1394247501</v>
      </c>
      <c r="G9" s="670">
        <f t="shared" si="0"/>
        <v>1258765.3694351478</v>
      </c>
      <c r="H9" s="670">
        <f t="shared" si="0"/>
        <v>3977725.8440615702</v>
      </c>
      <c r="I9" s="670">
        <f t="shared" si="0"/>
        <v>3983392.664854601</v>
      </c>
      <c r="J9" s="670">
        <f t="shared" si="0"/>
        <v>4050820.0743226288</v>
      </c>
      <c r="K9" s="670">
        <f t="shared" si="0"/>
        <v>5036437.5609705299</v>
      </c>
      <c r="L9" s="670">
        <f t="shared" si="0"/>
        <v>2857375.5021193903</v>
      </c>
      <c r="M9" s="670">
        <f t="shared" si="0"/>
        <v>3019982.7692144401</v>
      </c>
      <c r="N9" s="670">
        <f t="shared" si="0"/>
        <v>3377352.3756552599</v>
      </c>
      <c r="P9" s="667">
        <f>SUM(C9:N9)-B9</f>
        <v>0</v>
      </c>
    </row>
    <row r="10" spans="1:18" ht="49.5" customHeight="1" thickBot="1" x14ac:dyDescent="0.3">
      <c r="A10" s="645" t="s">
        <v>468</v>
      </c>
      <c r="B10" s="672">
        <f>'1 kiemelt ei. '!N19</f>
        <v>96015</v>
      </c>
      <c r="C10" s="673">
        <v>96015</v>
      </c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P10" s="667">
        <f>SUM(C10:N10)-B10</f>
        <v>0</v>
      </c>
    </row>
    <row r="11" spans="1:18" s="635" customFormat="1" ht="24" customHeight="1" thickBot="1" x14ac:dyDescent="0.3">
      <c r="A11" s="630" t="s">
        <v>469</v>
      </c>
      <c r="B11" s="670">
        <f>SUM(B9:B10)</f>
        <v>33088770</v>
      </c>
      <c r="C11" s="670">
        <f t="shared" ref="C11:N11" si="1">SUM(C9:C10)</f>
        <v>1255324.7615792893</v>
      </c>
      <c r="D11" s="670">
        <f t="shared" si="1"/>
        <v>1104873.8518563926</v>
      </c>
      <c r="E11" s="670">
        <f t="shared" si="1"/>
        <v>2037473.0865059979</v>
      </c>
      <c r="F11" s="670">
        <f t="shared" si="1"/>
        <v>1129246.1394247501</v>
      </c>
      <c r="G11" s="670">
        <f t="shared" si="1"/>
        <v>1258765.3694351478</v>
      </c>
      <c r="H11" s="670">
        <f t="shared" si="1"/>
        <v>3977725.8440615702</v>
      </c>
      <c r="I11" s="670">
        <f t="shared" si="1"/>
        <v>3983392.664854601</v>
      </c>
      <c r="J11" s="670">
        <f t="shared" si="1"/>
        <v>4050820.0743226288</v>
      </c>
      <c r="K11" s="670">
        <f t="shared" si="1"/>
        <v>5036437.5609705299</v>
      </c>
      <c r="L11" s="670">
        <f t="shared" si="1"/>
        <v>2857375.5021193903</v>
      </c>
      <c r="M11" s="670">
        <f t="shared" si="1"/>
        <v>3019982.7692144401</v>
      </c>
      <c r="N11" s="670">
        <f t="shared" si="1"/>
        <v>3377352.3756552599</v>
      </c>
      <c r="P11" s="667">
        <f>SUM(C11:N11)-B11</f>
        <v>0</v>
      </c>
    </row>
    <row r="12" spans="1:18" ht="24" customHeight="1" thickBot="1" x14ac:dyDescent="0.25"/>
    <row r="13" spans="1:18" s="112" customFormat="1" ht="30" x14ac:dyDescent="0.2">
      <c r="A13" s="676" t="s">
        <v>329</v>
      </c>
      <c r="B13" s="677"/>
      <c r="C13" s="677" t="s">
        <v>470</v>
      </c>
      <c r="D13" s="677" t="s">
        <v>471</v>
      </c>
      <c r="E13" s="678" t="s">
        <v>472</v>
      </c>
      <c r="O13" s="679"/>
      <c r="P13" s="679"/>
      <c r="Q13" s="679"/>
      <c r="R13" s="679"/>
    </row>
    <row r="14" spans="1:18" s="112" customFormat="1" ht="16.5" thickBot="1" x14ac:dyDescent="0.3">
      <c r="A14" s="680"/>
      <c r="B14" s="681"/>
      <c r="C14" s="682"/>
      <c r="D14" s="682"/>
      <c r="E14" s="683"/>
      <c r="F14" s="679"/>
      <c r="G14" s="804"/>
      <c r="H14" s="804"/>
      <c r="I14" s="804"/>
      <c r="J14" s="804"/>
      <c r="K14" s="804"/>
      <c r="L14" s="804"/>
      <c r="M14" s="804"/>
      <c r="N14" s="804"/>
      <c r="O14" s="804"/>
      <c r="P14" s="804"/>
      <c r="Q14" s="804"/>
      <c r="R14" s="804"/>
    </row>
    <row r="15" spans="1:18" s="112" customFormat="1" ht="18" x14ac:dyDescent="0.25">
      <c r="A15" s="684" t="s">
        <v>473</v>
      </c>
      <c r="B15" s="712">
        <v>3015258</v>
      </c>
      <c r="C15" s="685">
        <f>'19 ei felh. terv bevétel'!C11</f>
        <v>539951</v>
      </c>
      <c r="D15" s="685">
        <f>C11</f>
        <v>1255324.7615792893</v>
      </c>
      <c r="E15" s="686">
        <f>+B15+C15-D15</f>
        <v>2299884.2384207109</v>
      </c>
      <c r="F15" s="679"/>
      <c r="G15" s="679"/>
      <c r="H15" s="679"/>
      <c r="I15" s="679"/>
      <c r="J15" s="679"/>
      <c r="K15" s="679"/>
      <c r="L15" s="679"/>
      <c r="M15" s="679"/>
      <c r="O15" s="679"/>
      <c r="P15" s="679"/>
      <c r="Q15" s="679"/>
      <c r="R15" s="679"/>
    </row>
    <row r="16" spans="1:18" s="112" customFormat="1" ht="18" x14ac:dyDescent="0.25">
      <c r="A16" s="687" t="s">
        <v>474</v>
      </c>
      <c r="B16" s="688"/>
      <c r="C16" s="685">
        <f>'19 ei felh. terv bevétel'!D11</f>
        <v>539951</v>
      </c>
      <c r="D16" s="685">
        <f>D11</f>
        <v>1104873.8518563926</v>
      </c>
      <c r="E16" s="689">
        <f t="shared" ref="E16:E26" si="2">+E15+C16-D16</f>
        <v>1734961.3865643183</v>
      </c>
      <c r="F16" s="679"/>
      <c r="G16" s="679"/>
      <c r="H16" s="679"/>
      <c r="I16" s="679"/>
      <c r="J16" s="679"/>
      <c r="K16" s="679"/>
      <c r="L16" s="679"/>
      <c r="M16" s="679"/>
      <c r="O16" s="679"/>
      <c r="P16" s="679"/>
      <c r="Q16" s="679"/>
      <c r="R16" s="679"/>
    </row>
    <row r="17" spans="1:18" s="112" customFormat="1" ht="18" x14ac:dyDescent="0.25">
      <c r="A17" s="687" t="s">
        <v>426</v>
      </c>
      <c r="B17" s="688"/>
      <c r="C17" s="685">
        <f>'19 ei felh. terv bevétel'!E11</f>
        <v>3589549</v>
      </c>
      <c r="D17" s="685">
        <f>E11</f>
        <v>2037473.0865059979</v>
      </c>
      <c r="E17" s="689">
        <f t="shared" si="2"/>
        <v>3287037.3000583202</v>
      </c>
      <c r="F17" s="679"/>
      <c r="G17" s="679"/>
      <c r="H17" s="679"/>
      <c r="I17" s="679"/>
      <c r="J17" s="679"/>
      <c r="K17" s="679"/>
      <c r="L17" s="679"/>
      <c r="M17" s="679"/>
      <c r="O17" s="679"/>
      <c r="P17" s="679"/>
      <c r="Q17" s="679"/>
      <c r="R17" s="679"/>
    </row>
    <row r="18" spans="1:18" s="112" customFormat="1" ht="18" x14ac:dyDescent="0.25">
      <c r="A18" s="687" t="s">
        <v>427</v>
      </c>
      <c r="B18" s="688"/>
      <c r="C18" s="685">
        <f>'19 ei felh. terv bevétel'!F11</f>
        <v>12281177</v>
      </c>
      <c r="D18" s="685">
        <f>F11</f>
        <v>1129246.1394247501</v>
      </c>
      <c r="E18" s="689">
        <f t="shared" si="2"/>
        <v>14438968.16063357</v>
      </c>
      <c r="F18" s="679"/>
      <c r="G18" s="679"/>
      <c r="H18" s="679"/>
      <c r="I18" s="679"/>
      <c r="J18" s="679"/>
      <c r="K18" s="679"/>
      <c r="L18" s="679"/>
      <c r="M18" s="679"/>
      <c r="O18" s="679"/>
      <c r="P18" s="679"/>
      <c r="Q18" s="679"/>
      <c r="R18" s="679"/>
    </row>
    <row r="19" spans="1:18" s="112" customFormat="1" ht="18" x14ac:dyDescent="0.25">
      <c r="A19" s="687" t="s">
        <v>428</v>
      </c>
      <c r="B19" s="688"/>
      <c r="C19" s="685">
        <f>'19 ei felh. terv bevétel'!G11</f>
        <v>727456</v>
      </c>
      <c r="D19" s="685">
        <f>G11</f>
        <v>1258765.3694351478</v>
      </c>
      <c r="E19" s="689">
        <f t="shared" si="2"/>
        <v>13907658.791198421</v>
      </c>
      <c r="F19" s="679"/>
      <c r="G19" s="679"/>
      <c r="H19" s="679"/>
      <c r="I19" s="679"/>
      <c r="J19" s="679"/>
      <c r="K19" s="679"/>
      <c r="L19" s="679"/>
      <c r="M19" s="679"/>
      <c r="O19" s="679"/>
      <c r="P19" s="679"/>
      <c r="Q19" s="679"/>
      <c r="R19" s="679"/>
    </row>
    <row r="20" spans="1:18" s="112" customFormat="1" ht="18" x14ac:dyDescent="0.25">
      <c r="A20" s="687" t="s">
        <v>475</v>
      </c>
      <c r="B20" s="688"/>
      <c r="C20" s="685">
        <f>'19 ei felh. terv bevétel'!H11</f>
        <v>1402939</v>
      </c>
      <c r="D20" s="685">
        <f>H11</f>
        <v>3977725.8440615702</v>
      </c>
      <c r="E20" s="689">
        <f t="shared" si="2"/>
        <v>11332871.947136851</v>
      </c>
      <c r="F20" s="679"/>
      <c r="G20" s="679"/>
      <c r="H20" s="679"/>
      <c r="I20" s="679"/>
      <c r="J20" s="679"/>
      <c r="K20" s="679"/>
      <c r="L20" s="679"/>
      <c r="M20" s="679"/>
      <c r="O20" s="679"/>
      <c r="P20" s="679"/>
      <c r="Q20" s="679"/>
      <c r="R20" s="679"/>
    </row>
    <row r="21" spans="1:18" s="112" customFormat="1" ht="18" x14ac:dyDescent="0.25">
      <c r="A21" s="687" t="s">
        <v>476</v>
      </c>
      <c r="B21" s="688"/>
      <c r="C21" s="685">
        <f>'19 ei felh. terv bevétel'!I11</f>
        <v>639951</v>
      </c>
      <c r="D21" s="685">
        <f>I11</f>
        <v>3983392.664854601</v>
      </c>
      <c r="E21" s="689">
        <f t="shared" si="2"/>
        <v>7989430.28228225</v>
      </c>
      <c r="F21" s="679"/>
      <c r="G21" s="679"/>
      <c r="H21" s="679"/>
      <c r="I21" s="679"/>
      <c r="J21" s="679"/>
      <c r="K21" s="679"/>
      <c r="L21" s="679"/>
      <c r="M21" s="679"/>
      <c r="O21" s="679"/>
      <c r="P21" s="679"/>
      <c r="Q21" s="679"/>
      <c r="R21" s="679"/>
    </row>
    <row r="22" spans="1:18" s="112" customFormat="1" ht="18" x14ac:dyDescent="0.25">
      <c r="A22" s="687" t="s">
        <v>477</v>
      </c>
      <c r="B22" s="688"/>
      <c r="C22" s="685">
        <f>'19 ei felh. terv bevétel'!J11</f>
        <v>1219029</v>
      </c>
      <c r="D22" s="685">
        <f>J11</f>
        <v>4050820.0743226288</v>
      </c>
      <c r="E22" s="689">
        <f t="shared" si="2"/>
        <v>5157639.2079596212</v>
      </c>
      <c r="F22" s="679"/>
      <c r="G22" s="679"/>
      <c r="H22" s="679"/>
      <c r="I22" s="679"/>
      <c r="J22" s="679"/>
      <c r="K22" s="679"/>
      <c r="L22" s="679"/>
      <c r="M22" s="679"/>
      <c r="O22" s="679"/>
      <c r="P22" s="679"/>
      <c r="Q22" s="679"/>
      <c r="R22" s="679"/>
    </row>
    <row r="23" spans="1:18" s="112" customFormat="1" ht="18" x14ac:dyDescent="0.25">
      <c r="A23" s="687" t="s">
        <v>429</v>
      </c>
      <c r="B23" s="688"/>
      <c r="C23" s="685">
        <f>'19 ei felh. terv bevétel'!K11</f>
        <v>4392168</v>
      </c>
      <c r="D23" s="685">
        <f>K11</f>
        <v>5036437.5609705299</v>
      </c>
      <c r="E23" s="689">
        <f t="shared" si="2"/>
        <v>4513369.6469890922</v>
      </c>
      <c r="F23" s="679"/>
      <c r="G23" s="679"/>
      <c r="H23" s="679"/>
      <c r="I23" s="679"/>
      <c r="J23" s="679"/>
      <c r="K23" s="679"/>
      <c r="L23" s="679"/>
      <c r="M23" s="679"/>
      <c r="O23" s="679"/>
      <c r="P23" s="679"/>
      <c r="Q23" s="679"/>
      <c r="R23" s="679"/>
    </row>
    <row r="24" spans="1:18" s="112" customFormat="1" ht="18" x14ac:dyDescent="0.25">
      <c r="A24" s="687" t="s">
        <v>431</v>
      </c>
      <c r="B24" s="688"/>
      <c r="C24" s="685">
        <f>'19 ei felh. terv bevétel'!L11</f>
        <v>1426400</v>
      </c>
      <c r="D24" s="685">
        <f>L11</f>
        <v>2857375.5021193903</v>
      </c>
      <c r="E24" s="689">
        <f t="shared" si="2"/>
        <v>3082394.1448697019</v>
      </c>
      <c r="F24" s="679"/>
      <c r="G24" s="679"/>
      <c r="H24" s="679"/>
      <c r="I24" s="679"/>
      <c r="J24" s="679"/>
      <c r="K24" s="679"/>
      <c r="L24" s="679"/>
      <c r="M24" s="679"/>
      <c r="O24" s="679"/>
      <c r="P24" s="679"/>
      <c r="Q24" s="679"/>
      <c r="R24" s="679"/>
    </row>
    <row r="25" spans="1:18" s="112" customFormat="1" ht="18" x14ac:dyDescent="0.25">
      <c r="A25" s="687" t="s">
        <v>478</v>
      </c>
      <c r="B25" s="688"/>
      <c r="C25" s="685">
        <f>'19 ei felh. terv bevétel'!M11</f>
        <v>1339951</v>
      </c>
      <c r="D25" s="685">
        <f>M11</f>
        <v>3019982.7692144401</v>
      </c>
      <c r="E25" s="689">
        <f t="shared" si="2"/>
        <v>1402362.3756552618</v>
      </c>
      <c r="F25" s="679"/>
      <c r="G25" s="679"/>
      <c r="H25" s="679"/>
      <c r="I25" s="679"/>
      <c r="J25" s="679"/>
      <c r="K25" s="679"/>
      <c r="L25" s="679"/>
      <c r="M25" s="679"/>
      <c r="O25" s="679"/>
      <c r="P25" s="679"/>
      <c r="Q25" s="679"/>
      <c r="R25" s="679"/>
    </row>
    <row r="26" spans="1:18" s="112" customFormat="1" ht="18.75" thickBot="1" x14ac:dyDescent="0.3">
      <c r="A26" s="690" t="s">
        <v>479</v>
      </c>
      <c r="B26" s="691"/>
      <c r="C26" s="692">
        <f>'19 ei felh. terv bevétel'!N11</f>
        <v>4990248</v>
      </c>
      <c r="D26" s="692">
        <f>N11</f>
        <v>3377352.3756552599</v>
      </c>
      <c r="E26" s="693">
        <f t="shared" si="2"/>
        <v>3015258.0000000019</v>
      </c>
      <c r="F26" s="679"/>
      <c r="G26" s="679"/>
      <c r="H26" s="679"/>
      <c r="I26" s="679"/>
      <c r="J26" s="679"/>
      <c r="K26" s="679"/>
      <c r="L26" s="679"/>
      <c r="M26" s="679"/>
      <c r="O26" s="679"/>
      <c r="P26" s="679"/>
      <c r="Q26" s="679"/>
      <c r="R26" s="679"/>
    </row>
    <row r="27" spans="1:18" s="112" customFormat="1" ht="18.75" thickBot="1" x14ac:dyDescent="0.3">
      <c r="A27" s="694" t="s">
        <v>384</v>
      </c>
      <c r="B27" s="695"/>
      <c r="C27" s="696">
        <f>SUM(C15:C26)</f>
        <v>33088770</v>
      </c>
      <c r="D27" s="696">
        <f>SUM(D15:D26)</f>
        <v>33088770</v>
      </c>
      <c r="E27" s="697">
        <f>+C27-D27</f>
        <v>0</v>
      </c>
      <c r="G27" s="679"/>
      <c r="H27" s="679"/>
      <c r="I27" s="679"/>
      <c r="J27" s="679"/>
      <c r="K27" s="679"/>
      <c r="L27" s="679"/>
      <c r="M27" s="679"/>
      <c r="O27" s="679"/>
      <c r="P27" s="679"/>
      <c r="Q27" s="679"/>
      <c r="R27" s="679"/>
    </row>
    <row r="30" spans="1:18" x14ac:dyDescent="0.2">
      <c r="B30" s="674">
        <f>B11-'2 mérleg'!K58</f>
        <v>0</v>
      </c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43" orientation="landscape" r:id="rId1"/>
  <headerFooter alignWithMargins="0">
    <oddHeader xml:space="preserve">&amp;L&amp;F&amp;A&amp;R&amp;"Times New Roman CE,Félkövér"&amp;12 19. melléklet a 12/2017. (V.3.) önkormányzati rendelethez
"19. melléklet a 4/2017. (III.7.) önkormányzati rendelethez”
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O113"/>
  <sheetViews>
    <sheetView zoomScale="75" zoomScaleNormal="75" workbookViewId="0">
      <selection activeCell="J109" sqref="J109"/>
    </sheetView>
  </sheetViews>
  <sheetFormatPr defaultRowHeight="21" customHeight="1" x14ac:dyDescent="0.2"/>
  <cols>
    <col min="1" max="1" width="21.33203125" style="5" customWidth="1"/>
    <col min="2" max="2" width="5" style="5" customWidth="1"/>
    <col min="3" max="5" width="2.33203125" style="5" customWidth="1"/>
    <col min="6" max="6" width="193.6640625" style="5" customWidth="1"/>
    <col min="7" max="7" width="34.33203125" style="4" customWidth="1"/>
    <col min="8" max="8" width="35" style="4" bestFit="1" customWidth="1"/>
    <col min="9" max="9" width="37.33203125" style="4" customWidth="1"/>
    <col min="10" max="10" width="24.83203125" style="5" customWidth="1"/>
    <col min="11" max="11" width="17.33203125" style="5" bestFit="1" customWidth="1"/>
    <col min="12" max="12" width="9.33203125" style="5"/>
    <col min="13" max="13" width="14" style="5" bestFit="1" customWidth="1"/>
    <col min="14" max="14" width="9.33203125" style="5"/>
    <col min="15" max="15" width="14" style="5" bestFit="1" customWidth="1"/>
    <col min="16" max="16384" width="9.33203125" style="5"/>
  </cols>
  <sheetData>
    <row r="1" spans="1:15" ht="21" customHeight="1" x14ac:dyDescent="0.25">
      <c r="B1" s="1186"/>
      <c r="C1" s="1186"/>
      <c r="D1" s="1186"/>
      <c r="E1" s="1186"/>
      <c r="F1" s="1186"/>
      <c r="G1" s="397"/>
      <c r="H1" s="397"/>
      <c r="I1" s="397"/>
    </row>
    <row r="2" spans="1:15" ht="21" customHeight="1" x14ac:dyDescent="0.25">
      <c r="B2" s="1187" t="s">
        <v>201</v>
      </c>
      <c r="C2" s="1187"/>
      <c r="D2" s="1187"/>
      <c r="E2" s="1187"/>
      <c r="F2" s="1187"/>
      <c r="G2" s="1187"/>
      <c r="H2" s="1187"/>
      <c r="I2" s="1187"/>
    </row>
    <row r="3" spans="1:15" ht="21" customHeight="1" x14ac:dyDescent="0.25">
      <c r="B3" s="3"/>
      <c r="C3" s="3"/>
      <c r="D3" s="3"/>
      <c r="E3" s="3"/>
      <c r="F3" s="3"/>
      <c r="G3" s="397"/>
      <c r="H3" s="397"/>
      <c r="I3" s="397"/>
    </row>
    <row r="4" spans="1:15" ht="21" customHeight="1" thickBot="1" x14ac:dyDescent="0.3">
      <c r="C4" s="13"/>
      <c r="D4" s="13"/>
      <c r="E4" s="13"/>
      <c r="F4" s="37"/>
      <c r="G4" s="810"/>
      <c r="H4" s="810"/>
      <c r="I4" s="535" t="s">
        <v>419</v>
      </c>
    </row>
    <row r="5" spans="1:15" ht="21" customHeight="1" x14ac:dyDescent="0.25">
      <c r="B5" s="549"/>
      <c r="C5" s="550"/>
      <c r="D5" s="550"/>
      <c r="E5" s="550"/>
      <c r="F5" s="551" t="s">
        <v>329</v>
      </c>
      <c r="G5" s="811" t="s">
        <v>542</v>
      </c>
      <c r="H5" s="399" t="s">
        <v>677</v>
      </c>
      <c r="I5" s="811" t="s">
        <v>750</v>
      </c>
    </row>
    <row r="6" spans="1:15" ht="21" customHeight="1" thickBot="1" x14ac:dyDescent="0.3">
      <c r="B6" s="552"/>
      <c r="C6" s="553"/>
      <c r="D6" s="553"/>
      <c r="E6" s="553"/>
      <c r="F6" s="554"/>
      <c r="G6" s="794" t="s">
        <v>159</v>
      </c>
      <c r="H6" s="400" t="s">
        <v>678</v>
      </c>
      <c r="I6" s="794" t="s">
        <v>541</v>
      </c>
    </row>
    <row r="7" spans="1:15" s="10" customFormat="1" ht="21" customHeight="1" x14ac:dyDescent="0.25">
      <c r="B7" s="291" t="s">
        <v>195</v>
      </c>
      <c r="C7" s="292"/>
      <c r="D7" s="168"/>
      <c r="E7" s="168"/>
      <c r="F7" s="168"/>
      <c r="G7" s="812"/>
      <c r="H7" s="275"/>
      <c r="I7" s="812"/>
    </row>
    <row r="8" spans="1:15" s="152" customFormat="1" ht="21" customHeight="1" x14ac:dyDescent="0.3">
      <c r="A8" s="152">
        <v>111001</v>
      </c>
      <c r="B8" s="558"/>
      <c r="C8" s="294" t="s">
        <v>40</v>
      </c>
      <c r="D8" s="294"/>
      <c r="E8" s="294"/>
      <c r="F8" s="856"/>
      <c r="G8" s="857">
        <v>60</v>
      </c>
      <c r="H8" s="858">
        <v>5264</v>
      </c>
      <c r="I8" s="857">
        <f>G8+H8</f>
        <v>5324</v>
      </c>
      <c r="K8" s="217"/>
      <c r="L8" s="217"/>
      <c r="M8" s="217"/>
    </row>
    <row r="9" spans="1:15" s="150" customFormat="1" ht="21" customHeight="1" x14ac:dyDescent="0.3">
      <c r="B9" s="558"/>
      <c r="C9" s="294"/>
      <c r="D9" s="294"/>
      <c r="E9" s="294"/>
      <c r="F9" s="741" t="s">
        <v>681</v>
      </c>
      <c r="G9" s="743"/>
      <c r="H9" s="742">
        <v>5264</v>
      </c>
      <c r="I9" s="743">
        <f>SUM(G9:H9)</f>
        <v>5264</v>
      </c>
      <c r="K9" s="4"/>
    </row>
    <row r="10" spans="1:15" s="150" customFormat="1" ht="24.75" customHeight="1" x14ac:dyDescent="0.3">
      <c r="A10" s="150">
        <v>111002</v>
      </c>
      <c r="B10" s="558"/>
      <c r="C10" s="737" t="s">
        <v>41</v>
      </c>
      <c r="D10" s="737"/>
      <c r="E10" s="737"/>
      <c r="F10" s="738"/>
      <c r="G10" s="740">
        <f>1441659+51297</f>
        <v>1492956</v>
      </c>
      <c r="H10" s="739">
        <v>0</v>
      </c>
      <c r="I10" s="740">
        <f>G10+H10</f>
        <v>1492956</v>
      </c>
      <c r="K10" s="4"/>
      <c r="M10" s="548"/>
    </row>
    <row r="11" spans="1:15" s="150" customFormat="1" ht="21" customHeight="1" x14ac:dyDescent="0.3">
      <c r="A11" s="150">
        <v>111003</v>
      </c>
      <c r="B11" s="558"/>
      <c r="C11" s="746" t="s">
        <v>97</v>
      </c>
      <c r="D11" s="746"/>
      <c r="E11" s="746"/>
      <c r="F11" s="747"/>
      <c r="G11" s="748">
        <v>771293</v>
      </c>
      <c r="H11" s="749">
        <f>42501+10920+1738</f>
        <v>55159</v>
      </c>
      <c r="I11" s="748">
        <f>SUM(G11:H11)</f>
        <v>826452</v>
      </c>
      <c r="K11" s="4"/>
    </row>
    <row r="12" spans="1:15" s="150" customFormat="1" ht="21" customHeight="1" x14ac:dyDescent="0.3">
      <c r="A12" s="150">
        <v>111004</v>
      </c>
      <c r="B12" s="558"/>
      <c r="C12" s="294"/>
      <c r="D12" s="559"/>
      <c r="E12" s="561"/>
      <c r="F12" s="559" t="s">
        <v>687</v>
      </c>
      <c r="G12" s="716"/>
      <c r="H12" s="560"/>
      <c r="I12" s="716"/>
      <c r="J12" s="229"/>
      <c r="K12" s="4"/>
      <c r="L12" s="229"/>
      <c r="M12" s="229"/>
      <c r="N12" s="229"/>
      <c r="O12" s="229"/>
    </row>
    <row r="13" spans="1:15" s="150" customFormat="1" ht="21" customHeight="1" x14ac:dyDescent="0.3">
      <c r="B13" s="558"/>
      <c r="C13" s="294"/>
      <c r="D13" s="559"/>
      <c r="E13" s="561"/>
      <c r="F13" s="559" t="s">
        <v>686</v>
      </c>
      <c r="G13" s="716"/>
      <c r="H13" s="560">
        <v>42501</v>
      </c>
      <c r="I13" s="716">
        <f>G13+H13</f>
        <v>42501</v>
      </c>
      <c r="J13" s="229"/>
      <c r="K13" s="4"/>
      <c r="L13" s="229"/>
      <c r="M13" s="229"/>
      <c r="N13" s="229"/>
      <c r="O13" s="229"/>
    </row>
    <row r="14" spans="1:15" s="150" customFormat="1" ht="21" customHeight="1" x14ac:dyDescent="0.3">
      <c r="B14" s="558"/>
      <c r="C14" s="294"/>
      <c r="D14" s="559"/>
      <c r="E14" s="561"/>
      <c r="F14" s="559" t="s">
        <v>694</v>
      </c>
      <c r="G14" s="716"/>
      <c r="H14" s="560">
        <v>1738</v>
      </c>
      <c r="I14" s="716">
        <f>G14+H14</f>
        <v>1738</v>
      </c>
      <c r="J14" s="229"/>
      <c r="K14" s="4"/>
      <c r="L14" s="229"/>
      <c r="M14" s="229"/>
      <c r="N14" s="229"/>
      <c r="O14" s="229"/>
    </row>
    <row r="15" spans="1:15" s="150" customFormat="1" ht="21" customHeight="1" x14ac:dyDescent="0.3">
      <c r="B15" s="558"/>
      <c r="C15" s="294"/>
      <c r="D15" s="744"/>
      <c r="E15" s="745"/>
      <c r="F15" s="744" t="s">
        <v>695</v>
      </c>
      <c r="G15" s="813"/>
      <c r="H15" s="560">
        <v>10920</v>
      </c>
      <c r="I15" s="716">
        <f>G15+H15</f>
        <v>10920</v>
      </c>
      <c r="J15" s="229"/>
      <c r="K15" s="4"/>
      <c r="L15" s="229"/>
      <c r="M15" s="229"/>
      <c r="N15" s="229"/>
      <c r="O15" s="229"/>
    </row>
    <row r="16" spans="1:15" s="150" customFormat="1" ht="21" customHeight="1" x14ac:dyDescent="0.3">
      <c r="B16" s="558"/>
      <c r="C16" s="773" t="s">
        <v>42</v>
      </c>
      <c r="D16" s="773"/>
      <c r="E16" s="773"/>
      <c r="F16" s="774"/>
      <c r="G16" s="749"/>
      <c r="H16" s="749"/>
      <c r="I16" s="749"/>
      <c r="K16" s="4"/>
    </row>
    <row r="17" spans="1:11" ht="21" customHeight="1" x14ac:dyDescent="0.25">
      <c r="A17" s="5">
        <v>112001</v>
      </c>
      <c r="B17" s="295"/>
      <c r="C17" s="66"/>
      <c r="D17" s="296" t="s">
        <v>204</v>
      </c>
      <c r="E17" s="296"/>
      <c r="F17" s="573"/>
      <c r="G17" s="282">
        <v>127300</v>
      </c>
      <c r="H17" s="276"/>
      <c r="I17" s="282">
        <f>G17+H17</f>
        <v>127300</v>
      </c>
      <c r="K17" s="4"/>
    </row>
    <row r="18" spans="1:11" ht="21" customHeight="1" x14ac:dyDescent="0.25">
      <c r="A18" s="5">
        <v>112002</v>
      </c>
      <c r="B18" s="295"/>
      <c r="C18" s="66"/>
      <c r="D18" s="296" t="s">
        <v>205</v>
      </c>
      <c r="E18" s="179"/>
      <c r="F18" s="562"/>
      <c r="G18" s="282">
        <v>84900</v>
      </c>
      <c r="H18" s="276"/>
      <c r="I18" s="282">
        <f t="shared" ref="I18:I25" si="0">G18+H18</f>
        <v>84900</v>
      </c>
      <c r="K18" s="4"/>
    </row>
    <row r="19" spans="1:11" ht="21" customHeight="1" x14ac:dyDescent="0.25">
      <c r="A19" s="5">
        <v>112003</v>
      </c>
      <c r="B19" s="295"/>
      <c r="C19" s="66"/>
      <c r="D19" s="296" t="s">
        <v>206</v>
      </c>
      <c r="E19" s="179"/>
      <c r="F19" s="562"/>
      <c r="G19" s="282">
        <v>40200</v>
      </c>
      <c r="H19" s="276"/>
      <c r="I19" s="282">
        <f t="shared" si="0"/>
        <v>40200</v>
      </c>
      <c r="K19" s="4"/>
    </row>
    <row r="20" spans="1:11" ht="21" customHeight="1" x14ac:dyDescent="0.25">
      <c r="A20" s="5">
        <v>112004</v>
      </c>
      <c r="B20" s="295"/>
      <c r="C20" s="66"/>
      <c r="D20" s="296" t="s">
        <v>207</v>
      </c>
      <c r="E20" s="179"/>
      <c r="F20" s="562"/>
      <c r="G20" s="282">
        <v>26800</v>
      </c>
      <c r="H20" s="276"/>
      <c r="I20" s="282">
        <f t="shared" si="0"/>
        <v>26800</v>
      </c>
      <c r="K20" s="4"/>
    </row>
    <row r="21" spans="1:11" ht="21" customHeight="1" x14ac:dyDescent="0.25">
      <c r="A21" s="5">
        <v>112005</v>
      </c>
      <c r="B21" s="295"/>
      <c r="C21" s="66"/>
      <c r="D21" s="179" t="s">
        <v>211</v>
      </c>
      <c r="E21" s="179"/>
      <c r="F21" s="562"/>
      <c r="G21" s="290">
        <v>164400</v>
      </c>
      <c r="H21" s="277"/>
      <c r="I21" s="282">
        <f t="shared" si="0"/>
        <v>164400</v>
      </c>
      <c r="K21" s="4"/>
    </row>
    <row r="22" spans="1:11" ht="21" customHeight="1" x14ac:dyDescent="0.25">
      <c r="A22" s="5">
        <v>112006</v>
      </c>
      <c r="B22" s="295"/>
      <c r="C22" s="66"/>
      <c r="D22" s="179" t="s">
        <v>415</v>
      </c>
      <c r="E22" s="179"/>
      <c r="F22" s="562"/>
      <c r="G22" s="282">
        <v>139800</v>
      </c>
      <c r="H22" s="276"/>
      <c r="I22" s="282">
        <f t="shared" si="0"/>
        <v>139800</v>
      </c>
      <c r="K22" s="4"/>
    </row>
    <row r="23" spans="1:11" ht="21" customHeight="1" x14ac:dyDescent="0.25">
      <c r="A23" s="5">
        <v>112007</v>
      </c>
      <c r="B23" s="295"/>
      <c r="C23" s="66"/>
      <c r="D23" s="179" t="s">
        <v>416</v>
      </c>
      <c r="E23" s="179"/>
      <c r="F23" s="562"/>
      <c r="G23" s="282">
        <v>119400</v>
      </c>
      <c r="H23" s="276"/>
      <c r="I23" s="282">
        <f t="shared" si="0"/>
        <v>119400</v>
      </c>
      <c r="K23" s="4"/>
    </row>
    <row r="24" spans="1:11" ht="21" customHeight="1" x14ac:dyDescent="0.25">
      <c r="A24" s="5">
        <v>112008</v>
      </c>
      <c r="B24" s="295"/>
      <c r="C24" s="66"/>
      <c r="D24" s="179" t="s">
        <v>418</v>
      </c>
      <c r="E24" s="179"/>
      <c r="F24" s="562"/>
      <c r="G24" s="282">
        <v>140709</v>
      </c>
      <c r="H24" s="276"/>
      <c r="I24" s="282">
        <f t="shared" si="0"/>
        <v>140709</v>
      </c>
      <c r="K24" s="4"/>
    </row>
    <row r="25" spans="1:11" ht="21" customHeight="1" x14ac:dyDescent="0.25">
      <c r="A25" s="5">
        <v>112009</v>
      </c>
      <c r="B25" s="295"/>
      <c r="C25" s="66"/>
      <c r="D25" s="179" t="s">
        <v>417</v>
      </c>
      <c r="E25" s="179"/>
      <c r="F25" s="562"/>
      <c r="G25" s="282">
        <v>30938</v>
      </c>
      <c r="H25" s="276"/>
      <c r="I25" s="282">
        <f t="shared" si="0"/>
        <v>30938</v>
      </c>
      <c r="K25" s="4"/>
    </row>
    <row r="26" spans="1:11" s="150" customFormat="1" ht="21" customHeight="1" x14ac:dyDescent="0.3">
      <c r="B26" s="558"/>
      <c r="C26" s="745" t="s">
        <v>599</v>
      </c>
      <c r="D26" s="745"/>
      <c r="E26" s="745"/>
      <c r="F26" s="775"/>
      <c r="G26" s="776">
        <f>SUM(G17:G25)</f>
        <v>874447</v>
      </c>
      <c r="H26" s="776">
        <f>SUM(H17:H25)</f>
        <v>0</v>
      </c>
      <c r="I26" s="776">
        <f>SUM(I17:I25)</f>
        <v>874447</v>
      </c>
      <c r="K26" s="4"/>
    </row>
    <row r="27" spans="1:11" s="152" customFormat="1" ht="21" customHeight="1" x14ac:dyDescent="0.3">
      <c r="B27" s="558"/>
      <c r="C27" s="746" t="s">
        <v>98</v>
      </c>
      <c r="D27" s="746"/>
      <c r="E27" s="746"/>
      <c r="F27" s="747"/>
      <c r="G27" s="749"/>
      <c r="H27" s="749"/>
      <c r="I27" s="749"/>
      <c r="K27" s="4"/>
    </row>
    <row r="28" spans="1:11" s="152" customFormat="1" ht="21" customHeight="1" x14ac:dyDescent="0.3">
      <c r="A28" s="5">
        <v>113018</v>
      </c>
      <c r="B28" s="558"/>
      <c r="C28" s="294"/>
      <c r="D28" s="563" t="s">
        <v>696</v>
      </c>
      <c r="E28" s="563"/>
      <c r="F28" s="563"/>
      <c r="G28" s="276"/>
      <c r="H28" s="276">
        <v>10407</v>
      </c>
      <c r="I28" s="276">
        <f t="shared" ref="I28:I33" si="1">G28+H28</f>
        <v>10407</v>
      </c>
      <c r="K28" s="4"/>
    </row>
    <row r="29" spans="1:11" s="152" customFormat="1" ht="21" customHeight="1" x14ac:dyDescent="0.3">
      <c r="A29" s="5"/>
      <c r="B29" s="558"/>
      <c r="C29" s="294"/>
      <c r="D29" s="563" t="s">
        <v>688</v>
      </c>
      <c r="E29" s="563"/>
      <c r="F29" s="563"/>
      <c r="G29" s="276"/>
      <c r="H29" s="276">
        <v>19516</v>
      </c>
      <c r="I29" s="276">
        <f t="shared" si="1"/>
        <v>19516</v>
      </c>
      <c r="K29" s="4"/>
    </row>
    <row r="30" spans="1:11" s="152" customFormat="1" ht="21" customHeight="1" x14ac:dyDescent="0.3">
      <c r="A30" s="5">
        <v>114001</v>
      </c>
      <c r="B30" s="558"/>
      <c r="C30" s="294"/>
      <c r="D30" s="563" t="s">
        <v>99</v>
      </c>
      <c r="E30" s="563"/>
      <c r="F30" s="563"/>
      <c r="G30" s="276"/>
      <c r="H30" s="276">
        <v>1817</v>
      </c>
      <c r="I30" s="276">
        <f t="shared" si="1"/>
        <v>1817</v>
      </c>
      <c r="K30" s="4"/>
    </row>
    <row r="31" spans="1:11" s="152" customFormat="1" ht="21" customHeight="1" x14ac:dyDescent="0.3">
      <c r="B31" s="558"/>
      <c r="C31" s="750" t="s">
        <v>600</v>
      </c>
      <c r="D31" s="737"/>
      <c r="E31" s="737"/>
      <c r="F31" s="738"/>
      <c r="G31" s="739">
        <f>SUM(G28:G30)</f>
        <v>0</v>
      </c>
      <c r="H31" s="739">
        <f>SUM(H28:H30)</f>
        <v>31740</v>
      </c>
      <c r="I31" s="739">
        <f>SUM(I28:I30)</f>
        <v>31740</v>
      </c>
      <c r="K31" s="4"/>
    </row>
    <row r="32" spans="1:11" ht="21" customHeight="1" x14ac:dyDescent="0.3">
      <c r="B32" s="558"/>
      <c r="C32" s="746" t="s">
        <v>602</v>
      </c>
      <c r="D32" s="746"/>
      <c r="E32" s="746"/>
      <c r="F32" s="747"/>
      <c r="G32" s="777"/>
      <c r="H32" s="777"/>
      <c r="I32" s="777"/>
      <c r="K32" s="4"/>
    </row>
    <row r="33" spans="1:11" ht="21" customHeight="1" x14ac:dyDescent="0.25">
      <c r="B33" s="295"/>
      <c r="C33" s="66"/>
      <c r="D33" s="57"/>
      <c r="E33" s="57"/>
      <c r="F33" s="751"/>
      <c r="G33" s="88"/>
      <c r="H33" s="88"/>
      <c r="I33" s="88">
        <f t="shared" si="1"/>
        <v>0</v>
      </c>
      <c r="K33" s="4"/>
    </row>
    <row r="34" spans="1:11" ht="21" customHeight="1" thickBot="1" x14ac:dyDescent="0.35">
      <c r="B34" s="558"/>
      <c r="C34" s="752" t="s">
        <v>601</v>
      </c>
      <c r="D34" s="752"/>
      <c r="E34" s="752"/>
      <c r="F34" s="753"/>
      <c r="G34" s="754">
        <f>SUM(G33)</f>
        <v>0</v>
      </c>
      <c r="H34" s="754">
        <f>SUM(H33)</f>
        <v>0</v>
      </c>
      <c r="I34" s="754">
        <f>SUM(I33)</f>
        <v>0</v>
      </c>
      <c r="K34" s="4"/>
    </row>
    <row r="35" spans="1:11" ht="21" customHeight="1" thickBot="1" x14ac:dyDescent="0.35">
      <c r="B35" s="291" t="s">
        <v>603</v>
      </c>
      <c r="C35" s="555" t="s">
        <v>39</v>
      </c>
      <c r="D35" s="556"/>
      <c r="E35" s="556"/>
      <c r="F35" s="556"/>
      <c r="G35" s="557">
        <f>G8+G10+G11+G26+G31+G34</f>
        <v>3138756</v>
      </c>
      <c r="H35" s="557">
        <f>H8+H10+H11+H26+H31+H34</f>
        <v>92163</v>
      </c>
      <c r="I35" s="557">
        <f>I8+I10+I11+I26+I31+I34</f>
        <v>3230919</v>
      </c>
      <c r="J35" s="4"/>
      <c r="K35" s="4"/>
    </row>
    <row r="36" spans="1:11" ht="21" customHeight="1" thickBot="1" x14ac:dyDescent="0.35">
      <c r="B36" s="291"/>
      <c r="C36" s="555"/>
      <c r="D36" s="755" t="s">
        <v>598</v>
      </c>
      <c r="E36" s="556"/>
      <c r="F36" s="556"/>
      <c r="G36" s="557"/>
      <c r="H36" s="557"/>
      <c r="I36" s="557"/>
      <c r="J36" s="4"/>
      <c r="K36" s="4"/>
    </row>
    <row r="37" spans="1:11" ht="21" customHeight="1" thickBot="1" x14ac:dyDescent="0.3">
      <c r="B37" s="778" t="s">
        <v>604</v>
      </c>
      <c r="C37" s="564" t="s">
        <v>76</v>
      </c>
      <c r="D37" s="565"/>
      <c r="E37" s="565"/>
      <c r="F37" s="565"/>
      <c r="G37" s="756">
        <f>G36</f>
        <v>0</v>
      </c>
      <c r="H37" s="756">
        <f>H36</f>
        <v>0</v>
      </c>
      <c r="I37" s="756">
        <f>I36</f>
        <v>0</v>
      </c>
      <c r="K37" s="4"/>
    </row>
    <row r="38" spans="1:11" ht="21" customHeight="1" x14ac:dyDescent="0.3">
      <c r="A38" s="5">
        <v>116001</v>
      </c>
      <c r="B38" s="68"/>
      <c r="C38" s="299"/>
      <c r="D38" s="567" t="s">
        <v>4</v>
      </c>
      <c r="E38" s="567"/>
      <c r="F38" s="433"/>
      <c r="G38" s="278">
        <v>30383</v>
      </c>
      <c r="H38" s="278">
        <v>23145</v>
      </c>
      <c r="I38" s="278">
        <f t="shared" ref="I38:I45" si="2">G38+H38</f>
        <v>53528</v>
      </c>
      <c r="K38" s="4"/>
    </row>
    <row r="39" spans="1:11" ht="21" customHeight="1" x14ac:dyDescent="0.3">
      <c r="B39" s="68"/>
      <c r="C39" s="299"/>
      <c r="D39" s="723" t="s">
        <v>529</v>
      </c>
      <c r="E39" s="567"/>
      <c r="F39" s="433"/>
      <c r="G39" s="278"/>
      <c r="H39" s="278">
        <v>1000</v>
      </c>
      <c r="I39" s="278">
        <f t="shared" si="2"/>
        <v>1000</v>
      </c>
      <c r="K39" s="4"/>
    </row>
    <row r="40" spans="1:11" ht="18.75" x14ac:dyDescent="0.3">
      <c r="B40" s="68"/>
      <c r="C40" s="299"/>
      <c r="D40" s="570" t="s">
        <v>559</v>
      </c>
      <c r="E40" s="569"/>
      <c r="F40" s="569"/>
      <c r="G40" s="278"/>
      <c r="H40" s="279">
        <v>2926</v>
      </c>
      <c r="I40" s="278">
        <f t="shared" si="2"/>
        <v>2926</v>
      </c>
      <c r="K40" s="4"/>
    </row>
    <row r="41" spans="1:11" ht="18.75" x14ac:dyDescent="0.3">
      <c r="B41" s="68"/>
      <c r="C41" s="299"/>
      <c r="D41" s="570" t="s">
        <v>560</v>
      </c>
      <c r="E41" s="569"/>
      <c r="F41" s="569"/>
      <c r="G41" s="278"/>
      <c r="H41" s="279">
        <v>15493</v>
      </c>
      <c r="I41" s="278">
        <f t="shared" si="2"/>
        <v>15493</v>
      </c>
      <c r="K41" s="4"/>
    </row>
    <row r="42" spans="1:11" ht="18.75" x14ac:dyDescent="0.3">
      <c r="B42" s="68"/>
      <c r="C42" s="299"/>
      <c r="D42" s="570" t="s">
        <v>648</v>
      </c>
      <c r="E42" s="724"/>
      <c r="F42" s="724"/>
      <c r="G42" s="655">
        <v>4320</v>
      </c>
      <c r="H42" s="655"/>
      <c r="I42" s="655">
        <f t="shared" si="2"/>
        <v>4320</v>
      </c>
      <c r="K42" s="4"/>
    </row>
    <row r="43" spans="1:11" ht="18.75" x14ac:dyDescent="0.3">
      <c r="B43" s="68"/>
      <c r="C43" s="299"/>
      <c r="D43" s="786" t="s">
        <v>671</v>
      </c>
      <c r="E43" s="569"/>
      <c r="F43" s="569"/>
      <c r="G43" s="655">
        <v>1500</v>
      </c>
      <c r="H43" s="655"/>
      <c r="I43" s="655">
        <f t="shared" si="2"/>
        <v>1500</v>
      </c>
      <c r="K43" s="4"/>
    </row>
    <row r="44" spans="1:11" ht="18.75" x14ac:dyDescent="0.3">
      <c r="B44" s="68"/>
      <c r="C44" s="299"/>
      <c r="D44" s="786" t="s">
        <v>737</v>
      </c>
      <c r="E44" s="569"/>
      <c r="F44" s="569"/>
      <c r="G44" s="655"/>
      <c r="H44" s="655">
        <v>943</v>
      </c>
      <c r="I44" s="655">
        <f t="shared" si="2"/>
        <v>943</v>
      </c>
      <c r="K44" s="4"/>
    </row>
    <row r="45" spans="1:11" ht="19.5" thickBot="1" x14ac:dyDescent="0.35">
      <c r="B45" s="68"/>
      <c r="C45" s="299"/>
      <c r="D45" s="786" t="s">
        <v>738</v>
      </c>
      <c r="E45" s="569"/>
      <c r="F45" s="569"/>
      <c r="G45" s="655"/>
      <c r="H45" s="655">
        <v>500</v>
      </c>
      <c r="I45" s="655">
        <f t="shared" si="2"/>
        <v>500</v>
      </c>
      <c r="K45" s="4"/>
    </row>
    <row r="46" spans="1:11" ht="21" customHeight="1" thickBot="1" x14ac:dyDescent="0.3">
      <c r="B46" s="291" t="s">
        <v>605</v>
      </c>
      <c r="C46" s="298" t="s">
        <v>75</v>
      </c>
      <c r="D46" s="566"/>
      <c r="E46" s="566"/>
      <c r="F46" s="566"/>
      <c r="G46" s="103">
        <f>SUM(G38:G45)</f>
        <v>36203</v>
      </c>
      <c r="H46" s="103">
        <f>SUM(H38:H45)</f>
        <v>44007</v>
      </c>
      <c r="I46" s="103">
        <f>SUM(I38:I45)</f>
        <v>80210</v>
      </c>
      <c r="K46" s="4"/>
    </row>
    <row r="47" spans="1:11" s="52" customFormat="1" ht="21" customHeight="1" thickBot="1" x14ac:dyDescent="0.35">
      <c r="B47" s="163" t="s">
        <v>606</v>
      </c>
      <c r="C47" s="164"/>
      <c r="D47" s="165"/>
      <c r="E47" s="165"/>
      <c r="F47" s="165"/>
      <c r="G47" s="166">
        <f>G35+G37+G46</f>
        <v>3174959</v>
      </c>
      <c r="H47" s="166">
        <f>H35+H37+H46</f>
        <v>136170</v>
      </c>
      <c r="I47" s="166">
        <f>I35+I37+I46</f>
        <v>3311129</v>
      </c>
      <c r="K47" s="4"/>
    </row>
    <row r="48" spans="1:11" ht="21" customHeight="1" x14ac:dyDescent="0.3">
      <c r="B48" s="300" t="s">
        <v>197</v>
      </c>
      <c r="C48" s="571"/>
      <c r="D48" s="571"/>
      <c r="E48" s="571"/>
      <c r="F48" s="572"/>
      <c r="G48" s="814"/>
      <c r="H48" s="815"/>
      <c r="I48" s="814"/>
      <c r="K48" s="4"/>
    </row>
    <row r="49" spans="1:13" s="10" customFormat="1" ht="21" customHeight="1" x14ac:dyDescent="0.3">
      <c r="B49" s="291"/>
      <c r="C49" s="299" t="s">
        <v>36</v>
      </c>
      <c r="D49" s="299"/>
      <c r="E49" s="299"/>
      <c r="F49" s="301"/>
      <c r="G49" s="816"/>
      <c r="H49" s="280"/>
      <c r="I49" s="816"/>
      <c r="K49" s="4"/>
    </row>
    <row r="50" spans="1:13" ht="21" customHeight="1" x14ac:dyDescent="0.25">
      <c r="A50" s="5">
        <v>120001</v>
      </c>
      <c r="B50" s="295"/>
      <c r="C50" s="66"/>
      <c r="D50" s="296" t="s">
        <v>379</v>
      </c>
      <c r="E50" s="296"/>
      <c r="F50" s="573"/>
      <c r="G50" s="278">
        <v>700</v>
      </c>
      <c r="H50" s="282"/>
      <c r="I50" s="278">
        <f t="shared" ref="I50:I60" si="3">G50+H50</f>
        <v>700</v>
      </c>
      <c r="K50" s="4"/>
    </row>
    <row r="51" spans="1:13" s="10" customFormat="1" ht="21" customHeight="1" x14ac:dyDescent="0.3">
      <c r="B51" s="291"/>
      <c r="C51" s="299" t="s">
        <v>37</v>
      </c>
      <c r="D51" s="299"/>
      <c r="E51" s="299"/>
      <c r="F51" s="301"/>
      <c r="G51" s="655"/>
      <c r="H51" s="655"/>
      <c r="I51" s="655"/>
      <c r="K51" s="4"/>
    </row>
    <row r="52" spans="1:13" ht="21" customHeight="1" x14ac:dyDescent="0.25">
      <c r="A52" s="5">
        <v>121001</v>
      </c>
      <c r="B52" s="302"/>
      <c r="C52" s="303"/>
      <c r="D52" s="304" t="s">
        <v>330</v>
      </c>
      <c r="E52" s="304"/>
      <c r="F52" s="434"/>
      <c r="G52" s="278">
        <v>1272000</v>
      </c>
      <c r="H52" s="282"/>
      <c r="I52" s="278">
        <f t="shared" si="3"/>
        <v>1272000</v>
      </c>
      <c r="K52" s="4"/>
      <c r="L52" s="4"/>
      <c r="M52" s="4"/>
    </row>
    <row r="53" spans="1:13" s="10" customFormat="1" ht="21" customHeight="1" x14ac:dyDescent="0.3">
      <c r="B53" s="291"/>
      <c r="C53" s="299" t="s">
        <v>35</v>
      </c>
      <c r="D53" s="299"/>
      <c r="E53" s="299"/>
      <c r="F53" s="301"/>
      <c r="G53" s="655"/>
      <c r="H53" s="655"/>
      <c r="I53" s="655"/>
      <c r="K53" s="4"/>
    </row>
    <row r="54" spans="1:13" ht="21" customHeight="1" x14ac:dyDescent="0.25">
      <c r="A54" s="5">
        <v>122001</v>
      </c>
      <c r="B54" s="302"/>
      <c r="C54" s="303"/>
      <c r="D54" s="304" t="s">
        <v>380</v>
      </c>
      <c r="E54" s="304"/>
      <c r="F54" s="434"/>
      <c r="G54" s="278">
        <v>8150000</v>
      </c>
      <c r="H54" s="282"/>
      <c r="I54" s="278">
        <f t="shared" si="3"/>
        <v>8150000</v>
      </c>
      <c r="J54" s="4"/>
      <c r="K54" s="4"/>
    </row>
    <row r="55" spans="1:13" ht="21" customHeight="1" x14ac:dyDescent="0.25">
      <c r="A55" s="5">
        <v>122002</v>
      </c>
      <c r="B55" s="68"/>
      <c r="C55" s="66"/>
      <c r="D55" s="296" t="s">
        <v>11</v>
      </c>
      <c r="E55" s="296"/>
      <c r="F55" s="573"/>
      <c r="G55" s="278">
        <v>250000</v>
      </c>
      <c r="H55" s="282"/>
      <c r="I55" s="278">
        <f t="shared" si="3"/>
        <v>250000</v>
      </c>
      <c r="K55" s="4"/>
    </row>
    <row r="56" spans="1:13" ht="21" customHeight="1" x14ac:dyDescent="0.25">
      <c r="A56" s="5">
        <v>122003</v>
      </c>
      <c r="B56" s="302"/>
      <c r="C56" s="303"/>
      <c r="D56" s="574" t="s">
        <v>9</v>
      </c>
      <c r="E56" s="574"/>
      <c r="F56" s="575"/>
      <c r="G56" s="278">
        <v>17000</v>
      </c>
      <c r="H56" s="282"/>
      <c r="I56" s="278">
        <f t="shared" si="3"/>
        <v>17000</v>
      </c>
      <c r="K56" s="4"/>
    </row>
    <row r="57" spans="1:13" ht="21" customHeight="1" x14ac:dyDescent="0.3">
      <c r="B57" s="291"/>
      <c r="C57" s="299" t="s">
        <v>38</v>
      </c>
      <c r="D57" s="299"/>
      <c r="E57" s="299"/>
      <c r="F57" s="301"/>
      <c r="G57" s="280"/>
      <c r="H57" s="283"/>
      <c r="I57" s="280"/>
      <c r="K57" s="4"/>
    </row>
    <row r="58" spans="1:13" ht="21" customHeight="1" x14ac:dyDescent="0.25">
      <c r="A58" s="5">
        <v>123001</v>
      </c>
      <c r="B58" s="68"/>
      <c r="C58" s="67"/>
      <c r="D58" s="296" t="s">
        <v>240</v>
      </c>
      <c r="E58" s="296"/>
      <c r="F58" s="699"/>
      <c r="G58" s="278">
        <v>2500</v>
      </c>
      <c r="H58" s="278"/>
      <c r="I58" s="278">
        <f t="shared" si="3"/>
        <v>2500</v>
      </c>
      <c r="K58" s="4"/>
    </row>
    <row r="59" spans="1:13" ht="21" customHeight="1" x14ac:dyDescent="0.25">
      <c r="A59" s="5">
        <v>123003</v>
      </c>
      <c r="B59" s="302"/>
      <c r="C59" s="303"/>
      <c r="D59" s="304" t="s">
        <v>30</v>
      </c>
      <c r="E59" s="304"/>
      <c r="F59" s="434"/>
      <c r="G59" s="278">
        <v>30000</v>
      </c>
      <c r="H59" s="282"/>
      <c r="I59" s="278">
        <f t="shared" si="3"/>
        <v>30000</v>
      </c>
      <c r="K59" s="4"/>
    </row>
    <row r="60" spans="1:13" ht="21" customHeight="1" x14ac:dyDescent="0.25">
      <c r="A60" s="5">
        <v>123004</v>
      </c>
      <c r="B60" s="295"/>
      <c r="C60" s="66"/>
      <c r="D60" s="181" t="s">
        <v>19</v>
      </c>
      <c r="E60" s="181"/>
      <c r="F60" s="181"/>
      <c r="G60" s="278">
        <v>1000</v>
      </c>
      <c r="H60" s="282"/>
      <c r="I60" s="278">
        <f t="shared" si="3"/>
        <v>1000</v>
      </c>
      <c r="K60" s="4"/>
    </row>
    <row r="61" spans="1:13" ht="21" customHeight="1" thickBot="1" x14ac:dyDescent="0.35">
      <c r="B61" s="163" t="s">
        <v>337</v>
      </c>
      <c r="C61" s="164"/>
      <c r="D61" s="305"/>
      <c r="E61" s="305"/>
      <c r="F61" s="305"/>
      <c r="G61" s="284">
        <f>SUM(G48:G60)</f>
        <v>9723200</v>
      </c>
      <c r="H61" s="284">
        <f>SUM(H48:H60)</f>
        <v>0</v>
      </c>
      <c r="I61" s="284">
        <f>SUM(I48:I60)</f>
        <v>9723200</v>
      </c>
      <c r="K61" s="4"/>
    </row>
    <row r="62" spans="1:13" ht="21" customHeight="1" x14ac:dyDescent="0.3">
      <c r="B62" s="291" t="s">
        <v>26</v>
      </c>
      <c r="C62" s="301"/>
      <c r="D62" s="301"/>
      <c r="E62" s="301"/>
      <c r="F62" s="301"/>
      <c r="G62" s="814"/>
      <c r="H62" s="285"/>
      <c r="I62" s="814"/>
      <c r="K62" s="4"/>
    </row>
    <row r="63" spans="1:13" ht="21" customHeight="1" x14ac:dyDescent="0.25">
      <c r="A63" s="5">
        <v>130001</v>
      </c>
      <c r="B63" s="68"/>
      <c r="C63" s="67"/>
      <c r="D63" s="67"/>
      <c r="E63" s="67"/>
      <c r="F63" s="296" t="s">
        <v>311</v>
      </c>
      <c r="G63" s="278"/>
      <c r="H63" s="278"/>
      <c r="I63" s="278"/>
      <c r="K63" s="4"/>
    </row>
    <row r="64" spans="1:13" ht="21" customHeight="1" x14ac:dyDescent="0.25">
      <c r="A64" s="5">
        <v>130002</v>
      </c>
      <c r="B64" s="68"/>
      <c r="C64" s="67"/>
      <c r="D64" s="67"/>
      <c r="E64" s="67"/>
      <c r="F64" s="179" t="s">
        <v>310</v>
      </c>
      <c r="G64" s="278">
        <v>5000</v>
      </c>
      <c r="H64" s="278">
        <f>5000+127</f>
        <v>5127</v>
      </c>
      <c r="I64" s="278">
        <f t="shared" ref="I64:I88" si="4">G64+H64</f>
        <v>10127</v>
      </c>
      <c r="K64" s="4"/>
    </row>
    <row r="65" spans="1:11" ht="21" customHeight="1" x14ac:dyDescent="0.25">
      <c r="A65" s="5">
        <v>130003</v>
      </c>
      <c r="B65" s="68"/>
      <c r="C65" s="67"/>
      <c r="D65" s="67"/>
      <c r="E65" s="67"/>
      <c r="F65" s="179" t="s">
        <v>340</v>
      </c>
      <c r="G65" s="278">
        <v>5000</v>
      </c>
      <c r="H65" s="278"/>
      <c r="I65" s="278">
        <f t="shared" si="4"/>
        <v>5000</v>
      </c>
      <c r="J65" s="4"/>
      <c r="K65" s="4"/>
    </row>
    <row r="66" spans="1:11" ht="21" customHeight="1" x14ac:dyDescent="0.25">
      <c r="A66" s="5">
        <v>130004</v>
      </c>
      <c r="B66" s="68"/>
      <c r="C66" s="67"/>
      <c r="D66" s="67"/>
      <c r="E66" s="67"/>
      <c r="F66" s="179" t="s">
        <v>339</v>
      </c>
      <c r="G66" s="278">
        <v>19000</v>
      </c>
      <c r="H66" s="278"/>
      <c r="I66" s="278">
        <f t="shared" si="4"/>
        <v>19000</v>
      </c>
      <c r="J66" s="4"/>
      <c r="K66" s="4"/>
    </row>
    <row r="67" spans="1:11" ht="21" customHeight="1" x14ac:dyDescent="0.25">
      <c r="A67" s="5">
        <v>130006</v>
      </c>
      <c r="B67" s="68"/>
      <c r="C67" s="67"/>
      <c r="D67" s="67"/>
      <c r="E67" s="67"/>
      <c r="F67" s="179" t="s">
        <v>382</v>
      </c>
      <c r="G67" s="278">
        <v>37000</v>
      </c>
      <c r="H67" s="278"/>
      <c r="I67" s="278">
        <f t="shared" si="4"/>
        <v>37000</v>
      </c>
      <c r="J67" s="4"/>
      <c r="K67" s="4"/>
    </row>
    <row r="68" spans="1:11" ht="21" customHeight="1" x14ac:dyDescent="0.25">
      <c r="B68" s="68"/>
      <c r="C68" s="67"/>
      <c r="D68" s="67"/>
      <c r="E68" s="67"/>
      <c r="F68" s="179" t="s">
        <v>558</v>
      </c>
      <c r="G68" s="278"/>
      <c r="H68" s="278">
        <v>2000</v>
      </c>
      <c r="I68" s="278">
        <f t="shared" si="4"/>
        <v>2000</v>
      </c>
      <c r="K68" s="4"/>
    </row>
    <row r="69" spans="1:11" ht="21" customHeight="1" x14ac:dyDescent="0.25">
      <c r="A69" s="5">
        <v>130012</v>
      </c>
      <c r="B69" s="68"/>
      <c r="C69" s="67"/>
      <c r="D69" s="67"/>
      <c r="E69" s="67"/>
      <c r="F69" s="435" t="s">
        <v>248</v>
      </c>
      <c r="G69" s="278">
        <v>422000</v>
      </c>
      <c r="H69" s="279"/>
      <c r="I69" s="278">
        <f t="shared" si="4"/>
        <v>422000</v>
      </c>
      <c r="K69" s="4"/>
    </row>
    <row r="70" spans="1:11" ht="21" customHeight="1" x14ac:dyDescent="0.25">
      <c r="A70" s="5">
        <v>130013</v>
      </c>
      <c r="B70" s="68"/>
      <c r="C70" s="67"/>
      <c r="D70" s="67"/>
      <c r="E70" s="67"/>
      <c r="F70" s="179" t="s">
        <v>383</v>
      </c>
      <c r="G70" s="278">
        <v>13000</v>
      </c>
      <c r="H70" s="279"/>
      <c r="I70" s="278">
        <f t="shared" si="4"/>
        <v>13000</v>
      </c>
      <c r="K70" s="4"/>
    </row>
    <row r="71" spans="1:11" ht="21" customHeight="1" x14ac:dyDescent="0.25">
      <c r="A71" s="5">
        <v>130014</v>
      </c>
      <c r="B71" s="68"/>
      <c r="C71" s="67"/>
      <c r="D71" s="67"/>
      <c r="E71" s="67"/>
      <c r="F71" s="179" t="s">
        <v>147</v>
      </c>
      <c r="G71" s="278">
        <v>3600</v>
      </c>
      <c r="H71" s="279"/>
      <c r="I71" s="278">
        <f t="shared" si="4"/>
        <v>3600</v>
      </c>
      <c r="K71" s="4"/>
    </row>
    <row r="72" spans="1:11" ht="21" customHeight="1" x14ac:dyDescent="0.25">
      <c r="A72" s="5">
        <v>130015</v>
      </c>
      <c r="B72" s="68"/>
      <c r="C72" s="67"/>
      <c r="D72" s="67"/>
      <c r="E72" s="67"/>
      <c r="F72" s="179" t="s">
        <v>146</v>
      </c>
      <c r="G72" s="278">
        <v>600000</v>
      </c>
      <c r="H72" s="279"/>
      <c r="I72" s="278">
        <f t="shared" si="4"/>
        <v>600000</v>
      </c>
      <c r="K72" s="4"/>
    </row>
    <row r="73" spans="1:11" ht="21" customHeight="1" x14ac:dyDescent="0.25">
      <c r="A73" s="5">
        <v>130016</v>
      </c>
      <c r="B73" s="68"/>
      <c r="C73" s="67"/>
      <c r="D73" s="67"/>
      <c r="E73" s="67"/>
      <c r="F73" s="179" t="s">
        <v>224</v>
      </c>
      <c r="G73" s="278">
        <v>48000</v>
      </c>
      <c r="H73" s="279"/>
      <c r="I73" s="278">
        <f t="shared" si="4"/>
        <v>48000</v>
      </c>
      <c r="J73" s="4"/>
      <c r="K73" s="4"/>
    </row>
    <row r="74" spans="1:11" ht="21" customHeight="1" x14ac:dyDescent="0.25">
      <c r="A74" s="5">
        <v>130017</v>
      </c>
      <c r="B74" s="68"/>
      <c r="C74" s="67"/>
      <c r="D74" s="67"/>
      <c r="E74" s="67"/>
      <c r="F74" s="179" t="s">
        <v>318</v>
      </c>
      <c r="G74" s="278">
        <v>35000</v>
      </c>
      <c r="H74" s="279"/>
      <c r="I74" s="278">
        <f t="shared" si="4"/>
        <v>35000</v>
      </c>
      <c r="K74" s="4"/>
    </row>
    <row r="75" spans="1:11" ht="21" customHeight="1" x14ac:dyDescent="0.25">
      <c r="A75" s="5">
        <v>123002</v>
      </c>
      <c r="B75" s="68"/>
      <c r="C75" s="67"/>
      <c r="E75" s="179"/>
      <c r="F75" s="179" t="s">
        <v>301</v>
      </c>
      <c r="G75" s="278">
        <v>2700</v>
      </c>
      <c r="H75" s="278"/>
      <c r="I75" s="278">
        <f t="shared" si="4"/>
        <v>2700</v>
      </c>
      <c r="J75" s="4"/>
      <c r="K75" s="4"/>
    </row>
    <row r="76" spans="1:11" ht="21" customHeight="1" x14ac:dyDescent="0.25">
      <c r="B76" s="68"/>
      <c r="C76" s="67"/>
      <c r="D76" s="67"/>
      <c r="E76" s="67"/>
      <c r="F76" s="296" t="s">
        <v>162</v>
      </c>
      <c r="G76" s="278"/>
      <c r="H76" s="278">
        <v>94538</v>
      </c>
      <c r="I76" s="278">
        <f t="shared" si="4"/>
        <v>94538</v>
      </c>
      <c r="K76" s="4"/>
    </row>
    <row r="77" spans="1:11" ht="21" customHeight="1" x14ac:dyDescent="0.3">
      <c r="B77" s="68"/>
      <c r="C77" s="306" t="s">
        <v>43</v>
      </c>
      <c r="D77" s="306"/>
      <c r="E77" s="306"/>
      <c r="F77" s="725"/>
      <c r="G77" s="655"/>
      <c r="H77" s="700"/>
      <c r="I77" s="655"/>
      <c r="K77" s="4"/>
    </row>
    <row r="78" spans="1:11" s="112" customFormat="1" ht="21" customHeight="1" x14ac:dyDescent="0.25">
      <c r="A78" s="112">
        <v>131001</v>
      </c>
      <c r="B78" s="307"/>
      <c r="C78" s="308"/>
      <c r="D78" s="308"/>
      <c r="E78" s="308"/>
      <c r="F78" s="436" t="s">
        <v>249</v>
      </c>
      <c r="G78" s="278">
        <v>77890</v>
      </c>
      <c r="H78" s="286">
        <v>4050</v>
      </c>
      <c r="I78" s="278">
        <f t="shared" si="4"/>
        <v>81940</v>
      </c>
      <c r="K78" s="4"/>
    </row>
    <row r="79" spans="1:11" ht="21" customHeight="1" x14ac:dyDescent="0.25">
      <c r="A79" s="5">
        <v>131002</v>
      </c>
      <c r="B79" s="68"/>
      <c r="C79" s="168"/>
      <c r="D79" s="168"/>
      <c r="E79" s="168"/>
      <c r="F79" s="309" t="s">
        <v>365</v>
      </c>
      <c r="G79" s="278">
        <v>250000</v>
      </c>
      <c r="H79" s="282"/>
      <c r="I79" s="278">
        <f t="shared" si="4"/>
        <v>250000</v>
      </c>
      <c r="K79" s="4"/>
    </row>
    <row r="80" spans="1:11" s="112" customFormat="1" ht="21" customHeight="1" x14ac:dyDescent="0.25">
      <c r="A80" s="112">
        <v>131004</v>
      </c>
      <c r="B80" s="307"/>
      <c r="C80" s="308"/>
      <c r="D80" s="308"/>
      <c r="E80" s="308"/>
      <c r="F80" s="436" t="s">
        <v>153</v>
      </c>
      <c r="G80" s="278">
        <v>20000</v>
      </c>
      <c r="H80" s="286"/>
      <c r="I80" s="278">
        <f t="shared" si="4"/>
        <v>20000</v>
      </c>
      <c r="K80" s="4"/>
    </row>
    <row r="81" spans="1:11" s="112" customFormat="1" ht="21" customHeight="1" x14ac:dyDescent="0.25">
      <c r="B81" s="307"/>
      <c r="C81" s="308"/>
      <c r="D81" s="308"/>
      <c r="E81" s="308"/>
      <c r="F81" s="296" t="s">
        <v>94</v>
      </c>
      <c r="G81" s="278"/>
      <c r="H81" s="287">
        <v>32368</v>
      </c>
      <c r="I81" s="278">
        <f t="shared" si="4"/>
        <v>32368</v>
      </c>
      <c r="K81" s="4"/>
    </row>
    <row r="82" spans="1:11" s="112" customFormat="1" ht="21" customHeight="1" x14ac:dyDescent="0.25">
      <c r="B82" s="307"/>
      <c r="C82" s="308"/>
      <c r="D82" s="308"/>
      <c r="E82" s="308"/>
      <c r="F82" s="296" t="s">
        <v>546</v>
      </c>
      <c r="G82" s="278"/>
      <c r="H82" s="287">
        <v>86895</v>
      </c>
      <c r="I82" s="278">
        <f t="shared" si="4"/>
        <v>86895</v>
      </c>
      <c r="K82" s="4"/>
    </row>
    <row r="83" spans="1:11" s="112" customFormat="1" ht="21" customHeight="1" x14ac:dyDescent="0.25">
      <c r="B83" s="307"/>
      <c r="C83" s="308"/>
      <c r="D83" s="308"/>
      <c r="E83" s="308"/>
      <c r="F83" s="296" t="s">
        <v>623</v>
      </c>
      <c r="G83" s="278"/>
      <c r="H83" s="287">
        <f>202095-5062</f>
        <v>197033</v>
      </c>
      <c r="I83" s="278">
        <f t="shared" si="4"/>
        <v>197033</v>
      </c>
      <c r="K83" s="4"/>
    </row>
    <row r="84" spans="1:11" s="112" customFormat="1" ht="21" customHeight="1" x14ac:dyDescent="0.25">
      <c r="B84" s="307"/>
      <c r="C84" s="308"/>
      <c r="D84" s="308"/>
      <c r="E84" s="308"/>
      <c r="F84" s="296" t="s">
        <v>744</v>
      </c>
      <c r="G84" s="278"/>
      <c r="H84" s="287">
        <v>15290</v>
      </c>
      <c r="I84" s="278">
        <f t="shared" si="4"/>
        <v>15290</v>
      </c>
      <c r="K84" s="4"/>
    </row>
    <row r="85" spans="1:11" ht="21" customHeight="1" x14ac:dyDescent="0.3">
      <c r="B85" s="68"/>
      <c r="C85" s="299" t="s">
        <v>44</v>
      </c>
      <c r="D85" s="299"/>
      <c r="E85" s="299"/>
      <c r="F85" s="727"/>
      <c r="G85" s="655"/>
      <c r="H85" s="655"/>
      <c r="I85" s="278"/>
      <c r="K85" s="4"/>
    </row>
    <row r="86" spans="1:11" ht="21" customHeight="1" x14ac:dyDescent="0.25">
      <c r="A86" s="5">
        <v>132001</v>
      </c>
      <c r="B86" s="68"/>
      <c r="C86" s="67"/>
      <c r="D86" s="67"/>
      <c r="E86" s="67"/>
      <c r="F86" s="296" t="s">
        <v>312</v>
      </c>
      <c r="G86" s="278">
        <v>50000</v>
      </c>
      <c r="H86" s="278"/>
      <c r="I86" s="278">
        <f t="shared" si="4"/>
        <v>50000</v>
      </c>
      <c r="K86" s="4"/>
    </row>
    <row r="87" spans="1:11" ht="21" customHeight="1" x14ac:dyDescent="0.3">
      <c r="B87" s="68"/>
      <c r="C87" s="294" t="s">
        <v>101</v>
      </c>
      <c r="D87" s="67"/>
      <c r="E87" s="67"/>
      <c r="F87" s="67"/>
      <c r="G87" s="655"/>
      <c r="H87" s="655"/>
      <c r="I87" s="655"/>
      <c r="K87" s="4"/>
    </row>
    <row r="88" spans="1:11" ht="21" customHeight="1" x14ac:dyDescent="0.25">
      <c r="B88" s="68"/>
      <c r="C88" s="67"/>
      <c r="D88" s="67"/>
      <c r="E88" s="67"/>
      <c r="F88" s="67"/>
      <c r="G88" s="278"/>
      <c r="H88" s="280"/>
      <c r="I88" s="278">
        <f t="shared" si="4"/>
        <v>0</v>
      </c>
      <c r="K88" s="4"/>
    </row>
    <row r="89" spans="1:11" ht="21" customHeight="1" thickBot="1" x14ac:dyDescent="0.3">
      <c r="B89" s="163" t="s">
        <v>200</v>
      </c>
      <c r="C89" s="165"/>
      <c r="D89" s="305"/>
      <c r="E89" s="305"/>
      <c r="F89" s="305"/>
      <c r="G89" s="288">
        <f>SUM(G62:G88)</f>
        <v>1588190</v>
      </c>
      <c r="H89" s="288">
        <f>SUM(H62:H88)</f>
        <v>437301</v>
      </c>
      <c r="I89" s="288">
        <f>SUM(I62:I88)</f>
        <v>2025491</v>
      </c>
      <c r="K89" s="4"/>
    </row>
    <row r="90" spans="1:11" ht="21" customHeight="1" x14ac:dyDescent="0.25">
      <c r="B90" s="291" t="s">
        <v>196</v>
      </c>
      <c r="C90" s="292"/>
      <c r="D90" s="168"/>
      <c r="E90" s="168"/>
      <c r="F90" s="168"/>
      <c r="G90" s="812"/>
      <c r="H90" s="275"/>
      <c r="I90" s="812"/>
      <c r="K90" s="4"/>
    </row>
    <row r="91" spans="1:11" s="10" customFormat="1" ht="21" customHeight="1" x14ac:dyDescent="0.25">
      <c r="B91" s="291"/>
      <c r="C91" s="310" t="s">
        <v>50</v>
      </c>
      <c r="D91" s="168"/>
      <c r="E91" s="168"/>
      <c r="F91" s="168"/>
      <c r="G91" s="817"/>
      <c r="H91" s="275"/>
      <c r="I91" s="818"/>
      <c r="K91" s="217"/>
    </row>
    <row r="92" spans="1:11" ht="21" customHeight="1" x14ac:dyDescent="0.25">
      <c r="B92" s="311"/>
      <c r="C92" s="76"/>
      <c r="D92" s="350" t="s">
        <v>536</v>
      </c>
      <c r="E92" s="297"/>
      <c r="F92" s="433"/>
      <c r="G92" s="276"/>
      <c r="H92" s="286">
        <v>20000</v>
      </c>
      <c r="I92" s="276">
        <f>G92+H92</f>
        <v>20000</v>
      </c>
      <c r="K92" s="4"/>
    </row>
    <row r="93" spans="1:11" ht="21" customHeight="1" x14ac:dyDescent="0.25">
      <c r="B93" s="311"/>
      <c r="C93" s="76"/>
      <c r="D93" s="170" t="s">
        <v>655</v>
      </c>
      <c r="E93" s="392"/>
      <c r="F93" s="181"/>
      <c r="G93" s="277">
        <v>120000</v>
      </c>
      <c r="H93" s="287"/>
      <c r="I93" s="277">
        <f>G93+H93</f>
        <v>120000</v>
      </c>
      <c r="K93" s="4"/>
    </row>
    <row r="94" spans="1:11" s="10" customFormat="1" ht="21" customHeight="1" x14ac:dyDescent="0.25">
      <c r="B94" s="311"/>
      <c r="C94" s="853" t="s">
        <v>51</v>
      </c>
      <c r="D94" s="854"/>
      <c r="E94" s="855"/>
      <c r="F94" s="521"/>
      <c r="G94" s="403"/>
      <c r="H94" s="726"/>
      <c r="I94" s="403"/>
      <c r="K94" s="217"/>
    </row>
    <row r="95" spans="1:11" ht="21" customHeight="1" thickBot="1" x14ac:dyDescent="0.3">
      <c r="B95" s="68"/>
      <c r="C95" s="168"/>
      <c r="D95" s="76"/>
      <c r="E95" s="168"/>
      <c r="F95" s="66"/>
      <c r="G95" s="241"/>
      <c r="H95" s="283"/>
      <c r="I95" s="241">
        <f>G95+H95</f>
        <v>0</v>
      </c>
      <c r="K95" s="4"/>
    </row>
    <row r="96" spans="1:11" s="52" customFormat="1" ht="21" customHeight="1" thickBot="1" x14ac:dyDescent="0.35">
      <c r="B96" s="312" t="s">
        <v>336</v>
      </c>
      <c r="C96" s="293"/>
      <c r="D96" s="298"/>
      <c r="E96" s="298"/>
      <c r="F96" s="298"/>
      <c r="G96" s="289">
        <f>SUM(G92:G95)</f>
        <v>120000</v>
      </c>
      <c r="H96" s="289">
        <f>SUM(H92:H95)</f>
        <v>20000</v>
      </c>
      <c r="I96" s="289">
        <f>SUM(I92:I95)</f>
        <v>140000</v>
      </c>
      <c r="K96" s="4"/>
    </row>
    <row r="97" spans="2:15" ht="21" customHeight="1" x14ac:dyDescent="0.25">
      <c r="B97" s="300" t="s">
        <v>125</v>
      </c>
      <c r="C97" s="313"/>
      <c r="D97" s="313"/>
      <c r="E97" s="313"/>
      <c r="F97" s="313"/>
      <c r="G97" s="819"/>
      <c r="H97" s="820"/>
      <c r="I97" s="819"/>
      <c r="K97" s="4"/>
    </row>
    <row r="98" spans="2:15" s="9" customFormat="1" ht="21" customHeight="1" x14ac:dyDescent="0.3">
      <c r="B98" s="314"/>
      <c r="C98" s="315" t="s">
        <v>371</v>
      </c>
      <c r="D98" s="301"/>
      <c r="E98" s="301"/>
      <c r="F98" s="316"/>
      <c r="G98" s="282">
        <v>16884</v>
      </c>
      <c r="H98" s="282"/>
      <c r="I98" s="282">
        <f t="shared" ref="I98:I111" si="5">G98+H98</f>
        <v>16884</v>
      </c>
      <c r="K98" s="4"/>
      <c r="M98" s="212"/>
      <c r="O98" s="212"/>
    </row>
    <row r="99" spans="2:15" s="9" customFormat="1" ht="21" customHeight="1" thickBot="1" x14ac:dyDescent="0.35">
      <c r="B99" s="314"/>
      <c r="C99" s="317" t="s">
        <v>193</v>
      </c>
      <c r="D99" s="318"/>
      <c r="E99" s="318"/>
      <c r="F99" s="437"/>
      <c r="G99" s="441">
        <v>396215</v>
      </c>
      <c r="H99" s="282">
        <v>1395</v>
      </c>
      <c r="I99" s="282">
        <f t="shared" si="5"/>
        <v>397610</v>
      </c>
      <c r="K99" s="4"/>
      <c r="M99" s="212"/>
      <c r="O99" s="212"/>
    </row>
    <row r="100" spans="2:15" s="9" customFormat="1" ht="21" customHeight="1" thickBot="1" x14ac:dyDescent="0.35">
      <c r="B100" s="314"/>
      <c r="C100" s="317" t="s">
        <v>108</v>
      </c>
      <c r="D100" s="318"/>
      <c r="E100" s="576"/>
      <c r="F100" s="437"/>
      <c r="G100" s="441">
        <v>247454</v>
      </c>
      <c r="H100" s="282"/>
      <c r="I100" s="282">
        <f t="shared" si="5"/>
        <v>247454</v>
      </c>
      <c r="K100" s="4"/>
      <c r="M100" s="99"/>
      <c r="O100" s="212"/>
    </row>
    <row r="101" spans="2:15" s="9" customFormat="1" ht="21" customHeight="1" x14ac:dyDescent="0.3">
      <c r="B101" s="314"/>
      <c r="C101" s="317" t="s">
        <v>186</v>
      </c>
      <c r="D101" s="318"/>
      <c r="E101" s="576"/>
      <c r="F101" s="437"/>
      <c r="G101" s="441">
        <v>33030</v>
      </c>
      <c r="H101" s="282"/>
      <c r="I101" s="282">
        <f t="shared" si="5"/>
        <v>33030</v>
      </c>
      <c r="K101" s="4"/>
    </row>
    <row r="102" spans="2:15" s="9" customFormat="1" ht="21" customHeight="1" x14ac:dyDescent="0.3">
      <c r="B102" s="314"/>
      <c r="C102" s="317" t="s">
        <v>187</v>
      </c>
      <c r="D102" s="318"/>
      <c r="E102" s="576"/>
      <c r="F102" s="437"/>
      <c r="G102" s="441">
        <v>111000</v>
      </c>
      <c r="H102" s="282"/>
      <c r="I102" s="282">
        <f t="shared" si="5"/>
        <v>111000</v>
      </c>
      <c r="K102" s="4"/>
    </row>
    <row r="103" spans="2:15" s="9" customFormat="1" ht="21" customHeight="1" x14ac:dyDescent="0.3">
      <c r="B103" s="314"/>
      <c r="C103" s="317" t="s">
        <v>209</v>
      </c>
      <c r="D103" s="318"/>
      <c r="E103" s="576"/>
      <c r="F103" s="437"/>
      <c r="G103" s="441">
        <v>93050</v>
      </c>
      <c r="H103" s="282"/>
      <c r="I103" s="282">
        <f t="shared" si="5"/>
        <v>93050</v>
      </c>
      <c r="K103" s="4"/>
    </row>
    <row r="104" spans="2:15" s="9" customFormat="1" ht="21" customHeight="1" x14ac:dyDescent="0.3">
      <c r="B104" s="314"/>
      <c r="C104" s="317" t="s">
        <v>210</v>
      </c>
      <c r="D104" s="318"/>
      <c r="E104" s="576"/>
      <c r="F104" s="437"/>
      <c r="G104" s="441">
        <v>24000</v>
      </c>
      <c r="H104" s="282"/>
      <c r="I104" s="282">
        <f t="shared" si="5"/>
        <v>24000</v>
      </c>
      <c r="K104" s="4"/>
    </row>
    <row r="105" spans="2:15" s="9" customFormat="1" ht="21" customHeight="1" x14ac:dyDescent="0.3">
      <c r="B105" s="314"/>
      <c r="C105" s="319" t="s">
        <v>137</v>
      </c>
      <c r="D105" s="577"/>
      <c r="E105" s="577"/>
      <c r="F105" s="577"/>
      <c r="G105" s="441">
        <v>90149</v>
      </c>
      <c r="H105" s="282"/>
      <c r="I105" s="282">
        <f t="shared" si="5"/>
        <v>90149</v>
      </c>
      <c r="K105" s="4"/>
    </row>
    <row r="106" spans="2:15" s="9" customFormat="1" ht="21" customHeight="1" x14ac:dyDescent="0.3">
      <c r="B106" s="314"/>
      <c r="C106" s="319" t="s">
        <v>391</v>
      </c>
      <c r="D106" s="318"/>
      <c r="E106" s="318"/>
      <c r="F106" s="437"/>
      <c r="G106" s="441">
        <v>252838</v>
      </c>
      <c r="H106" s="282"/>
      <c r="I106" s="282">
        <f t="shared" si="5"/>
        <v>252838</v>
      </c>
      <c r="K106" s="4"/>
    </row>
    <row r="107" spans="2:15" s="9" customFormat="1" ht="21" customHeight="1" x14ac:dyDescent="0.3">
      <c r="B107" s="314"/>
      <c r="C107" s="319" t="s">
        <v>23</v>
      </c>
      <c r="D107" s="318"/>
      <c r="E107" s="318"/>
      <c r="F107" s="437"/>
      <c r="G107" s="441">
        <v>37961</v>
      </c>
      <c r="H107" s="282"/>
      <c r="I107" s="282">
        <f t="shared" si="5"/>
        <v>37961</v>
      </c>
      <c r="K107" s="4"/>
    </row>
    <row r="108" spans="2:15" s="9" customFormat="1" ht="21" customHeight="1" x14ac:dyDescent="0.3">
      <c r="B108" s="314"/>
      <c r="C108" s="578" t="s">
        <v>299</v>
      </c>
      <c r="D108" s="579"/>
      <c r="E108" s="579"/>
      <c r="F108" s="580"/>
      <c r="G108" s="581">
        <v>142000</v>
      </c>
      <c r="H108" s="582"/>
      <c r="I108" s="282">
        <f t="shared" si="5"/>
        <v>142000</v>
      </c>
      <c r="K108" s="4"/>
    </row>
    <row r="109" spans="2:15" s="9" customFormat="1" ht="21" customHeight="1" x14ac:dyDescent="0.3">
      <c r="B109" s="314"/>
      <c r="C109" s="717"/>
      <c r="D109" s="718"/>
      <c r="E109" s="718"/>
      <c r="F109" s="719" t="s">
        <v>384</v>
      </c>
      <c r="G109" s="720">
        <f>SUM(G98:G108)</f>
        <v>1444581</v>
      </c>
      <c r="H109" s="720">
        <f>SUM(H98:H108)</f>
        <v>1395</v>
      </c>
      <c r="I109" s="720">
        <f>SUM(I98:I108)</f>
        <v>1445976</v>
      </c>
      <c r="J109" s="212"/>
      <c r="K109" s="4"/>
    </row>
    <row r="110" spans="2:15" s="9" customFormat="1" ht="21" customHeight="1" x14ac:dyDescent="0.3">
      <c r="B110" s="314"/>
      <c r="C110" s="309" t="s">
        <v>309</v>
      </c>
      <c r="D110" s="320"/>
      <c r="E110" s="320"/>
      <c r="F110" s="438"/>
      <c r="G110" s="894"/>
      <c r="H110" s="282"/>
      <c r="I110" s="282">
        <f t="shared" si="5"/>
        <v>0</v>
      </c>
      <c r="K110" s="4"/>
    </row>
    <row r="111" spans="2:15" s="9" customFormat="1" ht="21" customHeight="1" x14ac:dyDescent="0.3">
      <c r="B111" s="314"/>
      <c r="C111" s="315" t="s">
        <v>10</v>
      </c>
      <c r="D111" s="301"/>
      <c r="E111" s="301"/>
      <c r="F111" s="316"/>
      <c r="G111" s="283">
        <v>16790</v>
      </c>
      <c r="H111" s="283"/>
      <c r="I111" s="283">
        <f t="shared" si="5"/>
        <v>16790</v>
      </c>
      <c r="K111" s="4"/>
    </row>
    <row r="112" spans="2:15" ht="21" customHeight="1" thickBot="1" x14ac:dyDescent="0.35">
      <c r="B112" s="163" t="s">
        <v>126</v>
      </c>
      <c r="C112" s="164"/>
      <c r="D112" s="305"/>
      <c r="E112" s="305"/>
      <c r="F112" s="305"/>
      <c r="G112" s="284">
        <f>SUM(G109:G111)</f>
        <v>1461371</v>
      </c>
      <c r="H112" s="284">
        <f>SUM(H109:H111)</f>
        <v>1395</v>
      </c>
      <c r="I112" s="284">
        <f>SUM(I109:I111)</f>
        <v>1462766</v>
      </c>
      <c r="K112" s="4"/>
    </row>
    <row r="113" spans="2:11" ht="21" customHeight="1" thickBot="1" x14ac:dyDescent="0.35">
      <c r="B113" s="163" t="s">
        <v>200</v>
      </c>
      <c r="C113" s="164"/>
      <c r="D113" s="165"/>
      <c r="E113" s="165"/>
      <c r="F113" s="165"/>
      <c r="G113" s="166">
        <f>G89+G47+G96+G61+G112</f>
        <v>16067720</v>
      </c>
      <c r="H113" s="166">
        <f>H89+H47+H96+H61+H112</f>
        <v>594866</v>
      </c>
      <c r="I113" s="166">
        <f>I89+I47+I96+I61+I112</f>
        <v>16662586</v>
      </c>
      <c r="K113" s="4"/>
    </row>
  </sheetData>
  <mergeCells count="2">
    <mergeCell ref="B1:F1"/>
    <mergeCell ref="B2:I2"/>
  </mergeCells>
  <phoneticPr fontId="0" type="noConversion"/>
  <printOptions horizontalCentered="1" verticalCentered="1"/>
  <pageMargins left="0" right="0" top="0" bottom="0" header="0.51181102362204722" footer="0"/>
  <pageSetup paperSize="9" scale="43" orientation="portrait" r:id="rId1"/>
  <headerFooter alignWithMargins="0">
    <oddHeader>&amp;R&amp;"Times New Roman CE,Félkövér"&amp;14 3. melléklet a 12/2017. (V.3.) önkormányzati rendelethez
"3. melléklet a 4/2017. (III.7.) önkormányzati rendelethez"</oddHeader>
  </headerFooter>
  <rowBreaks count="1" manualBreakCount="1">
    <brk id="61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B54"/>
  <sheetViews>
    <sheetView zoomScale="50" zoomScaleNormal="50" zoomScaleSheetLayoutView="50" workbookViewId="0">
      <selection activeCell="AP55" sqref="A55:XFD70"/>
    </sheetView>
  </sheetViews>
  <sheetFormatPr defaultRowHeight="26.45" customHeight="1" x14ac:dyDescent="0.6"/>
  <cols>
    <col min="1" max="1" width="186.33203125" style="897" customWidth="1"/>
    <col min="2" max="2" width="44.83203125" style="898" customWidth="1"/>
    <col min="3" max="3" width="38.33203125" style="898" customWidth="1"/>
    <col min="4" max="4" width="50" style="898" customWidth="1"/>
    <col min="5" max="5" width="44.33203125" style="898" customWidth="1"/>
    <col min="6" max="6" width="37.6640625" style="898" customWidth="1"/>
    <col min="7" max="7" width="50" style="898" customWidth="1"/>
    <col min="8" max="8" width="44.6640625" style="898" customWidth="1"/>
    <col min="9" max="9" width="38.1640625" style="898" customWidth="1"/>
    <col min="10" max="10" width="50" style="898" customWidth="1"/>
    <col min="11" max="11" width="45" style="898" customWidth="1"/>
    <col min="12" max="12" width="38.33203125" style="898" customWidth="1"/>
    <col min="13" max="13" width="50" style="898" customWidth="1"/>
    <col min="14" max="14" width="45" style="898" customWidth="1"/>
    <col min="15" max="15" width="38.33203125" style="898" customWidth="1"/>
    <col min="16" max="16" width="50" style="898" customWidth="1"/>
    <col min="17" max="17" width="186.33203125" style="897" customWidth="1"/>
    <col min="18" max="18" width="45" style="898" customWidth="1"/>
    <col min="19" max="19" width="38.33203125" style="898" customWidth="1"/>
    <col min="20" max="20" width="49.83203125" style="898" customWidth="1"/>
    <col min="21" max="21" width="44.83203125" style="898" customWidth="1"/>
    <col min="22" max="22" width="38.1640625" style="898" customWidth="1"/>
    <col min="23" max="23" width="49.83203125" style="898" customWidth="1"/>
    <col min="24" max="24" width="45" style="898" customWidth="1"/>
    <col min="25" max="25" width="38.33203125" style="898" customWidth="1"/>
    <col min="26" max="26" width="49.83203125" style="898" customWidth="1"/>
    <col min="27" max="27" width="44.83203125" style="898" customWidth="1"/>
    <col min="28" max="28" width="38.1640625" style="898" customWidth="1"/>
    <col min="29" max="29" width="50" style="898" customWidth="1"/>
    <col min="30" max="30" width="45" style="898" customWidth="1"/>
    <col min="31" max="31" width="38.33203125" style="898" customWidth="1"/>
    <col min="32" max="32" width="50" style="898" customWidth="1"/>
    <col min="33" max="33" width="186.33203125" style="897" customWidth="1"/>
    <col min="34" max="34" width="45" style="897" customWidth="1"/>
    <col min="35" max="35" width="38.33203125" style="897" customWidth="1"/>
    <col min="36" max="36" width="49.83203125" style="897" customWidth="1"/>
    <col min="37" max="38" width="45" style="897" customWidth="1"/>
    <col min="39" max="39" width="50" style="897" customWidth="1"/>
    <col min="40" max="41" width="45" style="897" customWidth="1"/>
    <col min="42" max="42" width="50" style="897" customWidth="1"/>
    <col min="43" max="44" width="45" style="897" customWidth="1"/>
    <col min="45" max="45" width="50.33203125" style="900" customWidth="1"/>
    <col min="46" max="47" width="45" style="900" customWidth="1"/>
    <col min="48" max="48" width="50" style="898" customWidth="1"/>
    <col min="49" max="16384" width="9.33203125" style="899"/>
  </cols>
  <sheetData>
    <row r="3" spans="1:54" ht="54" customHeight="1" x14ac:dyDescent="0.6">
      <c r="A3" s="895"/>
      <c r="B3" s="1198" t="s">
        <v>432</v>
      </c>
      <c r="C3" s="1198"/>
      <c r="D3" s="1198"/>
      <c r="E3" s="1198"/>
      <c r="F3" s="1198"/>
      <c r="G3" s="1198"/>
      <c r="H3" s="1198"/>
      <c r="I3" s="1198"/>
      <c r="J3" s="1198"/>
      <c r="K3" s="1198"/>
      <c r="L3" s="1198"/>
      <c r="M3" s="1198"/>
      <c r="N3" s="1198"/>
      <c r="O3" s="1198"/>
      <c r="P3" s="1198"/>
      <c r="Q3" s="896"/>
      <c r="R3" s="1197" t="s">
        <v>432</v>
      </c>
      <c r="S3" s="1197"/>
      <c r="T3" s="1197"/>
      <c r="U3" s="1197"/>
      <c r="V3" s="1197"/>
      <c r="W3" s="1197"/>
      <c r="X3" s="1197"/>
      <c r="Y3" s="1197"/>
      <c r="Z3" s="1197"/>
      <c r="AA3" s="1197"/>
      <c r="AB3" s="1197"/>
      <c r="AC3" s="1197"/>
      <c r="AD3" s="1197"/>
      <c r="AE3" s="1197"/>
      <c r="AF3" s="1197"/>
      <c r="AH3" s="1197" t="s">
        <v>432</v>
      </c>
      <c r="AI3" s="1197"/>
      <c r="AJ3" s="1197"/>
      <c r="AK3" s="1197"/>
      <c r="AL3" s="1197"/>
      <c r="AM3" s="1197"/>
      <c r="AN3" s="1197"/>
      <c r="AO3" s="1197"/>
      <c r="AP3" s="1197"/>
      <c r="AQ3" s="1197"/>
      <c r="AR3" s="1197"/>
      <c r="AS3" s="1197"/>
      <c r="AT3" s="1197"/>
      <c r="AU3" s="1197"/>
      <c r="AV3" s="1197"/>
      <c r="AW3" s="898"/>
      <c r="AX3" s="898"/>
      <c r="AY3" s="898"/>
      <c r="AZ3" s="898"/>
      <c r="BA3" s="898"/>
      <c r="BB3" s="898"/>
    </row>
    <row r="4" spans="1:54" ht="54" customHeight="1" x14ac:dyDescent="0.6">
      <c r="A4" s="895"/>
      <c r="B4" s="1198" t="s">
        <v>754</v>
      </c>
      <c r="C4" s="1198"/>
      <c r="D4" s="1198"/>
      <c r="E4" s="1198"/>
      <c r="F4" s="1198"/>
      <c r="G4" s="1198"/>
      <c r="H4" s="1198"/>
      <c r="I4" s="1198"/>
      <c r="J4" s="1198"/>
      <c r="K4" s="1198"/>
      <c r="L4" s="1198"/>
      <c r="M4" s="1198"/>
      <c r="N4" s="1198"/>
      <c r="O4" s="1198"/>
      <c r="P4" s="1198"/>
      <c r="Q4" s="896"/>
      <c r="R4" s="1197" t="s">
        <v>754</v>
      </c>
      <c r="S4" s="1197"/>
      <c r="T4" s="1197"/>
      <c r="U4" s="1197"/>
      <c r="V4" s="1197"/>
      <c r="W4" s="1197"/>
      <c r="X4" s="1197"/>
      <c r="Y4" s="1197"/>
      <c r="Z4" s="1197"/>
      <c r="AA4" s="1197"/>
      <c r="AB4" s="1197"/>
      <c r="AC4" s="1197"/>
      <c r="AD4" s="1197"/>
      <c r="AE4" s="1197"/>
      <c r="AF4" s="1197"/>
      <c r="AH4" s="1197" t="s">
        <v>754</v>
      </c>
      <c r="AI4" s="1197"/>
      <c r="AJ4" s="1197"/>
      <c r="AK4" s="1197"/>
      <c r="AL4" s="1197"/>
      <c r="AM4" s="1197"/>
      <c r="AN4" s="1197"/>
      <c r="AO4" s="1197"/>
      <c r="AP4" s="1197"/>
      <c r="AQ4" s="1197"/>
      <c r="AR4" s="1197"/>
      <c r="AS4" s="1197"/>
      <c r="AT4" s="1197"/>
      <c r="AU4" s="1197"/>
      <c r="AV4" s="1197"/>
      <c r="AW4" s="898"/>
      <c r="AX4" s="898"/>
      <c r="AY4" s="898"/>
      <c r="AZ4" s="898"/>
      <c r="BA4" s="898"/>
      <c r="BB4" s="898"/>
    </row>
    <row r="5" spans="1:54" ht="42.75" customHeight="1" thickBot="1" x14ac:dyDescent="0.65"/>
    <row r="6" spans="1:54" s="902" customFormat="1" ht="140.25" customHeight="1" thickBot="1" x14ac:dyDescent="0.65">
      <c r="A6" s="901" t="s">
        <v>755</v>
      </c>
      <c r="B6" s="1199" t="s">
        <v>110</v>
      </c>
      <c r="C6" s="1200"/>
      <c r="D6" s="1201"/>
      <c r="E6" s="1194" t="s">
        <v>492</v>
      </c>
      <c r="F6" s="1195"/>
      <c r="G6" s="1196"/>
      <c r="H6" s="1194" t="s">
        <v>756</v>
      </c>
      <c r="I6" s="1195"/>
      <c r="J6" s="1196"/>
      <c r="K6" s="1199" t="s">
        <v>373</v>
      </c>
      <c r="L6" s="1200"/>
      <c r="M6" s="1201"/>
      <c r="N6" s="1194" t="s">
        <v>458</v>
      </c>
      <c r="O6" s="1195"/>
      <c r="P6" s="1196"/>
      <c r="Q6" s="901" t="s">
        <v>755</v>
      </c>
      <c r="R6" s="1199" t="s">
        <v>132</v>
      </c>
      <c r="S6" s="1200"/>
      <c r="T6" s="1201"/>
      <c r="U6" s="1194" t="s">
        <v>133</v>
      </c>
      <c r="V6" s="1195"/>
      <c r="W6" s="1196"/>
      <c r="X6" s="1194" t="s">
        <v>513</v>
      </c>
      <c r="Y6" s="1195"/>
      <c r="Z6" s="1196"/>
      <c r="AA6" s="1194" t="s">
        <v>459</v>
      </c>
      <c r="AB6" s="1195"/>
      <c r="AC6" s="1196"/>
      <c r="AD6" s="1194" t="s">
        <v>757</v>
      </c>
      <c r="AE6" s="1195"/>
      <c r="AF6" s="1196"/>
      <c r="AG6" s="901" t="s">
        <v>755</v>
      </c>
      <c r="AH6" s="1194" t="s">
        <v>758</v>
      </c>
      <c r="AI6" s="1195"/>
      <c r="AJ6" s="1196"/>
      <c r="AK6" s="1191" t="s">
        <v>759</v>
      </c>
      <c r="AL6" s="1192"/>
      <c r="AM6" s="1192"/>
      <c r="AN6" s="1192"/>
      <c r="AO6" s="1192"/>
      <c r="AP6" s="1193"/>
      <c r="AQ6" s="1194" t="s">
        <v>760</v>
      </c>
      <c r="AR6" s="1195"/>
      <c r="AS6" s="1196"/>
      <c r="AT6" s="1194" t="s">
        <v>761</v>
      </c>
      <c r="AU6" s="1195"/>
      <c r="AV6" s="1196"/>
    </row>
    <row r="7" spans="1:54" s="902" customFormat="1" ht="78.75" customHeight="1" thickBot="1" x14ac:dyDescent="0.65">
      <c r="A7" s="903" t="s">
        <v>762</v>
      </c>
      <c r="B7" s="1188"/>
      <c r="C7" s="1189"/>
      <c r="D7" s="1190"/>
      <c r="E7" s="904"/>
      <c r="F7" s="905"/>
      <c r="G7" s="906"/>
      <c r="H7" s="904"/>
      <c r="I7" s="905"/>
      <c r="J7" s="906"/>
      <c r="K7" s="904"/>
      <c r="L7" s="905"/>
      <c r="M7" s="906"/>
      <c r="N7" s="1188"/>
      <c r="O7" s="1189"/>
      <c r="P7" s="1190"/>
      <c r="Q7" s="903" t="s">
        <v>762</v>
      </c>
      <c r="R7" s="1188"/>
      <c r="S7" s="1189"/>
      <c r="T7" s="1190"/>
      <c r="U7" s="907"/>
      <c r="V7" s="907"/>
      <c r="W7" s="907"/>
      <c r="X7" s="1188"/>
      <c r="Y7" s="1189"/>
      <c r="Z7" s="1190"/>
      <c r="AA7" s="1188"/>
      <c r="AB7" s="1189"/>
      <c r="AC7" s="1190"/>
      <c r="AD7" s="1188"/>
      <c r="AE7" s="1189"/>
      <c r="AF7" s="1190"/>
      <c r="AG7" s="903" t="s">
        <v>762</v>
      </c>
      <c r="AH7" s="908"/>
      <c r="AI7" s="909"/>
      <c r="AJ7" s="910"/>
      <c r="AK7" s="1191" t="s">
        <v>763</v>
      </c>
      <c r="AL7" s="1192"/>
      <c r="AM7" s="1193"/>
      <c r="AN7" s="1191" t="s">
        <v>764</v>
      </c>
      <c r="AO7" s="1192"/>
      <c r="AP7" s="1193"/>
      <c r="AQ7" s="1188"/>
      <c r="AR7" s="1189"/>
      <c r="AS7" s="1190"/>
      <c r="AT7" s="1188"/>
      <c r="AU7" s="1189"/>
      <c r="AV7" s="1190"/>
    </row>
    <row r="8" spans="1:54" s="900" customFormat="1" ht="147.75" customHeight="1" thickBot="1" x14ac:dyDescent="0.65">
      <c r="A8" s="911"/>
      <c r="B8" s="912" t="s">
        <v>765</v>
      </c>
      <c r="C8" s="912" t="s">
        <v>766</v>
      </c>
      <c r="D8" s="912" t="s">
        <v>767</v>
      </c>
      <c r="E8" s="912" t="s">
        <v>765</v>
      </c>
      <c r="F8" s="912" t="s">
        <v>766</v>
      </c>
      <c r="G8" s="912" t="s">
        <v>767</v>
      </c>
      <c r="H8" s="912" t="s">
        <v>765</v>
      </c>
      <c r="I8" s="912" t="s">
        <v>766</v>
      </c>
      <c r="J8" s="912" t="s">
        <v>767</v>
      </c>
      <c r="K8" s="912" t="s">
        <v>765</v>
      </c>
      <c r="L8" s="912" t="s">
        <v>766</v>
      </c>
      <c r="M8" s="912" t="s">
        <v>767</v>
      </c>
      <c r="N8" s="912" t="s">
        <v>765</v>
      </c>
      <c r="O8" s="912" t="s">
        <v>766</v>
      </c>
      <c r="P8" s="912" t="s">
        <v>767</v>
      </c>
      <c r="Q8" s="911"/>
      <c r="R8" s="912" t="s">
        <v>765</v>
      </c>
      <c r="S8" s="912" t="s">
        <v>766</v>
      </c>
      <c r="T8" s="912" t="s">
        <v>767</v>
      </c>
      <c r="U8" s="912" t="s">
        <v>765</v>
      </c>
      <c r="V8" s="912" t="s">
        <v>766</v>
      </c>
      <c r="W8" s="912" t="s">
        <v>767</v>
      </c>
      <c r="X8" s="912" t="s">
        <v>765</v>
      </c>
      <c r="Y8" s="912" t="s">
        <v>766</v>
      </c>
      <c r="Z8" s="912" t="s">
        <v>767</v>
      </c>
      <c r="AA8" s="912" t="s">
        <v>765</v>
      </c>
      <c r="AB8" s="912" t="s">
        <v>766</v>
      </c>
      <c r="AC8" s="912" t="s">
        <v>767</v>
      </c>
      <c r="AD8" s="912" t="s">
        <v>765</v>
      </c>
      <c r="AE8" s="912" t="s">
        <v>766</v>
      </c>
      <c r="AF8" s="912" t="s">
        <v>767</v>
      </c>
      <c r="AG8" s="911"/>
      <c r="AH8" s="912" t="s">
        <v>765</v>
      </c>
      <c r="AI8" s="912" t="s">
        <v>766</v>
      </c>
      <c r="AJ8" s="912" t="s">
        <v>767</v>
      </c>
      <c r="AK8" s="912" t="s">
        <v>765</v>
      </c>
      <c r="AL8" s="912" t="s">
        <v>766</v>
      </c>
      <c r="AM8" s="912" t="s">
        <v>767</v>
      </c>
      <c r="AN8" s="912" t="s">
        <v>765</v>
      </c>
      <c r="AO8" s="912" t="s">
        <v>766</v>
      </c>
      <c r="AP8" s="912" t="s">
        <v>767</v>
      </c>
      <c r="AQ8" s="912" t="s">
        <v>765</v>
      </c>
      <c r="AR8" s="912" t="s">
        <v>766</v>
      </c>
      <c r="AS8" s="912" t="s">
        <v>767</v>
      </c>
      <c r="AT8" s="912" t="s">
        <v>765</v>
      </c>
      <c r="AU8" s="912" t="s">
        <v>766</v>
      </c>
      <c r="AV8" s="912" t="s">
        <v>767</v>
      </c>
    </row>
    <row r="9" spans="1:54" ht="45.75" customHeight="1" x14ac:dyDescent="0.6">
      <c r="A9" s="913" t="s">
        <v>768</v>
      </c>
      <c r="B9" s="914"/>
      <c r="C9" s="914"/>
      <c r="D9" s="914"/>
      <c r="E9" s="914"/>
      <c r="F9" s="914"/>
      <c r="G9" s="914"/>
      <c r="H9" s="914"/>
      <c r="I9" s="914"/>
      <c r="J9" s="914"/>
      <c r="K9" s="914"/>
      <c r="L9" s="914"/>
      <c r="M9" s="914"/>
      <c r="N9" s="914"/>
      <c r="O9" s="914"/>
      <c r="P9" s="914"/>
      <c r="Q9" s="913" t="s">
        <v>768</v>
      </c>
      <c r="R9" s="914"/>
      <c r="S9" s="914"/>
      <c r="T9" s="914"/>
      <c r="U9" s="914"/>
      <c r="V9" s="914"/>
      <c r="W9" s="914"/>
      <c r="X9" s="914"/>
      <c r="Y9" s="914"/>
      <c r="Z9" s="914"/>
      <c r="AA9" s="914"/>
      <c r="AB9" s="914"/>
      <c r="AC9" s="914"/>
      <c r="AD9" s="914"/>
      <c r="AE9" s="914"/>
      <c r="AF9" s="914"/>
      <c r="AG9" s="913" t="s">
        <v>768</v>
      </c>
      <c r="AH9" s="913"/>
      <c r="AI9" s="913"/>
      <c r="AJ9" s="913"/>
      <c r="AK9" s="913"/>
      <c r="AL9" s="913"/>
      <c r="AM9" s="913"/>
      <c r="AN9" s="913"/>
      <c r="AO9" s="913"/>
      <c r="AP9" s="913"/>
      <c r="AQ9" s="913"/>
      <c r="AR9" s="913"/>
      <c r="AS9" s="915"/>
      <c r="AT9" s="915"/>
      <c r="AU9" s="915"/>
      <c r="AV9" s="914"/>
    </row>
    <row r="10" spans="1:54" ht="48.75" customHeight="1" x14ac:dyDescent="0.6">
      <c r="A10" s="916" t="s">
        <v>769</v>
      </c>
      <c r="B10" s="917">
        <f>[4]int.bevételek2017!B9</f>
        <v>1176</v>
      </c>
      <c r="C10" s="917"/>
      <c r="D10" s="917">
        <f t="shared" ref="D10:D27" si="0">SUM(B10:C10)</f>
        <v>1176</v>
      </c>
      <c r="E10" s="917">
        <f>[4]int.bevételek2017!C9</f>
        <v>0</v>
      </c>
      <c r="F10" s="917"/>
      <c r="G10" s="917">
        <f t="shared" ref="G10:G27" si="1">SUM(E10:F10)</f>
        <v>0</v>
      </c>
      <c r="H10" s="917">
        <f>[4]int.bevételek2017!D9</f>
        <v>0</v>
      </c>
      <c r="I10" s="917"/>
      <c r="J10" s="917">
        <f t="shared" ref="J10:J27" si="2">SUM(H10:I10)</f>
        <v>0</v>
      </c>
      <c r="K10" s="917">
        <f>[4]int.bevételek2017!E9</f>
        <v>0</v>
      </c>
      <c r="L10" s="917"/>
      <c r="M10" s="917">
        <f t="shared" ref="M10:M27" si="3">SUM(K10:L10)</f>
        <v>0</v>
      </c>
      <c r="N10" s="917">
        <f t="shared" ref="N10:P27" si="4">B10+E10+H10+K10</f>
        <v>1176</v>
      </c>
      <c r="O10" s="917">
        <f t="shared" si="4"/>
        <v>0</v>
      </c>
      <c r="P10" s="917">
        <f t="shared" si="4"/>
        <v>1176</v>
      </c>
      <c r="Q10" s="916" t="s">
        <v>769</v>
      </c>
      <c r="R10" s="917">
        <f>[4]int.bevételek2017!H9</f>
        <v>0</v>
      </c>
      <c r="S10" s="917"/>
      <c r="T10" s="917">
        <f t="shared" ref="T10:T27" si="5">SUM(R10:S10)</f>
        <v>0</v>
      </c>
      <c r="U10" s="917">
        <f>[4]int.bevételek2017!I9</f>
        <v>0</v>
      </c>
      <c r="V10" s="917"/>
      <c r="W10" s="917">
        <f>SUM(U10:V10)</f>
        <v>0</v>
      </c>
      <c r="X10" s="917">
        <f>[4]int.bevételek2017!J9</f>
        <v>0</v>
      </c>
      <c r="Y10" s="917"/>
      <c r="Z10" s="917">
        <f t="shared" ref="Z10:Z27" si="6">SUM(X10:Y10)</f>
        <v>0</v>
      </c>
      <c r="AA10" s="917">
        <f t="shared" ref="AA10:AC27" si="7">R10+U10+X10</f>
        <v>0</v>
      </c>
      <c r="AB10" s="917">
        <f t="shared" si="7"/>
        <v>0</v>
      </c>
      <c r="AC10" s="917">
        <f t="shared" si="7"/>
        <v>0</v>
      </c>
      <c r="AD10" s="917">
        <f>N10+AA10</f>
        <v>1176</v>
      </c>
      <c r="AE10" s="917">
        <f>O10+AB10</f>
        <v>0</v>
      </c>
      <c r="AF10" s="917">
        <f>P10+AC10</f>
        <v>1176</v>
      </c>
      <c r="AG10" s="916" t="s">
        <v>769</v>
      </c>
      <c r="AH10" s="917"/>
      <c r="AI10" s="917">
        <v>231</v>
      </c>
      <c r="AJ10" s="917">
        <f t="shared" ref="AJ10:AJ27" si="8">SUM(AH10:AI10)</f>
        <v>231</v>
      </c>
      <c r="AK10" s="917">
        <f>[4]int.bevételek2017!L9</f>
        <v>146883</v>
      </c>
      <c r="AL10" s="917">
        <f>4449+58</f>
        <v>4507</v>
      </c>
      <c r="AM10" s="917">
        <f t="shared" ref="AM10:AM27" si="9">SUM(AK10:AL10)</f>
        <v>151390</v>
      </c>
      <c r="AN10" s="917">
        <f>[4]int.bevételek2017!M9</f>
        <v>0</v>
      </c>
      <c r="AO10" s="917">
        <v>1069</v>
      </c>
      <c r="AP10" s="917">
        <f t="shared" ref="AP10:AP27" si="10">SUM(AN10:AO10)</f>
        <v>1069</v>
      </c>
      <c r="AQ10" s="917">
        <f t="shared" ref="AQ10:AS27" si="11">AK10+AN10</f>
        <v>146883</v>
      </c>
      <c r="AR10" s="917">
        <f t="shared" si="11"/>
        <v>5576</v>
      </c>
      <c r="AS10" s="917">
        <f t="shared" si="11"/>
        <v>152459</v>
      </c>
      <c r="AT10" s="917">
        <f>N10+AA10+AH10+AQ10</f>
        <v>148059</v>
      </c>
      <c r="AU10" s="917">
        <f>O10+AB10+AI10+AR10</f>
        <v>5807</v>
      </c>
      <c r="AV10" s="917">
        <f>P10+AC10+AJ10+AS10</f>
        <v>153866</v>
      </c>
    </row>
    <row r="11" spans="1:54" ht="48.75" customHeight="1" x14ac:dyDescent="0.6">
      <c r="A11" s="918" t="s">
        <v>770</v>
      </c>
      <c r="B11" s="917">
        <f>[4]int.bevételek2017!B10</f>
        <v>924</v>
      </c>
      <c r="C11" s="917"/>
      <c r="D11" s="917">
        <f t="shared" si="0"/>
        <v>924</v>
      </c>
      <c r="E11" s="917">
        <f>[4]int.bevételek2017!C10</f>
        <v>0</v>
      </c>
      <c r="F11" s="917"/>
      <c r="G11" s="917">
        <f t="shared" si="1"/>
        <v>0</v>
      </c>
      <c r="H11" s="917">
        <f>[4]int.bevételek2017!D10</f>
        <v>0</v>
      </c>
      <c r="I11" s="917"/>
      <c r="J11" s="917">
        <f t="shared" si="2"/>
        <v>0</v>
      </c>
      <c r="K11" s="917">
        <f>[4]int.bevételek2017!E10</f>
        <v>0</v>
      </c>
      <c r="L11" s="917"/>
      <c r="M11" s="917">
        <f t="shared" si="3"/>
        <v>0</v>
      </c>
      <c r="N11" s="917">
        <f t="shared" si="4"/>
        <v>924</v>
      </c>
      <c r="O11" s="917">
        <f t="shared" si="4"/>
        <v>0</v>
      </c>
      <c r="P11" s="917">
        <f t="shared" si="4"/>
        <v>924</v>
      </c>
      <c r="Q11" s="918" t="s">
        <v>770</v>
      </c>
      <c r="R11" s="917">
        <f>[4]int.bevételek2017!H10</f>
        <v>0</v>
      </c>
      <c r="S11" s="917"/>
      <c r="T11" s="917">
        <f t="shared" si="5"/>
        <v>0</v>
      </c>
      <c r="U11" s="917">
        <f>[4]int.bevételek2017!I10</f>
        <v>0</v>
      </c>
      <c r="V11" s="917"/>
      <c r="W11" s="917">
        <f>SUM(U11:V11)</f>
        <v>0</v>
      </c>
      <c r="X11" s="917">
        <f>[4]int.bevételek2017!J10</f>
        <v>0</v>
      </c>
      <c r="Y11" s="917"/>
      <c r="Z11" s="917">
        <f t="shared" si="6"/>
        <v>0</v>
      </c>
      <c r="AA11" s="917">
        <f t="shared" si="7"/>
        <v>0</v>
      </c>
      <c r="AB11" s="917">
        <f t="shared" si="7"/>
        <v>0</v>
      </c>
      <c r="AC11" s="917">
        <f t="shared" si="7"/>
        <v>0</v>
      </c>
      <c r="AD11" s="917">
        <f t="shared" ref="AD11:AF54" si="12">N11+AA11</f>
        <v>924</v>
      </c>
      <c r="AE11" s="917">
        <f t="shared" si="12"/>
        <v>0</v>
      </c>
      <c r="AF11" s="917">
        <f t="shared" si="12"/>
        <v>924</v>
      </c>
      <c r="AG11" s="918" t="s">
        <v>770</v>
      </c>
      <c r="AH11" s="917"/>
      <c r="AI11" s="917">
        <v>745</v>
      </c>
      <c r="AJ11" s="917">
        <f t="shared" si="8"/>
        <v>745</v>
      </c>
      <c r="AK11" s="917">
        <f>[4]int.bevételek2017!L10</f>
        <v>95632</v>
      </c>
      <c r="AL11" s="917">
        <f>3339+61-7</f>
        <v>3393</v>
      </c>
      <c r="AM11" s="917">
        <f t="shared" si="9"/>
        <v>99025</v>
      </c>
      <c r="AN11" s="917">
        <f>[4]int.bevételek2017!M10</f>
        <v>0</v>
      </c>
      <c r="AO11" s="917">
        <f>10+7</f>
        <v>17</v>
      </c>
      <c r="AP11" s="917">
        <f t="shared" si="10"/>
        <v>17</v>
      </c>
      <c r="AQ11" s="917">
        <f t="shared" si="11"/>
        <v>95632</v>
      </c>
      <c r="AR11" s="917">
        <f t="shared" si="11"/>
        <v>3410</v>
      </c>
      <c r="AS11" s="917">
        <f t="shared" si="11"/>
        <v>99042</v>
      </c>
      <c r="AT11" s="917">
        <f t="shared" ref="AT11:AV27" si="13">N11+AA11+AH11+AQ11</f>
        <v>96556</v>
      </c>
      <c r="AU11" s="917">
        <f t="shared" si="13"/>
        <v>4155</v>
      </c>
      <c r="AV11" s="917">
        <f t="shared" si="13"/>
        <v>100711</v>
      </c>
    </row>
    <row r="12" spans="1:54" ht="48.75" customHeight="1" x14ac:dyDescent="0.6">
      <c r="A12" s="918" t="s">
        <v>771</v>
      </c>
      <c r="B12" s="917">
        <f>[4]int.bevételek2017!B11</f>
        <v>1512</v>
      </c>
      <c r="C12" s="917"/>
      <c r="D12" s="917">
        <f t="shared" si="0"/>
        <v>1512</v>
      </c>
      <c r="E12" s="917">
        <f>[4]int.bevételek2017!C11</f>
        <v>0</v>
      </c>
      <c r="F12" s="917"/>
      <c r="G12" s="917">
        <f t="shared" si="1"/>
        <v>0</v>
      </c>
      <c r="H12" s="917">
        <f>[4]int.bevételek2017!D11</f>
        <v>0</v>
      </c>
      <c r="I12" s="917"/>
      <c r="J12" s="917">
        <f t="shared" si="2"/>
        <v>0</v>
      </c>
      <c r="K12" s="917">
        <f>[4]int.bevételek2017!E11</f>
        <v>0</v>
      </c>
      <c r="L12" s="917"/>
      <c r="M12" s="917">
        <f t="shared" si="3"/>
        <v>0</v>
      </c>
      <c r="N12" s="917">
        <f t="shared" si="4"/>
        <v>1512</v>
      </c>
      <c r="O12" s="917">
        <f t="shared" si="4"/>
        <v>0</v>
      </c>
      <c r="P12" s="917">
        <f t="shared" si="4"/>
        <v>1512</v>
      </c>
      <c r="Q12" s="918" t="s">
        <v>771</v>
      </c>
      <c r="R12" s="917">
        <f>[4]int.bevételek2017!H11</f>
        <v>0</v>
      </c>
      <c r="S12" s="917"/>
      <c r="T12" s="917">
        <f t="shared" si="5"/>
        <v>0</v>
      </c>
      <c r="U12" s="917">
        <f>[4]int.bevételek2017!I11</f>
        <v>0</v>
      </c>
      <c r="V12" s="917"/>
      <c r="W12" s="917">
        <f t="shared" ref="W12:W23" si="14">SUM(U12:V12)</f>
        <v>0</v>
      </c>
      <c r="X12" s="917">
        <f>[4]int.bevételek2017!J11</f>
        <v>0</v>
      </c>
      <c r="Y12" s="917"/>
      <c r="Z12" s="917">
        <f t="shared" si="6"/>
        <v>0</v>
      </c>
      <c r="AA12" s="917">
        <f t="shared" si="7"/>
        <v>0</v>
      </c>
      <c r="AB12" s="917">
        <f t="shared" si="7"/>
        <v>0</v>
      </c>
      <c r="AC12" s="917">
        <f t="shared" si="7"/>
        <v>0</v>
      </c>
      <c r="AD12" s="917">
        <f t="shared" si="12"/>
        <v>1512</v>
      </c>
      <c r="AE12" s="917">
        <f t="shared" si="12"/>
        <v>0</v>
      </c>
      <c r="AF12" s="917">
        <f t="shared" si="12"/>
        <v>1512</v>
      </c>
      <c r="AG12" s="918" t="s">
        <v>771</v>
      </c>
      <c r="AH12" s="917"/>
      <c r="AI12" s="917">
        <v>270</v>
      </c>
      <c r="AJ12" s="917">
        <f t="shared" si="8"/>
        <v>270</v>
      </c>
      <c r="AK12" s="917">
        <f>[4]int.bevételek2017!L11</f>
        <v>90978</v>
      </c>
      <c r="AL12" s="917">
        <f>2518+52</f>
        <v>2570</v>
      </c>
      <c r="AM12" s="917">
        <f t="shared" si="9"/>
        <v>93548</v>
      </c>
      <c r="AN12" s="917">
        <f>[4]int.bevételek2017!M11</f>
        <v>0</v>
      </c>
      <c r="AO12" s="917">
        <v>8</v>
      </c>
      <c r="AP12" s="917">
        <f t="shared" si="10"/>
        <v>8</v>
      </c>
      <c r="AQ12" s="917">
        <f t="shared" si="11"/>
        <v>90978</v>
      </c>
      <c r="AR12" s="917">
        <f t="shared" si="11"/>
        <v>2578</v>
      </c>
      <c r="AS12" s="917">
        <f t="shared" si="11"/>
        <v>93556</v>
      </c>
      <c r="AT12" s="917">
        <f t="shared" si="13"/>
        <v>92490</v>
      </c>
      <c r="AU12" s="917">
        <f t="shared" si="13"/>
        <v>2848</v>
      </c>
      <c r="AV12" s="917">
        <f t="shared" si="13"/>
        <v>95338</v>
      </c>
    </row>
    <row r="13" spans="1:54" ht="48.75" customHeight="1" x14ac:dyDescent="0.6">
      <c r="A13" s="918" t="s">
        <v>772</v>
      </c>
      <c r="B13" s="917">
        <f>[4]int.bevételek2017!B12</f>
        <v>700</v>
      </c>
      <c r="C13" s="917"/>
      <c r="D13" s="917">
        <f t="shared" si="0"/>
        <v>700</v>
      </c>
      <c r="E13" s="917">
        <f>[4]int.bevételek2017!C12</f>
        <v>0</v>
      </c>
      <c r="F13" s="917"/>
      <c r="G13" s="917">
        <f t="shared" si="1"/>
        <v>0</v>
      </c>
      <c r="H13" s="917">
        <f>[4]int.bevételek2017!D12</f>
        <v>0</v>
      </c>
      <c r="I13" s="917"/>
      <c r="J13" s="917">
        <f t="shared" si="2"/>
        <v>0</v>
      </c>
      <c r="K13" s="917">
        <f>[4]int.bevételek2017!E12</f>
        <v>0</v>
      </c>
      <c r="L13" s="917"/>
      <c r="M13" s="917">
        <f t="shared" si="3"/>
        <v>0</v>
      </c>
      <c r="N13" s="917">
        <f t="shared" si="4"/>
        <v>700</v>
      </c>
      <c r="O13" s="917">
        <f t="shared" si="4"/>
        <v>0</v>
      </c>
      <c r="P13" s="917">
        <f t="shared" si="4"/>
        <v>700</v>
      </c>
      <c r="Q13" s="918" t="s">
        <v>772</v>
      </c>
      <c r="R13" s="917">
        <f>[4]int.bevételek2017!H12</f>
        <v>0</v>
      </c>
      <c r="S13" s="917"/>
      <c r="T13" s="917">
        <f t="shared" si="5"/>
        <v>0</v>
      </c>
      <c r="U13" s="917">
        <f>[4]int.bevételek2017!I12</f>
        <v>0</v>
      </c>
      <c r="V13" s="917"/>
      <c r="W13" s="917">
        <f t="shared" si="14"/>
        <v>0</v>
      </c>
      <c r="X13" s="917">
        <f>[4]int.bevételek2017!J12</f>
        <v>0</v>
      </c>
      <c r="Y13" s="917"/>
      <c r="Z13" s="917">
        <f t="shared" si="6"/>
        <v>0</v>
      </c>
      <c r="AA13" s="917">
        <f t="shared" si="7"/>
        <v>0</v>
      </c>
      <c r="AB13" s="917">
        <f t="shared" si="7"/>
        <v>0</v>
      </c>
      <c r="AC13" s="917">
        <f t="shared" si="7"/>
        <v>0</v>
      </c>
      <c r="AD13" s="917">
        <f t="shared" si="12"/>
        <v>700</v>
      </c>
      <c r="AE13" s="917">
        <f t="shared" si="12"/>
        <v>0</v>
      </c>
      <c r="AF13" s="917">
        <f t="shared" si="12"/>
        <v>700</v>
      </c>
      <c r="AG13" s="918" t="s">
        <v>772</v>
      </c>
      <c r="AH13" s="917"/>
      <c r="AI13" s="917">
        <v>396</v>
      </c>
      <c r="AJ13" s="917">
        <f t="shared" si="8"/>
        <v>396</v>
      </c>
      <c r="AK13" s="917">
        <f>[4]int.bevételek2017!L12</f>
        <v>122454</v>
      </c>
      <c r="AL13" s="917">
        <f>2197+230-69</f>
        <v>2358</v>
      </c>
      <c r="AM13" s="917">
        <f t="shared" si="9"/>
        <v>124812</v>
      </c>
      <c r="AN13" s="917">
        <f>[4]int.bevételek2017!M12</f>
        <v>0</v>
      </c>
      <c r="AO13" s="917">
        <v>69</v>
      </c>
      <c r="AP13" s="917">
        <f t="shared" si="10"/>
        <v>69</v>
      </c>
      <c r="AQ13" s="917">
        <f t="shared" si="11"/>
        <v>122454</v>
      </c>
      <c r="AR13" s="917">
        <f t="shared" si="11"/>
        <v>2427</v>
      </c>
      <c r="AS13" s="917">
        <f t="shared" si="11"/>
        <v>124881</v>
      </c>
      <c r="AT13" s="917">
        <f t="shared" si="13"/>
        <v>123154</v>
      </c>
      <c r="AU13" s="917">
        <f t="shared" si="13"/>
        <v>2823</v>
      </c>
      <c r="AV13" s="917">
        <f t="shared" si="13"/>
        <v>125977</v>
      </c>
    </row>
    <row r="14" spans="1:54" ht="48.75" customHeight="1" x14ac:dyDescent="0.6">
      <c r="A14" s="918" t="s">
        <v>773</v>
      </c>
      <c r="B14" s="917">
        <f>[4]int.bevételek2017!B13</f>
        <v>1036</v>
      </c>
      <c r="C14" s="917"/>
      <c r="D14" s="917">
        <f t="shared" si="0"/>
        <v>1036</v>
      </c>
      <c r="E14" s="917">
        <f>[4]int.bevételek2017!C13</f>
        <v>0</v>
      </c>
      <c r="F14" s="917"/>
      <c r="G14" s="917">
        <f t="shared" si="1"/>
        <v>0</v>
      </c>
      <c r="H14" s="917">
        <f>[4]int.bevételek2017!D13</f>
        <v>0</v>
      </c>
      <c r="I14" s="917"/>
      <c r="J14" s="917">
        <f t="shared" si="2"/>
        <v>0</v>
      </c>
      <c r="K14" s="917">
        <f>[4]int.bevételek2017!E13</f>
        <v>0</v>
      </c>
      <c r="L14" s="917"/>
      <c r="M14" s="917">
        <f t="shared" si="3"/>
        <v>0</v>
      </c>
      <c r="N14" s="917">
        <f t="shared" si="4"/>
        <v>1036</v>
      </c>
      <c r="O14" s="917">
        <f t="shared" si="4"/>
        <v>0</v>
      </c>
      <c r="P14" s="917">
        <f t="shared" si="4"/>
        <v>1036</v>
      </c>
      <c r="Q14" s="918" t="s">
        <v>773</v>
      </c>
      <c r="R14" s="917">
        <f>[4]int.bevételek2017!H13</f>
        <v>0</v>
      </c>
      <c r="S14" s="917"/>
      <c r="T14" s="917">
        <f t="shared" si="5"/>
        <v>0</v>
      </c>
      <c r="U14" s="917">
        <f>[4]int.bevételek2017!I13</f>
        <v>0</v>
      </c>
      <c r="V14" s="917"/>
      <c r="W14" s="917">
        <f t="shared" si="14"/>
        <v>0</v>
      </c>
      <c r="X14" s="917">
        <f>[4]int.bevételek2017!J13</f>
        <v>0</v>
      </c>
      <c r="Y14" s="917"/>
      <c r="Z14" s="917">
        <f t="shared" si="6"/>
        <v>0</v>
      </c>
      <c r="AA14" s="917">
        <f t="shared" si="7"/>
        <v>0</v>
      </c>
      <c r="AB14" s="917">
        <f t="shared" si="7"/>
        <v>0</v>
      </c>
      <c r="AC14" s="917">
        <f t="shared" si="7"/>
        <v>0</v>
      </c>
      <c r="AD14" s="917">
        <f t="shared" si="12"/>
        <v>1036</v>
      </c>
      <c r="AE14" s="917">
        <f t="shared" si="12"/>
        <v>0</v>
      </c>
      <c r="AF14" s="917">
        <f t="shared" si="12"/>
        <v>1036</v>
      </c>
      <c r="AG14" s="918" t="s">
        <v>773</v>
      </c>
      <c r="AH14" s="917"/>
      <c r="AI14" s="917">
        <v>1178</v>
      </c>
      <c r="AJ14" s="917">
        <f t="shared" si="8"/>
        <v>1178</v>
      </c>
      <c r="AK14" s="917">
        <f>[4]int.bevételek2017!L13</f>
        <v>105279</v>
      </c>
      <c r="AL14" s="917">
        <f>2571+377-6</f>
        <v>2942</v>
      </c>
      <c r="AM14" s="917">
        <f t="shared" si="9"/>
        <v>108221</v>
      </c>
      <c r="AN14" s="917">
        <f>[4]int.bevételek2017!M13</f>
        <v>0</v>
      </c>
      <c r="AO14" s="917">
        <f>9+6</f>
        <v>15</v>
      </c>
      <c r="AP14" s="917">
        <f t="shared" si="10"/>
        <v>15</v>
      </c>
      <c r="AQ14" s="917">
        <f t="shared" si="11"/>
        <v>105279</v>
      </c>
      <c r="AR14" s="917">
        <f t="shared" si="11"/>
        <v>2957</v>
      </c>
      <c r="AS14" s="917">
        <f t="shared" si="11"/>
        <v>108236</v>
      </c>
      <c r="AT14" s="917">
        <f t="shared" si="13"/>
        <v>106315</v>
      </c>
      <c r="AU14" s="917">
        <f t="shared" si="13"/>
        <v>4135</v>
      </c>
      <c r="AV14" s="917">
        <f t="shared" si="13"/>
        <v>110450</v>
      </c>
    </row>
    <row r="15" spans="1:54" ht="48.75" customHeight="1" x14ac:dyDescent="0.6">
      <c r="A15" s="918" t="s">
        <v>774</v>
      </c>
      <c r="B15" s="917">
        <f>[4]int.bevételek2017!B14</f>
        <v>756</v>
      </c>
      <c r="C15" s="917"/>
      <c r="D15" s="917">
        <f t="shared" si="0"/>
        <v>756</v>
      </c>
      <c r="E15" s="917">
        <f>[4]int.bevételek2017!C14</f>
        <v>0</v>
      </c>
      <c r="F15" s="917"/>
      <c r="G15" s="917">
        <f t="shared" si="1"/>
        <v>0</v>
      </c>
      <c r="H15" s="917">
        <f>[4]int.bevételek2017!D14</f>
        <v>0</v>
      </c>
      <c r="I15" s="917"/>
      <c r="J15" s="917">
        <f t="shared" si="2"/>
        <v>0</v>
      </c>
      <c r="K15" s="917">
        <f>[4]int.bevételek2017!E14</f>
        <v>0</v>
      </c>
      <c r="L15" s="917"/>
      <c r="M15" s="917">
        <f t="shared" si="3"/>
        <v>0</v>
      </c>
      <c r="N15" s="917">
        <f t="shared" si="4"/>
        <v>756</v>
      </c>
      <c r="O15" s="917">
        <f t="shared" si="4"/>
        <v>0</v>
      </c>
      <c r="P15" s="917">
        <f t="shared" si="4"/>
        <v>756</v>
      </c>
      <c r="Q15" s="918" t="s">
        <v>774</v>
      </c>
      <c r="R15" s="917">
        <f>[4]int.bevételek2017!H14</f>
        <v>0</v>
      </c>
      <c r="S15" s="917"/>
      <c r="T15" s="917">
        <f t="shared" si="5"/>
        <v>0</v>
      </c>
      <c r="U15" s="917">
        <f>[4]int.bevételek2017!I14</f>
        <v>0</v>
      </c>
      <c r="V15" s="917"/>
      <c r="W15" s="917">
        <f t="shared" si="14"/>
        <v>0</v>
      </c>
      <c r="X15" s="917">
        <f>[4]int.bevételek2017!J14</f>
        <v>0</v>
      </c>
      <c r="Y15" s="917"/>
      <c r="Z15" s="917">
        <f t="shared" si="6"/>
        <v>0</v>
      </c>
      <c r="AA15" s="917">
        <f t="shared" si="7"/>
        <v>0</v>
      </c>
      <c r="AB15" s="917">
        <f t="shared" si="7"/>
        <v>0</v>
      </c>
      <c r="AC15" s="917">
        <f t="shared" si="7"/>
        <v>0</v>
      </c>
      <c r="AD15" s="917">
        <f t="shared" si="12"/>
        <v>756</v>
      </c>
      <c r="AE15" s="917">
        <f t="shared" si="12"/>
        <v>0</v>
      </c>
      <c r="AF15" s="917">
        <f t="shared" si="12"/>
        <v>756</v>
      </c>
      <c r="AG15" s="918" t="s">
        <v>774</v>
      </c>
      <c r="AH15" s="917"/>
      <c r="AI15" s="917">
        <v>366</v>
      </c>
      <c r="AJ15" s="917">
        <f t="shared" si="8"/>
        <v>366</v>
      </c>
      <c r="AK15" s="917">
        <f>[4]int.bevételek2017!L14</f>
        <v>92803</v>
      </c>
      <c r="AL15" s="917">
        <f>5608+239-827</f>
        <v>5020</v>
      </c>
      <c r="AM15" s="917">
        <f t="shared" si="9"/>
        <v>97823</v>
      </c>
      <c r="AN15" s="917">
        <f>[4]int.bevételek2017!M14</f>
        <v>0</v>
      </c>
      <c r="AO15" s="917">
        <f>16+827</f>
        <v>843</v>
      </c>
      <c r="AP15" s="917">
        <f t="shared" si="10"/>
        <v>843</v>
      </c>
      <c r="AQ15" s="917">
        <f t="shared" si="11"/>
        <v>92803</v>
      </c>
      <c r="AR15" s="917">
        <f t="shared" si="11"/>
        <v>5863</v>
      </c>
      <c r="AS15" s="917">
        <f t="shared" si="11"/>
        <v>98666</v>
      </c>
      <c r="AT15" s="917">
        <f t="shared" si="13"/>
        <v>93559</v>
      </c>
      <c r="AU15" s="917">
        <f t="shared" si="13"/>
        <v>6229</v>
      </c>
      <c r="AV15" s="917">
        <f t="shared" si="13"/>
        <v>99788</v>
      </c>
    </row>
    <row r="16" spans="1:54" ht="48.75" customHeight="1" x14ac:dyDescent="0.6">
      <c r="A16" s="918" t="s">
        <v>775</v>
      </c>
      <c r="B16" s="917">
        <f>[4]int.bevételek2017!B15</f>
        <v>560</v>
      </c>
      <c r="C16" s="917"/>
      <c r="D16" s="917">
        <f t="shared" si="0"/>
        <v>560</v>
      </c>
      <c r="E16" s="917">
        <f>[4]int.bevételek2017!C15</f>
        <v>0</v>
      </c>
      <c r="F16" s="917"/>
      <c r="G16" s="917">
        <f t="shared" si="1"/>
        <v>0</v>
      </c>
      <c r="H16" s="917">
        <f>[4]int.bevételek2017!D15</f>
        <v>0</v>
      </c>
      <c r="I16" s="917"/>
      <c r="J16" s="917">
        <f t="shared" si="2"/>
        <v>0</v>
      </c>
      <c r="K16" s="917">
        <f>[4]int.bevételek2017!E15</f>
        <v>0</v>
      </c>
      <c r="L16" s="917"/>
      <c r="M16" s="917">
        <f t="shared" si="3"/>
        <v>0</v>
      </c>
      <c r="N16" s="917">
        <f t="shared" si="4"/>
        <v>560</v>
      </c>
      <c r="O16" s="917">
        <f t="shared" si="4"/>
        <v>0</v>
      </c>
      <c r="P16" s="917">
        <f t="shared" si="4"/>
        <v>560</v>
      </c>
      <c r="Q16" s="918" t="s">
        <v>776</v>
      </c>
      <c r="R16" s="917">
        <f>[4]int.bevételek2017!H15</f>
        <v>0</v>
      </c>
      <c r="S16" s="917"/>
      <c r="T16" s="917">
        <f t="shared" si="5"/>
        <v>0</v>
      </c>
      <c r="U16" s="917">
        <f>[4]int.bevételek2017!I15</f>
        <v>0</v>
      </c>
      <c r="V16" s="917"/>
      <c r="W16" s="917">
        <f t="shared" si="14"/>
        <v>0</v>
      </c>
      <c r="X16" s="917">
        <f>[4]int.bevételek2017!J15</f>
        <v>0</v>
      </c>
      <c r="Y16" s="917"/>
      <c r="Z16" s="917">
        <f t="shared" si="6"/>
        <v>0</v>
      </c>
      <c r="AA16" s="917">
        <f t="shared" si="7"/>
        <v>0</v>
      </c>
      <c r="AB16" s="917">
        <f t="shared" si="7"/>
        <v>0</v>
      </c>
      <c r="AC16" s="917">
        <f t="shared" si="7"/>
        <v>0</v>
      </c>
      <c r="AD16" s="917">
        <f t="shared" si="12"/>
        <v>560</v>
      </c>
      <c r="AE16" s="917">
        <f t="shared" si="12"/>
        <v>0</v>
      </c>
      <c r="AF16" s="917">
        <f t="shared" si="12"/>
        <v>560</v>
      </c>
      <c r="AG16" s="918" t="s">
        <v>776</v>
      </c>
      <c r="AH16" s="917"/>
      <c r="AI16" s="917">
        <v>133</v>
      </c>
      <c r="AJ16" s="917">
        <f t="shared" si="8"/>
        <v>133</v>
      </c>
      <c r="AK16" s="917">
        <f>[4]int.bevételek2017!L15</f>
        <v>77410</v>
      </c>
      <c r="AL16" s="917">
        <f>1273+5-268</f>
        <v>1010</v>
      </c>
      <c r="AM16" s="917">
        <f t="shared" si="9"/>
        <v>78420</v>
      </c>
      <c r="AN16" s="917">
        <f>[4]int.bevételek2017!M15</f>
        <v>0</v>
      </c>
      <c r="AO16" s="917">
        <f>245+268</f>
        <v>513</v>
      </c>
      <c r="AP16" s="917">
        <f t="shared" si="10"/>
        <v>513</v>
      </c>
      <c r="AQ16" s="917">
        <f t="shared" si="11"/>
        <v>77410</v>
      </c>
      <c r="AR16" s="917">
        <f t="shared" si="11"/>
        <v>1523</v>
      </c>
      <c r="AS16" s="917">
        <f t="shared" si="11"/>
        <v>78933</v>
      </c>
      <c r="AT16" s="917">
        <f t="shared" si="13"/>
        <v>77970</v>
      </c>
      <c r="AU16" s="917">
        <f t="shared" si="13"/>
        <v>1656</v>
      </c>
      <c r="AV16" s="917">
        <f t="shared" si="13"/>
        <v>79626</v>
      </c>
    </row>
    <row r="17" spans="1:48" ht="48.75" customHeight="1" x14ac:dyDescent="0.6">
      <c r="A17" s="918" t="s">
        <v>777</v>
      </c>
      <c r="B17" s="917">
        <f>[4]int.bevételek2017!B16</f>
        <v>644</v>
      </c>
      <c r="C17" s="917"/>
      <c r="D17" s="917">
        <f t="shared" si="0"/>
        <v>644</v>
      </c>
      <c r="E17" s="917">
        <f>[4]int.bevételek2017!C16</f>
        <v>0</v>
      </c>
      <c r="F17" s="917"/>
      <c r="G17" s="917">
        <f t="shared" si="1"/>
        <v>0</v>
      </c>
      <c r="H17" s="917">
        <f>[4]int.bevételek2017!D16</f>
        <v>0</v>
      </c>
      <c r="I17" s="917"/>
      <c r="J17" s="917">
        <f t="shared" si="2"/>
        <v>0</v>
      </c>
      <c r="K17" s="917">
        <f>[4]int.bevételek2017!E16</f>
        <v>0</v>
      </c>
      <c r="L17" s="917"/>
      <c r="M17" s="917">
        <f t="shared" si="3"/>
        <v>0</v>
      </c>
      <c r="N17" s="917">
        <f t="shared" si="4"/>
        <v>644</v>
      </c>
      <c r="O17" s="917">
        <f t="shared" si="4"/>
        <v>0</v>
      </c>
      <c r="P17" s="917">
        <f t="shared" si="4"/>
        <v>644</v>
      </c>
      <c r="Q17" s="918" t="s">
        <v>777</v>
      </c>
      <c r="R17" s="917">
        <f>[4]int.bevételek2017!H16</f>
        <v>0</v>
      </c>
      <c r="S17" s="917"/>
      <c r="T17" s="917">
        <f t="shared" si="5"/>
        <v>0</v>
      </c>
      <c r="U17" s="917">
        <f>[4]int.bevételek2017!I16</f>
        <v>0</v>
      </c>
      <c r="V17" s="917"/>
      <c r="W17" s="917">
        <f t="shared" si="14"/>
        <v>0</v>
      </c>
      <c r="X17" s="917">
        <f>[4]int.bevételek2017!J16</f>
        <v>0</v>
      </c>
      <c r="Y17" s="917"/>
      <c r="Z17" s="917">
        <f t="shared" si="6"/>
        <v>0</v>
      </c>
      <c r="AA17" s="917">
        <f t="shared" si="7"/>
        <v>0</v>
      </c>
      <c r="AB17" s="917">
        <f t="shared" si="7"/>
        <v>0</v>
      </c>
      <c r="AC17" s="917">
        <f t="shared" si="7"/>
        <v>0</v>
      </c>
      <c r="AD17" s="917">
        <f t="shared" si="12"/>
        <v>644</v>
      </c>
      <c r="AE17" s="917">
        <f t="shared" si="12"/>
        <v>0</v>
      </c>
      <c r="AF17" s="917">
        <f t="shared" si="12"/>
        <v>644</v>
      </c>
      <c r="AG17" s="918" t="s">
        <v>777</v>
      </c>
      <c r="AH17" s="917"/>
      <c r="AI17" s="917">
        <v>147</v>
      </c>
      <c r="AJ17" s="917">
        <f t="shared" si="8"/>
        <v>147</v>
      </c>
      <c r="AK17" s="917">
        <f>[4]int.bevételek2017!L16</f>
        <v>78945</v>
      </c>
      <c r="AL17" s="917">
        <f>908+21</f>
        <v>929</v>
      </c>
      <c r="AM17" s="917">
        <f t="shared" si="9"/>
        <v>79874</v>
      </c>
      <c r="AN17" s="917">
        <f>[4]int.bevételek2017!M16</f>
        <v>0</v>
      </c>
      <c r="AO17" s="917">
        <f>1523+3000</f>
        <v>4523</v>
      </c>
      <c r="AP17" s="917">
        <f t="shared" si="10"/>
        <v>4523</v>
      </c>
      <c r="AQ17" s="917">
        <f t="shared" si="11"/>
        <v>78945</v>
      </c>
      <c r="AR17" s="917">
        <f t="shared" si="11"/>
        <v>5452</v>
      </c>
      <c r="AS17" s="917">
        <f t="shared" si="11"/>
        <v>84397</v>
      </c>
      <c r="AT17" s="917">
        <f t="shared" si="13"/>
        <v>79589</v>
      </c>
      <c r="AU17" s="917">
        <f t="shared" si="13"/>
        <v>5599</v>
      </c>
      <c r="AV17" s="917">
        <f t="shared" si="13"/>
        <v>85188</v>
      </c>
    </row>
    <row r="18" spans="1:48" ht="48.75" customHeight="1" x14ac:dyDescent="0.6">
      <c r="A18" s="918" t="s">
        <v>778</v>
      </c>
      <c r="B18" s="917">
        <f>[4]int.bevételek2017!B17</f>
        <v>588</v>
      </c>
      <c r="C18" s="917"/>
      <c r="D18" s="917">
        <f t="shared" si="0"/>
        <v>588</v>
      </c>
      <c r="E18" s="917">
        <f>[4]int.bevételek2017!C17</f>
        <v>0</v>
      </c>
      <c r="F18" s="917"/>
      <c r="G18" s="917">
        <f t="shared" si="1"/>
        <v>0</v>
      </c>
      <c r="H18" s="917">
        <f>[4]int.bevételek2017!D17</f>
        <v>0</v>
      </c>
      <c r="I18" s="917"/>
      <c r="J18" s="917">
        <f t="shared" si="2"/>
        <v>0</v>
      </c>
      <c r="K18" s="917">
        <f>[4]int.bevételek2017!E17</f>
        <v>0</v>
      </c>
      <c r="L18" s="917"/>
      <c r="M18" s="917">
        <f t="shared" si="3"/>
        <v>0</v>
      </c>
      <c r="N18" s="917">
        <f t="shared" si="4"/>
        <v>588</v>
      </c>
      <c r="O18" s="917">
        <f t="shared" si="4"/>
        <v>0</v>
      </c>
      <c r="P18" s="917">
        <f t="shared" si="4"/>
        <v>588</v>
      </c>
      <c r="Q18" s="918" t="s">
        <v>778</v>
      </c>
      <c r="R18" s="917">
        <f>[4]int.bevételek2017!H17</f>
        <v>0</v>
      </c>
      <c r="S18" s="917"/>
      <c r="T18" s="917">
        <f t="shared" si="5"/>
        <v>0</v>
      </c>
      <c r="U18" s="917">
        <f>[4]int.bevételek2017!I17</f>
        <v>0</v>
      </c>
      <c r="V18" s="917"/>
      <c r="W18" s="917">
        <f t="shared" si="14"/>
        <v>0</v>
      </c>
      <c r="X18" s="917">
        <f>[4]int.bevételek2017!J17</f>
        <v>0</v>
      </c>
      <c r="Y18" s="917"/>
      <c r="Z18" s="917">
        <f t="shared" si="6"/>
        <v>0</v>
      </c>
      <c r="AA18" s="917">
        <f t="shared" si="7"/>
        <v>0</v>
      </c>
      <c r="AB18" s="917">
        <f t="shared" si="7"/>
        <v>0</v>
      </c>
      <c r="AC18" s="917">
        <f t="shared" si="7"/>
        <v>0</v>
      </c>
      <c r="AD18" s="917">
        <f t="shared" si="12"/>
        <v>588</v>
      </c>
      <c r="AE18" s="917">
        <f t="shared" si="12"/>
        <v>0</v>
      </c>
      <c r="AF18" s="917">
        <f t="shared" si="12"/>
        <v>588</v>
      </c>
      <c r="AG18" s="918" t="s">
        <v>778</v>
      </c>
      <c r="AH18" s="917"/>
      <c r="AI18" s="917">
        <v>321</v>
      </c>
      <c r="AJ18" s="917">
        <f t="shared" si="8"/>
        <v>321</v>
      </c>
      <c r="AK18" s="917">
        <f>[4]int.bevételek2017!L17</f>
        <v>114085</v>
      </c>
      <c r="AL18" s="917">
        <f>3877+118-37</f>
        <v>3958</v>
      </c>
      <c r="AM18" s="917">
        <f t="shared" si="9"/>
        <v>118043</v>
      </c>
      <c r="AN18" s="917">
        <f>[4]int.bevételek2017!M17</f>
        <v>0</v>
      </c>
      <c r="AO18" s="917">
        <f>25+37</f>
        <v>62</v>
      </c>
      <c r="AP18" s="917">
        <f t="shared" si="10"/>
        <v>62</v>
      </c>
      <c r="AQ18" s="917">
        <f t="shared" si="11"/>
        <v>114085</v>
      </c>
      <c r="AR18" s="917">
        <f t="shared" si="11"/>
        <v>4020</v>
      </c>
      <c r="AS18" s="917">
        <f t="shared" si="11"/>
        <v>118105</v>
      </c>
      <c r="AT18" s="917">
        <f t="shared" si="13"/>
        <v>114673</v>
      </c>
      <c r="AU18" s="917">
        <f t="shared" si="13"/>
        <v>4341</v>
      </c>
      <c r="AV18" s="917">
        <f t="shared" si="13"/>
        <v>119014</v>
      </c>
    </row>
    <row r="19" spans="1:48" ht="48.75" customHeight="1" x14ac:dyDescent="0.6">
      <c r="A19" s="918" t="s">
        <v>779</v>
      </c>
      <c r="B19" s="917">
        <f>[4]int.bevételek2017!B18</f>
        <v>1232</v>
      </c>
      <c r="C19" s="917"/>
      <c r="D19" s="917">
        <f t="shared" si="0"/>
        <v>1232</v>
      </c>
      <c r="E19" s="917">
        <f>[4]int.bevételek2017!C18</f>
        <v>0</v>
      </c>
      <c r="F19" s="917"/>
      <c r="G19" s="917">
        <f t="shared" si="1"/>
        <v>0</v>
      </c>
      <c r="H19" s="917">
        <f>[4]int.bevételek2017!D18</f>
        <v>0</v>
      </c>
      <c r="I19" s="917"/>
      <c r="J19" s="917">
        <f t="shared" si="2"/>
        <v>0</v>
      </c>
      <c r="K19" s="917">
        <f>[4]int.bevételek2017!E18</f>
        <v>0</v>
      </c>
      <c r="L19" s="917"/>
      <c r="M19" s="917">
        <f t="shared" si="3"/>
        <v>0</v>
      </c>
      <c r="N19" s="917">
        <f t="shared" si="4"/>
        <v>1232</v>
      </c>
      <c r="O19" s="917">
        <f t="shared" si="4"/>
        <v>0</v>
      </c>
      <c r="P19" s="917">
        <f t="shared" si="4"/>
        <v>1232</v>
      </c>
      <c r="Q19" s="918" t="s">
        <v>779</v>
      </c>
      <c r="R19" s="917">
        <f>[4]int.bevételek2017!H18</f>
        <v>0</v>
      </c>
      <c r="S19" s="917"/>
      <c r="T19" s="917">
        <f t="shared" si="5"/>
        <v>0</v>
      </c>
      <c r="U19" s="917">
        <f>[4]int.bevételek2017!I18</f>
        <v>0</v>
      </c>
      <c r="V19" s="917"/>
      <c r="W19" s="917">
        <f t="shared" si="14"/>
        <v>0</v>
      </c>
      <c r="X19" s="917">
        <f>[4]int.bevételek2017!J18</f>
        <v>0</v>
      </c>
      <c r="Y19" s="917"/>
      <c r="Z19" s="917">
        <f t="shared" si="6"/>
        <v>0</v>
      </c>
      <c r="AA19" s="917">
        <f t="shared" si="7"/>
        <v>0</v>
      </c>
      <c r="AB19" s="917">
        <f t="shared" si="7"/>
        <v>0</v>
      </c>
      <c r="AC19" s="917">
        <f t="shared" si="7"/>
        <v>0</v>
      </c>
      <c r="AD19" s="917">
        <f t="shared" si="12"/>
        <v>1232</v>
      </c>
      <c r="AE19" s="917">
        <f t="shared" si="12"/>
        <v>0</v>
      </c>
      <c r="AF19" s="917">
        <f t="shared" si="12"/>
        <v>1232</v>
      </c>
      <c r="AG19" s="918" t="s">
        <v>779</v>
      </c>
      <c r="AH19" s="917"/>
      <c r="AI19" s="917">
        <v>336</v>
      </c>
      <c r="AJ19" s="917">
        <f t="shared" si="8"/>
        <v>336</v>
      </c>
      <c r="AK19" s="917">
        <f>[4]int.bevételek2017!L18</f>
        <v>128686</v>
      </c>
      <c r="AL19" s="917">
        <f>2851+78-199</f>
        <v>2730</v>
      </c>
      <c r="AM19" s="917">
        <f t="shared" si="9"/>
        <v>131416</v>
      </c>
      <c r="AN19" s="917">
        <f>[4]int.bevételek2017!M18</f>
        <v>0</v>
      </c>
      <c r="AO19" s="917">
        <f>859+1282+199</f>
        <v>2340</v>
      </c>
      <c r="AP19" s="917">
        <f t="shared" si="10"/>
        <v>2340</v>
      </c>
      <c r="AQ19" s="917">
        <f t="shared" si="11"/>
        <v>128686</v>
      </c>
      <c r="AR19" s="917">
        <f t="shared" si="11"/>
        <v>5070</v>
      </c>
      <c r="AS19" s="917">
        <f t="shared" si="11"/>
        <v>133756</v>
      </c>
      <c r="AT19" s="917">
        <f t="shared" si="13"/>
        <v>129918</v>
      </c>
      <c r="AU19" s="917">
        <f t="shared" si="13"/>
        <v>5406</v>
      </c>
      <c r="AV19" s="917">
        <f t="shared" si="13"/>
        <v>135324</v>
      </c>
    </row>
    <row r="20" spans="1:48" ht="48.75" customHeight="1" x14ac:dyDescent="0.6">
      <c r="A20" s="918" t="s">
        <v>780</v>
      </c>
      <c r="B20" s="917">
        <f>[4]int.bevételek2017!B19</f>
        <v>504</v>
      </c>
      <c r="C20" s="917"/>
      <c r="D20" s="917">
        <f t="shared" si="0"/>
        <v>504</v>
      </c>
      <c r="E20" s="917">
        <f>[4]int.bevételek2017!C19</f>
        <v>0</v>
      </c>
      <c r="F20" s="917"/>
      <c r="G20" s="917">
        <f t="shared" si="1"/>
        <v>0</v>
      </c>
      <c r="H20" s="917">
        <f>[4]int.bevételek2017!D19</f>
        <v>0</v>
      </c>
      <c r="I20" s="917"/>
      <c r="J20" s="917">
        <f t="shared" si="2"/>
        <v>0</v>
      </c>
      <c r="K20" s="917">
        <f>[4]int.bevételek2017!E19</f>
        <v>0</v>
      </c>
      <c r="L20" s="917"/>
      <c r="M20" s="917">
        <f t="shared" si="3"/>
        <v>0</v>
      </c>
      <c r="N20" s="917">
        <f t="shared" si="4"/>
        <v>504</v>
      </c>
      <c r="O20" s="917">
        <f t="shared" si="4"/>
        <v>0</v>
      </c>
      <c r="P20" s="917">
        <f t="shared" si="4"/>
        <v>504</v>
      </c>
      <c r="Q20" s="918" t="s">
        <v>780</v>
      </c>
      <c r="R20" s="917">
        <f>[4]int.bevételek2017!H19</f>
        <v>0</v>
      </c>
      <c r="S20" s="917"/>
      <c r="T20" s="917">
        <f t="shared" si="5"/>
        <v>0</v>
      </c>
      <c r="U20" s="917">
        <f>[4]int.bevételek2017!I19</f>
        <v>0</v>
      </c>
      <c r="V20" s="917"/>
      <c r="W20" s="917">
        <f t="shared" si="14"/>
        <v>0</v>
      </c>
      <c r="X20" s="917">
        <f>[4]int.bevételek2017!J19</f>
        <v>0</v>
      </c>
      <c r="Y20" s="917"/>
      <c r="Z20" s="917">
        <f t="shared" si="6"/>
        <v>0</v>
      </c>
      <c r="AA20" s="917">
        <f t="shared" si="7"/>
        <v>0</v>
      </c>
      <c r="AB20" s="917">
        <f t="shared" si="7"/>
        <v>0</v>
      </c>
      <c r="AC20" s="917">
        <f t="shared" si="7"/>
        <v>0</v>
      </c>
      <c r="AD20" s="917">
        <f t="shared" si="12"/>
        <v>504</v>
      </c>
      <c r="AE20" s="917">
        <f t="shared" si="12"/>
        <v>0</v>
      </c>
      <c r="AF20" s="917">
        <f t="shared" si="12"/>
        <v>504</v>
      </c>
      <c r="AG20" s="918" t="s">
        <v>780</v>
      </c>
      <c r="AH20" s="917"/>
      <c r="AI20" s="917">
        <v>160</v>
      </c>
      <c r="AJ20" s="917">
        <f t="shared" si="8"/>
        <v>160</v>
      </c>
      <c r="AK20" s="917">
        <f>[4]int.bevételek2017!L19</f>
        <v>62720</v>
      </c>
      <c r="AL20" s="917">
        <f>1988+74-24</f>
        <v>2038</v>
      </c>
      <c r="AM20" s="917">
        <f t="shared" si="9"/>
        <v>64758</v>
      </c>
      <c r="AN20" s="917">
        <f>[4]int.bevételek2017!M19</f>
        <v>0</v>
      </c>
      <c r="AO20" s="917">
        <v>24</v>
      </c>
      <c r="AP20" s="917">
        <f t="shared" si="10"/>
        <v>24</v>
      </c>
      <c r="AQ20" s="917">
        <f t="shared" si="11"/>
        <v>62720</v>
      </c>
      <c r="AR20" s="917">
        <f t="shared" si="11"/>
        <v>2062</v>
      </c>
      <c r="AS20" s="917">
        <f t="shared" si="11"/>
        <v>64782</v>
      </c>
      <c r="AT20" s="917">
        <f t="shared" si="13"/>
        <v>63224</v>
      </c>
      <c r="AU20" s="917">
        <f t="shared" si="13"/>
        <v>2222</v>
      </c>
      <c r="AV20" s="917">
        <f t="shared" si="13"/>
        <v>65446</v>
      </c>
    </row>
    <row r="21" spans="1:48" ht="48.75" customHeight="1" x14ac:dyDescent="0.6">
      <c r="A21" s="918" t="s">
        <v>781</v>
      </c>
      <c r="B21" s="917">
        <f>[4]int.bevételek2017!B20</f>
        <v>728</v>
      </c>
      <c r="C21" s="917"/>
      <c r="D21" s="917">
        <f t="shared" si="0"/>
        <v>728</v>
      </c>
      <c r="E21" s="917">
        <f>[4]int.bevételek2017!C20</f>
        <v>0</v>
      </c>
      <c r="F21" s="917"/>
      <c r="G21" s="917">
        <f t="shared" si="1"/>
        <v>0</v>
      </c>
      <c r="H21" s="917">
        <f>[4]int.bevételek2017!D20</f>
        <v>0</v>
      </c>
      <c r="I21" s="917"/>
      <c r="J21" s="917">
        <f t="shared" si="2"/>
        <v>0</v>
      </c>
      <c r="K21" s="917">
        <f>[4]int.bevételek2017!E20</f>
        <v>0</v>
      </c>
      <c r="L21" s="917"/>
      <c r="M21" s="917">
        <f t="shared" si="3"/>
        <v>0</v>
      </c>
      <c r="N21" s="917">
        <f t="shared" si="4"/>
        <v>728</v>
      </c>
      <c r="O21" s="917">
        <f t="shared" si="4"/>
        <v>0</v>
      </c>
      <c r="P21" s="917">
        <f t="shared" si="4"/>
        <v>728</v>
      </c>
      <c r="Q21" s="918" t="s">
        <v>781</v>
      </c>
      <c r="R21" s="917">
        <f>[4]int.bevételek2017!H20</f>
        <v>0</v>
      </c>
      <c r="S21" s="917"/>
      <c r="T21" s="917">
        <f t="shared" si="5"/>
        <v>0</v>
      </c>
      <c r="U21" s="917">
        <f>[4]int.bevételek2017!I20</f>
        <v>0</v>
      </c>
      <c r="V21" s="917"/>
      <c r="W21" s="917">
        <f t="shared" si="14"/>
        <v>0</v>
      </c>
      <c r="X21" s="917">
        <f>[4]int.bevételek2017!J20</f>
        <v>0</v>
      </c>
      <c r="Y21" s="917"/>
      <c r="Z21" s="917">
        <f t="shared" si="6"/>
        <v>0</v>
      </c>
      <c r="AA21" s="917">
        <f t="shared" si="7"/>
        <v>0</v>
      </c>
      <c r="AB21" s="917">
        <f t="shared" si="7"/>
        <v>0</v>
      </c>
      <c r="AC21" s="917">
        <f t="shared" si="7"/>
        <v>0</v>
      </c>
      <c r="AD21" s="917">
        <f t="shared" si="12"/>
        <v>728</v>
      </c>
      <c r="AE21" s="917">
        <f t="shared" si="12"/>
        <v>0</v>
      </c>
      <c r="AF21" s="917">
        <f t="shared" si="12"/>
        <v>728</v>
      </c>
      <c r="AG21" s="918" t="s">
        <v>781</v>
      </c>
      <c r="AH21" s="917"/>
      <c r="AI21" s="917">
        <v>280</v>
      </c>
      <c r="AJ21" s="917">
        <f t="shared" si="8"/>
        <v>280</v>
      </c>
      <c r="AK21" s="917">
        <f>[4]int.bevételek2017!L20</f>
        <v>53769</v>
      </c>
      <c r="AL21" s="917">
        <f>1973+250-30</f>
        <v>2193</v>
      </c>
      <c r="AM21" s="917">
        <f t="shared" si="9"/>
        <v>55962</v>
      </c>
      <c r="AN21" s="917">
        <f>[4]int.bevételek2017!M20</f>
        <v>0</v>
      </c>
      <c r="AO21" s="917">
        <f>2455+30</f>
        <v>2485</v>
      </c>
      <c r="AP21" s="917">
        <f t="shared" si="10"/>
        <v>2485</v>
      </c>
      <c r="AQ21" s="917">
        <f t="shared" si="11"/>
        <v>53769</v>
      </c>
      <c r="AR21" s="917">
        <f t="shared" si="11"/>
        <v>4678</v>
      </c>
      <c r="AS21" s="917">
        <f t="shared" si="11"/>
        <v>58447</v>
      </c>
      <c r="AT21" s="917">
        <f t="shared" si="13"/>
        <v>54497</v>
      </c>
      <c r="AU21" s="917">
        <f t="shared" si="13"/>
        <v>4958</v>
      </c>
      <c r="AV21" s="917">
        <f t="shared" si="13"/>
        <v>59455</v>
      </c>
    </row>
    <row r="22" spans="1:48" ht="48.75" customHeight="1" x14ac:dyDescent="0.6">
      <c r="A22" s="918" t="s">
        <v>782</v>
      </c>
      <c r="B22" s="917">
        <f>[4]int.bevételek2017!B21</f>
        <v>0</v>
      </c>
      <c r="C22" s="917"/>
      <c r="D22" s="917">
        <f t="shared" si="0"/>
        <v>0</v>
      </c>
      <c r="E22" s="917">
        <f>[4]int.bevételek2017!C21</f>
        <v>0</v>
      </c>
      <c r="F22" s="917"/>
      <c r="G22" s="917">
        <f t="shared" si="1"/>
        <v>0</v>
      </c>
      <c r="H22" s="917">
        <f>[4]int.bevételek2017!D21</f>
        <v>0</v>
      </c>
      <c r="I22" s="917"/>
      <c r="J22" s="917">
        <f t="shared" si="2"/>
        <v>0</v>
      </c>
      <c r="K22" s="917">
        <f>[4]int.bevételek2017!E21</f>
        <v>0</v>
      </c>
      <c r="L22" s="917"/>
      <c r="M22" s="917">
        <f t="shared" si="3"/>
        <v>0</v>
      </c>
      <c r="N22" s="917">
        <f t="shared" si="4"/>
        <v>0</v>
      </c>
      <c r="O22" s="917">
        <f t="shared" si="4"/>
        <v>0</v>
      </c>
      <c r="P22" s="917">
        <f t="shared" si="4"/>
        <v>0</v>
      </c>
      <c r="Q22" s="918" t="s">
        <v>782</v>
      </c>
      <c r="R22" s="917">
        <f>[4]int.bevételek2017!H21</f>
        <v>0</v>
      </c>
      <c r="S22" s="917"/>
      <c r="T22" s="917">
        <f t="shared" si="5"/>
        <v>0</v>
      </c>
      <c r="U22" s="917">
        <f>[4]int.bevételek2017!I21</f>
        <v>0</v>
      </c>
      <c r="V22" s="917"/>
      <c r="W22" s="917">
        <f t="shared" si="14"/>
        <v>0</v>
      </c>
      <c r="X22" s="917">
        <f>[4]int.bevételek2017!J21</f>
        <v>0</v>
      </c>
      <c r="Y22" s="917"/>
      <c r="Z22" s="917">
        <f t="shared" si="6"/>
        <v>0</v>
      </c>
      <c r="AA22" s="917">
        <f t="shared" si="7"/>
        <v>0</v>
      </c>
      <c r="AB22" s="917">
        <f t="shared" si="7"/>
        <v>0</v>
      </c>
      <c r="AC22" s="917">
        <f t="shared" si="7"/>
        <v>0</v>
      </c>
      <c r="AD22" s="917">
        <f t="shared" si="12"/>
        <v>0</v>
      </c>
      <c r="AE22" s="917">
        <f t="shared" si="12"/>
        <v>0</v>
      </c>
      <c r="AF22" s="917">
        <f t="shared" si="12"/>
        <v>0</v>
      </c>
      <c r="AG22" s="918" t="s">
        <v>782</v>
      </c>
      <c r="AH22" s="917"/>
      <c r="AI22" s="917">
        <v>141</v>
      </c>
      <c r="AJ22" s="917">
        <f t="shared" si="8"/>
        <v>141</v>
      </c>
      <c r="AK22" s="917">
        <f>[4]int.bevételek2017!L21</f>
        <v>65551</v>
      </c>
      <c r="AL22" s="917">
        <f>1266+60-141</f>
        <v>1185</v>
      </c>
      <c r="AM22" s="917">
        <f t="shared" si="9"/>
        <v>66736</v>
      </c>
      <c r="AN22" s="917">
        <f>[4]int.bevételek2017!M21</f>
        <v>0</v>
      </c>
      <c r="AO22" s="917">
        <f>502+141</f>
        <v>643</v>
      </c>
      <c r="AP22" s="917">
        <f t="shared" si="10"/>
        <v>643</v>
      </c>
      <c r="AQ22" s="917">
        <f t="shared" si="11"/>
        <v>65551</v>
      </c>
      <c r="AR22" s="917">
        <f t="shared" si="11"/>
        <v>1828</v>
      </c>
      <c r="AS22" s="917">
        <f t="shared" si="11"/>
        <v>67379</v>
      </c>
      <c r="AT22" s="917">
        <f t="shared" si="13"/>
        <v>65551</v>
      </c>
      <c r="AU22" s="917">
        <f t="shared" si="13"/>
        <v>1969</v>
      </c>
      <c r="AV22" s="917">
        <f t="shared" si="13"/>
        <v>67520</v>
      </c>
    </row>
    <row r="23" spans="1:48" ht="48.75" customHeight="1" x14ac:dyDescent="0.6">
      <c r="A23" s="918" t="s">
        <v>783</v>
      </c>
      <c r="B23" s="917">
        <f>[4]int.bevételek2017!B22</f>
        <v>1680</v>
      </c>
      <c r="C23" s="917"/>
      <c r="D23" s="917">
        <f t="shared" si="0"/>
        <v>1680</v>
      </c>
      <c r="E23" s="917">
        <f>[4]int.bevételek2017!C22</f>
        <v>0</v>
      </c>
      <c r="F23" s="917"/>
      <c r="G23" s="917">
        <f t="shared" si="1"/>
        <v>0</v>
      </c>
      <c r="H23" s="917">
        <f>[4]int.bevételek2017!D22</f>
        <v>0</v>
      </c>
      <c r="I23" s="917"/>
      <c r="J23" s="917">
        <f t="shared" si="2"/>
        <v>0</v>
      </c>
      <c r="K23" s="917">
        <f>[4]int.bevételek2017!E22</f>
        <v>0</v>
      </c>
      <c r="L23" s="917"/>
      <c r="M23" s="917">
        <f t="shared" si="3"/>
        <v>0</v>
      </c>
      <c r="N23" s="917">
        <f t="shared" si="4"/>
        <v>1680</v>
      </c>
      <c r="O23" s="917">
        <f t="shared" si="4"/>
        <v>0</v>
      </c>
      <c r="P23" s="917">
        <f t="shared" si="4"/>
        <v>1680</v>
      </c>
      <c r="Q23" s="918" t="s">
        <v>783</v>
      </c>
      <c r="R23" s="917">
        <f>[4]int.bevételek2017!H22</f>
        <v>0</v>
      </c>
      <c r="S23" s="917"/>
      <c r="T23" s="917">
        <f t="shared" si="5"/>
        <v>0</v>
      </c>
      <c r="U23" s="917">
        <f>[4]int.bevételek2017!I22</f>
        <v>0</v>
      </c>
      <c r="V23" s="917"/>
      <c r="W23" s="917">
        <f t="shared" si="14"/>
        <v>0</v>
      </c>
      <c r="X23" s="917">
        <f>[4]int.bevételek2017!J22</f>
        <v>0</v>
      </c>
      <c r="Y23" s="917"/>
      <c r="Z23" s="917">
        <f t="shared" si="6"/>
        <v>0</v>
      </c>
      <c r="AA23" s="917">
        <f t="shared" si="7"/>
        <v>0</v>
      </c>
      <c r="AB23" s="917">
        <f t="shared" si="7"/>
        <v>0</v>
      </c>
      <c r="AC23" s="917">
        <f t="shared" si="7"/>
        <v>0</v>
      </c>
      <c r="AD23" s="917">
        <f t="shared" si="12"/>
        <v>1680</v>
      </c>
      <c r="AE23" s="917">
        <f t="shared" si="12"/>
        <v>0</v>
      </c>
      <c r="AF23" s="917">
        <f t="shared" si="12"/>
        <v>1680</v>
      </c>
      <c r="AG23" s="918" t="s">
        <v>783</v>
      </c>
      <c r="AH23" s="917"/>
      <c r="AI23" s="917">
        <v>193</v>
      </c>
      <c r="AJ23" s="917">
        <f t="shared" si="8"/>
        <v>193</v>
      </c>
      <c r="AK23" s="917">
        <f>[4]int.bevételek2017!L22</f>
        <v>86404</v>
      </c>
      <c r="AL23" s="917">
        <f>2078+150</f>
        <v>2228</v>
      </c>
      <c r="AM23" s="917">
        <f t="shared" si="9"/>
        <v>88632</v>
      </c>
      <c r="AN23" s="917">
        <f>[4]int.bevételek2017!M22</f>
        <v>0</v>
      </c>
      <c r="AO23" s="917"/>
      <c r="AP23" s="917">
        <f t="shared" si="10"/>
        <v>0</v>
      </c>
      <c r="AQ23" s="917">
        <f t="shared" si="11"/>
        <v>86404</v>
      </c>
      <c r="AR23" s="917">
        <f t="shared" si="11"/>
        <v>2228</v>
      </c>
      <c r="AS23" s="917">
        <f t="shared" si="11"/>
        <v>88632</v>
      </c>
      <c r="AT23" s="917">
        <f t="shared" si="13"/>
        <v>88084</v>
      </c>
      <c r="AU23" s="917">
        <f t="shared" si="13"/>
        <v>2421</v>
      </c>
      <c r="AV23" s="917">
        <f t="shared" si="13"/>
        <v>90505</v>
      </c>
    </row>
    <row r="24" spans="1:48" ht="48.75" customHeight="1" x14ac:dyDescent="0.6">
      <c r="A24" s="918" t="s">
        <v>784</v>
      </c>
      <c r="B24" s="917">
        <f>[4]int.bevételek2017!B23</f>
        <v>2016</v>
      </c>
      <c r="C24" s="917"/>
      <c r="D24" s="917">
        <f t="shared" si="0"/>
        <v>2016</v>
      </c>
      <c r="E24" s="917">
        <f>[4]int.bevételek2017!C23</f>
        <v>0</v>
      </c>
      <c r="F24" s="917"/>
      <c r="G24" s="917">
        <f t="shared" si="1"/>
        <v>0</v>
      </c>
      <c r="H24" s="917">
        <f>[4]int.bevételek2017!D23</f>
        <v>0</v>
      </c>
      <c r="I24" s="917"/>
      <c r="J24" s="917">
        <f t="shared" si="2"/>
        <v>0</v>
      </c>
      <c r="K24" s="917">
        <f>[4]int.bevételek2017!E23</f>
        <v>0</v>
      </c>
      <c r="L24" s="917"/>
      <c r="M24" s="917">
        <f t="shared" si="3"/>
        <v>0</v>
      </c>
      <c r="N24" s="917">
        <f t="shared" si="4"/>
        <v>2016</v>
      </c>
      <c r="O24" s="917">
        <f t="shared" si="4"/>
        <v>0</v>
      </c>
      <c r="P24" s="917">
        <f t="shared" si="4"/>
        <v>2016</v>
      </c>
      <c r="Q24" s="918" t="s">
        <v>784</v>
      </c>
      <c r="R24" s="917">
        <f>[4]int.bevételek2017!H23</f>
        <v>0</v>
      </c>
      <c r="S24" s="917"/>
      <c r="T24" s="917">
        <f t="shared" si="5"/>
        <v>0</v>
      </c>
      <c r="U24" s="917">
        <f>[4]int.bevételek2017!I23</f>
        <v>0</v>
      </c>
      <c r="V24" s="917"/>
      <c r="W24" s="917">
        <f>SUM(U24:V24)</f>
        <v>0</v>
      </c>
      <c r="X24" s="917">
        <f>[4]int.bevételek2017!J23</f>
        <v>0</v>
      </c>
      <c r="Y24" s="917"/>
      <c r="Z24" s="917">
        <f t="shared" si="6"/>
        <v>0</v>
      </c>
      <c r="AA24" s="917">
        <f t="shared" si="7"/>
        <v>0</v>
      </c>
      <c r="AB24" s="917">
        <f t="shared" si="7"/>
        <v>0</v>
      </c>
      <c r="AC24" s="917">
        <f t="shared" si="7"/>
        <v>0</v>
      </c>
      <c r="AD24" s="917">
        <f t="shared" si="12"/>
        <v>2016</v>
      </c>
      <c r="AE24" s="917">
        <f t="shared" si="12"/>
        <v>0</v>
      </c>
      <c r="AF24" s="917">
        <f t="shared" si="12"/>
        <v>2016</v>
      </c>
      <c r="AG24" s="918" t="s">
        <v>784</v>
      </c>
      <c r="AH24" s="917"/>
      <c r="AI24" s="917">
        <v>183</v>
      </c>
      <c r="AJ24" s="917">
        <f t="shared" si="8"/>
        <v>183</v>
      </c>
      <c r="AK24" s="917">
        <f>[4]int.bevételek2017!L23</f>
        <v>122519</v>
      </c>
      <c r="AL24" s="917">
        <f>4161+57-82</f>
        <v>4136</v>
      </c>
      <c r="AM24" s="917">
        <f t="shared" si="9"/>
        <v>126655</v>
      </c>
      <c r="AN24" s="917">
        <f>[4]int.bevételek2017!M23</f>
        <v>0</v>
      </c>
      <c r="AO24" s="917">
        <f>58+82</f>
        <v>140</v>
      </c>
      <c r="AP24" s="917">
        <f t="shared" si="10"/>
        <v>140</v>
      </c>
      <c r="AQ24" s="917">
        <f t="shared" si="11"/>
        <v>122519</v>
      </c>
      <c r="AR24" s="917">
        <f t="shared" si="11"/>
        <v>4276</v>
      </c>
      <c r="AS24" s="917">
        <f t="shared" si="11"/>
        <v>126795</v>
      </c>
      <c r="AT24" s="917">
        <f t="shared" si="13"/>
        <v>124535</v>
      </c>
      <c r="AU24" s="917">
        <f t="shared" si="13"/>
        <v>4459</v>
      </c>
      <c r="AV24" s="917">
        <f t="shared" si="13"/>
        <v>128994</v>
      </c>
    </row>
    <row r="25" spans="1:48" ht="48.75" customHeight="1" x14ac:dyDescent="0.6">
      <c r="A25" s="918" t="s">
        <v>785</v>
      </c>
      <c r="B25" s="917">
        <f>[4]int.bevételek2017!B24</f>
        <v>1148</v>
      </c>
      <c r="C25" s="917"/>
      <c r="D25" s="917">
        <f t="shared" si="0"/>
        <v>1148</v>
      </c>
      <c r="E25" s="917">
        <f>[4]int.bevételek2017!C24</f>
        <v>0</v>
      </c>
      <c r="F25" s="917"/>
      <c r="G25" s="917">
        <f t="shared" si="1"/>
        <v>0</v>
      </c>
      <c r="H25" s="917">
        <f>[4]int.bevételek2017!D24</f>
        <v>0</v>
      </c>
      <c r="I25" s="917"/>
      <c r="J25" s="917">
        <f t="shared" si="2"/>
        <v>0</v>
      </c>
      <c r="K25" s="917">
        <f>[4]int.bevételek2017!E24</f>
        <v>0</v>
      </c>
      <c r="L25" s="917"/>
      <c r="M25" s="917">
        <f t="shared" si="3"/>
        <v>0</v>
      </c>
      <c r="N25" s="917">
        <f t="shared" si="4"/>
        <v>1148</v>
      </c>
      <c r="O25" s="917">
        <f t="shared" si="4"/>
        <v>0</v>
      </c>
      <c r="P25" s="917">
        <f t="shared" si="4"/>
        <v>1148</v>
      </c>
      <c r="Q25" s="918" t="s">
        <v>785</v>
      </c>
      <c r="R25" s="917">
        <f>[4]int.bevételek2017!H24</f>
        <v>0</v>
      </c>
      <c r="S25" s="917"/>
      <c r="T25" s="917">
        <f t="shared" si="5"/>
        <v>0</v>
      </c>
      <c r="U25" s="917">
        <f>[4]int.bevételek2017!I24</f>
        <v>0</v>
      </c>
      <c r="V25" s="917"/>
      <c r="W25" s="917">
        <f>SUM(U25:V25)</f>
        <v>0</v>
      </c>
      <c r="X25" s="917">
        <f>[4]int.bevételek2017!J24</f>
        <v>0</v>
      </c>
      <c r="Y25" s="917"/>
      <c r="Z25" s="917">
        <f t="shared" si="6"/>
        <v>0</v>
      </c>
      <c r="AA25" s="917">
        <f t="shared" si="7"/>
        <v>0</v>
      </c>
      <c r="AB25" s="917">
        <f t="shared" si="7"/>
        <v>0</v>
      </c>
      <c r="AC25" s="917">
        <f t="shared" si="7"/>
        <v>0</v>
      </c>
      <c r="AD25" s="917">
        <f t="shared" si="12"/>
        <v>1148</v>
      </c>
      <c r="AE25" s="917">
        <f t="shared" si="12"/>
        <v>0</v>
      </c>
      <c r="AF25" s="917">
        <f t="shared" si="12"/>
        <v>1148</v>
      </c>
      <c r="AG25" s="918" t="s">
        <v>785</v>
      </c>
      <c r="AH25" s="917"/>
      <c r="AI25" s="917">
        <v>255</v>
      </c>
      <c r="AJ25" s="917">
        <f t="shared" si="8"/>
        <v>255</v>
      </c>
      <c r="AK25" s="917">
        <f>[4]int.bevételek2017!L24</f>
        <v>94065</v>
      </c>
      <c r="AL25" s="917">
        <f>4611+261-19</f>
        <v>4853</v>
      </c>
      <c r="AM25" s="917">
        <f t="shared" si="9"/>
        <v>98918</v>
      </c>
      <c r="AN25" s="917">
        <f>[4]int.bevételek2017!M24</f>
        <v>0</v>
      </c>
      <c r="AO25" s="917">
        <f>24+19</f>
        <v>43</v>
      </c>
      <c r="AP25" s="917">
        <f t="shared" si="10"/>
        <v>43</v>
      </c>
      <c r="AQ25" s="917">
        <f t="shared" si="11"/>
        <v>94065</v>
      </c>
      <c r="AR25" s="917">
        <f t="shared" si="11"/>
        <v>4896</v>
      </c>
      <c r="AS25" s="917">
        <f t="shared" si="11"/>
        <v>98961</v>
      </c>
      <c r="AT25" s="917">
        <f t="shared" si="13"/>
        <v>95213</v>
      </c>
      <c r="AU25" s="917">
        <f t="shared" si="13"/>
        <v>5151</v>
      </c>
      <c r="AV25" s="917">
        <f t="shared" si="13"/>
        <v>100364</v>
      </c>
    </row>
    <row r="26" spans="1:48" ht="48.75" customHeight="1" x14ac:dyDescent="0.6">
      <c r="A26" s="916" t="s">
        <v>786</v>
      </c>
      <c r="B26" s="917">
        <f>[4]int.bevételek2017!B25</f>
        <v>1008</v>
      </c>
      <c r="C26" s="917"/>
      <c r="D26" s="917">
        <f t="shared" si="0"/>
        <v>1008</v>
      </c>
      <c r="E26" s="917">
        <f>[4]int.bevételek2017!C25</f>
        <v>0</v>
      </c>
      <c r="F26" s="917"/>
      <c r="G26" s="917">
        <f t="shared" si="1"/>
        <v>0</v>
      </c>
      <c r="H26" s="917">
        <f>[4]int.bevételek2017!D25</f>
        <v>0</v>
      </c>
      <c r="I26" s="917"/>
      <c r="J26" s="917">
        <f t="shared" si="2"/>
        <v>0</v>
      </c>
      <c r="K26" s="917">
        <f>[4]int.bevételek2017!E25</f>
        <v>0</v>
      </c>
      <c r="L26" s="917"/>
      <c r="M26" s="917">
        <f t="shared" si="3"/>
        <v>0</v>
      </c>
      <c r="N26" s="917">
        <f t="shared" si="4"/>
        <v>1008</v>
      </c>
      <c r="O26" s="917">
        <f t="shared" si="4"/>
        <v>0</v>
      </c>
      <c r="P26" s="917">
        <f t="shared" si="4"/>
        <v>1008</v>
      </c>
      <c r="Q26" s="916" t="s">
        <v>786</v>
      </c>
      <c r="R26" s="917">
        <f>[4]int.bevételek2017!H25</f>
        <v>0</v>
      </c>
      <c r="S26" s="917"/>
      <c r="T26" s="917">
        <f t="shared" si="5"/>
        <v>0</v>
      </c>
      <c r="U26" s="917">
        <f>[4]int.bevételek2017!I25</f>
        <v>0</v>
      </c>
      <c r="V26" s="917"/>
      <c r="W26" s="917">
        <f>SUM(U26:V26)</f>
        <v>0</v>
      </c>
      <c r="X26" s="917">
        <f>[4]int.bevételek2017!J25</f>
        <v>0</v>
      </c>
      <c r="Y26" s="917"/>
      <c r="Z26" s="917">
        <f t="shared" si="6"/>
        <v>0</v>
      </c>
      <c r="AA26" s="917">
        <f t="shared" si="7"/>
        <v>0</v>
      </c>
      <c r="AB26" s="917">
        <f t="shared" si="7"/>
        <v>0</v>
      </c>
      <c r="AC26" s="917">
        <f t="shared" si="7"/>
        <v>0</v>
      </c>
      <c r="AD26" s="917">
        <f t="shared" si="12"/>
        <v>1008</v>
      </c>
      <c r="AE26" s="917">
        <f t="shared" si="12"/>
        <v>0</v>
      </c>
      <c r="AF26" s="917">
        <f t="shared" si="12"/>
        <v>1008</v>
      </c>
      <c r="AG26" s="916" t="s">
        <v>786</v>
      </c>
      <c r="AH26" s="917"/>
      <c r="AI26" s="917">
        <v>175</v>
      </c>
      <c r="AJ26" s="917">
        <f t="shared" si="8"/>
        <v>175</v>
      </c>
      <c r="AK26" s="917">
        <f>[4]int.bevételek2017!L25</f>
        <v>70149</v>
      </c>
      <c r="AL26" s="917">
        <f>1053+44-53</f>
        <v>1044</v>
      </c>
      <c r="AM26" s="917">
        <f t="shared" si="9"/>
        <v>71193</v>
      </c>
      <c r="AN26" s="917">
        <f>[4]int.bevételek2017!M25</f>
        <v>0</v>
      </c>
      <c r="AO26" s="917">
        <f>288+53</f>
        <v>341</v>
      </c>
      <c r="AP26" s="917">
        <f t="shared" si="10"/>
        <v>341</v>
      </c>
      <c r="AQ26" s="917">
        <f t="shared" si="11"/>
        <v>70149</v>
      </c>
      <c r="AR26" s="917">
        <f t="shared" si="11"/>
        <v>1385</v>
      </c>
      <c r="AS26" s="917">
        <f t="shared" si="11"/>
        <v>71534</v>
      </c>
      <c r="AT26" s="917">
        <f t="shared" si="13"/>
        <v>71157</v>
      </c>
      <c r="AU26" s="917">
        <f t="shared" si="13"/>
        <v>1560</v>
      </c>
      <c r="AV26" s="917">
        <f t="shared" si="13"/>
        <v>72717</v>
      </c>
    </row>
    <row r="27" spans="1:48" ht="48.75" customHeight="1" thickBot="1" x14ac:dyDescent="0.65">
      <c r="A27" s="919" t="s">
        <v>787</v>
      </c>
      <c r="B27" s="917">
        <f>[4]int.bevételek2017!B26</f>
        <v>672</v>
      </c>
      <c r="C27" s="920"/>
      <c r="D27" s="920">
        <f t="shared" si="0"/>
        <v>672</v>
      </c>
      <c r="E27" s="917">
        <f>[4]int.bevételek2017!C26</f>
        <v>0</v>
      </c>
      <c r="F27" s="920"/>
      <c r="G27" s="920">
        <f t="shared" si="1"/>
        <v>0</v>
      </c>
      <c r="H27" s="920">
        <f>[4]int.bevételek2017!D26</f>
        <v>0</v>
      </c>
      <c r="I27" s="920"/>
      <c r="J27" s="920">
        <f t="shared" si="2"/>
        <v>0</v>
      </c>
      <c r="K27" s="920">
        <f>[4]int.bevételek2017!E26</f>
        <v>0</v>
      </c>
      <c r="L27" s="920"/>
      <c r="M27" s="917">
        <f t="shared" si="3"/>
        <v>0</v>
      </c>
      <c r="N27" s="917">
        <f t="shared" si="4"/>
        <v>672</v>
      </c>
      <c r="O27" s="917">
        <f t="shared" si="4"/>
        <v>0</v>
      </c>
      <c r="P27" s="917">
        <f t="shared" si="4"/>
        <v>672</v>
      </c>
      <c r="Q27" s="921" t="s">
        <v>787</v>
      </c>
      <c r="R27" s="920">
        <f>[4]int.bevételek2017!H26</f>
        <v>0</v>
      </c>
      <c r="S27" s="920"/>
      <c r="T27" s="920">
        <f t="shared" si="5"/>
        <v>0</v>
      </c>
      <c r="U27" s="920">
        <f>[4]int.bevételek2017!I26</f>
        <v>0</v>
      </c>
      <c r="V27" s="920"/>
      <c r="W27" s="917">
        <f>SUM(U27:V27)</f>
        <v>0</v>
      </c>
      <c r="X27" s="920">
        <f>[4]int.bevételek2017!J26</f>
        <v>0</v>
      </c>
      <c r="Y27" s="920"/>
      <c r="Z27" s="920">
        <f t="shared" si="6"/>
        <v>0</v>
      </c>
      <c r="AA27" s="917">
        <f t="shared" si="7"/>
        <v>0</v>
      </c>
      <c r="AB27" s="917">
        <f t="shared" si="7"/>
        <v>0</v>
      </c>
      <c r="AC27" s="917">
        <f t="shared" si="7"/>
        <v>0</v>
      </c>
      <c r="AD27" s="922">
        <f t="shared" si="12"/>
        <v>672</v>
      </c>
      <c r="AE27" s="922">
        <f t="shared" si="12"/>
        <v>0</v>
      </c>
      <c r="AF27" s="922">
        <f t="shared" si="12"/>
        <v>672</v>
      </c>
      <c r="AG27" s="919" t="s">
        <v>787</v>
      </c>
      <c r="AH27" s="920"/>
      <c r="AI27" s="920">
        <v>562</v>
      </c>
      <c r="AJ27" s="920">
        <f t="shared" si="8"/>
        <v>562</v>
      </c>
      <c r="AK27" s="917">
        <f>[4]int.bevételek2017!L26</f>
        <v>50862</v>
      </c>
      <c r="AL27" s="920">
        <f>433+247-12</f>
        <v>668</v>
      </c>
      <c r="AM27" s="920">
        <f t="shared" si="9"/>
        <v>51530</v>
      </c>
      <c r="AN27" s="917">
        <f>[4]int.bevételek2017!M26</f>
        <v>0</v>
      </c>
      <c r="AO27" s="920">
        <f>93+12</f>
        <v>105</v>
      </c>
      <c r="AP27" s="920">
        <f t="shared" si="10"/>
        <v>105</v>
      </c>
      <c r="AQ27" s="917">
        <f t="shared" si="11"/>
        <v>50862</v>
      </c>
      <c r="AR27" s="917">
        <f t="shared" si="11"/>
        <v>773</v>
      </c>
      <c r="AS27" s="917">
        <f t="shared" si="11"/>
        <v>51635</v>
      </c>
      <c r="AT27" s="917">
        <f t="shared" si="13"/>
        <v>51534</v>
      </c>
      <c r="AU27" s="917">
        <f t="shared" si="13"/>
        <v>1335</v>
      </c>
      <c r="AV27" s="917">
        <f t="shared" si="13"/>
        <v>52869</v>
      </c>
    </row>
    <row r="28" spans="1:48" ht="57.75" customHeight="1" thickBot="1" x14ac:dyDescent="0.65">
      <c r="A28" s="923" t="s">
        <v>788</v>
      </c>
      <c r="B28" s="924">
        <f t="shared" ref="B28:P28" si="15">SUM(B10:B27)</f>
        <v>16884</v>
      </c>
      <c r="C28" s="924">
        <f t="shared" si="15"/>
        <v>0</v>
      </c>
      <c r="D28" s="924">
        <f t="shared" si="15"/>
        <v>16884</v>
      </c>
      <c r="E28" s="924">
        <f t="shared" si="15"/>
        <v>0</v>
      </c>
      <c r="F28" s="924">
        <f t="shared" si="15"/>
        <v>0</v>
      </c>
      <c r="G28" s="924">
        <f t="shared" si="15"/>
        <v>0</v>
      </c>
      <c r="H28" s="924">
        <f t="shared" si="15"/>
        <v>0</v>
      </c>
      <c r="I28" s="924">
        <f t="shared" si="15"/>
        <v>0</v>
      </c>
      <c r="J28" s="924">
        <f t="shared" si="15"/>
        <v>0</v>
      </c>
      <c r="K28" s="924">
        <f t="shared" si="15"/>
        <v>0</v>
      </c>
      <c r="L28" s="924">
        <f t="shared" si="15"/>
        <v>0</v>
      </c>
      <c r="M28" s="924">
        <f t="shared" si="15"/>
        <v>0</v>
      </c>
      <c r="N28" s="924">
        <f t="shared" si="15"/>
        <v>16884</v>
      </c>
      <c r="O28" s="924">
        <f t="shared" si="15"/>
        <v>0</v>
      </c>
      <c r="P28" s="924">
        <f t="shared" si="15"/>
        <v>16884</v>
      </c>
      <c r="Q28" s="925" t="s">
        <v>788</v>
      </c>
      <c r="R28" s="924">
        <f t="shared" ref="R28:AC28" si="16">SUM(R10:R27)</f>
        <v>0</v>
      </c>
      <c r="S28" s="924">
        <f t="shared" si="16"/>
        <v>0</v>
      </c>
      <c r="T28" s="924">
        <f t="shared" si="16"/>
        <v>0</v>
      </c>
      <c r="U28" s="924">
        <f t="shared" si="16"/>
        <v>0</v>
      </c>
      <c r="V28" s="924">
        <f t="shared" si="16"/>
        <v>0</v>
      </c>
      <c r="W28" s="924">
        <f t="shared" si="16"/>
        <v>0</v>
      </c>
      <c r="X28" s="924">
        <f t="shared" si="16"/>
        <v>0</v>
      </c>
      <c r="Y28" s="924">
        <f t="shared" si="16"/>
        <v>0</v>
      </c>
      <c r="Z28" s="924">
        <f t="shared" si="16"/>
        <v>0</v>
      </c>
      <c r="AA28" s="924">
        <f t="shared" si="16"/>
        <v>0</v>
      </c>
      <c r="AB28" s="924">
        <f t="shared" si="16"/>
        <v>0</v>
      </c>
      <c r="AC28" s="924">
        <f t="shared" si="16"/>
        <v>0</v>
      </c>
      <c r="AD28" s="926">
        <f t="shared" si="12"/>
        <v>16884</v>
      </c>
      <c r="AE28" s="926">
        <f t="shared" si="12"/>
        <v>0</v>
      </c>
      <c r="AF28" s="924">
        <f t="shared" si="12"/>
        <v>16884</v>
      </c>
      <c r="AG28" s="923" t="s">
        <v>788</v>
      </c>
      <c r="AH28" s="924">
        <f>SUM(AH10:AH27)</f>
        <v>0</v>
      </c>
      <c r="AI28" s="924">
        <f>SUM(AI10:AI27)</f>
        <v>6072</v>
      </c>
      <c r="AJ28" s="924">
        <f>SUM(AJ10:AJ27)</f>
        <v>6072</v>
      </c>
      <c r="AK28" s="924">
        <f t="shared" ref="AK28:AV28" si="17">SUM(AK10:AK27)</f>
        <v>1659194</v>
      </c>
      <c r="AL28" s="924">
        <f t="shared" si="17"/>
        <v>47762</v>
      </c>
      <c r="AM28" s="924">
        <f t="shared" si="17"/>
        <v>1706956</v>
      </c>
      <c r="AN28" s="924">
        <f t="shared" si="17"/>
        <v>0</v>
      </c>
      <c r="AO28" s="924">
        <f t="shared" si="17"/>
        <v>13240</v>
      </c>
      <c r="AP28" s="924">
        <f t="shared" si="17"/>
        <v>13240</v>
      </c>
      <c r="AQ28" s="924">
        <f t="shared" si="17"/>
        <v>1659194</v>
      </c>
      <c r="AR28" s="924">
        <f t="shared" si="17"/>
        <v>61002</v>
      </c>
      <c r="AS28" s="924">
        <f t="shared" si="17"/>
        <v>1720196</v>
      </c>
      <c r="AT28" s="924">
        <f t="shared" si="17"/>
        <v>1676078</v>
      </c>
      <c r="AU28" s="924">
        <f t="shared" si="17"/>
        <v>67074</v>
      </c>
      <c r="AV28" s="924">
        <f t="shared" si="17"/>
        <v>1743152</v>
      </c>
    </row>
    <row r="29" spans="1:48" ht="63.75" customHeight="1" thickBot="1" x14ac:dyDescent="0.65">
      <c r="A29" s="925" t="s">
        <v>724</v>
      </c>
      <c r="B29" s="917">
        <f>[4]int.bevételek2017!B28</f>
        <v>396215</v>
      </c>
      <c r="C29" s="924"/>
      <c r="D29" s="924">
        <f>SUM(B29:C29)</f>
        <v>396215</v>
      </c>
      <c r="E29" s="917">
        <f>[4]int.bevételek2017!C28</f>
        <v>0</v>
      </c>
      <c r="F29" s="924">
        <v>1395</v>
      </c>
      <c r="G29" s="924">
        <f>SUM(E29:F29)</f>
        <v>1395</v>
      </c>
      <c r="H29" s="924">
        <f>[4]int.bevételek2017!D28</f>
        <v>0</v>
      </c>
      <c r="I29" s="924"/>
      <c r="J29" s="924">
        <f>SUM(H29:I29)</f>
        <v>0</v>
      </c>
      <c r="K29" s="924">
        <f>[4]int.bevételek2017!E28</f>
        <v>0</v>
      </c>
      <c r="L29" s="924"/>
      <c r="M29" s="924">
        <f>SUM(K29:L29)</f>
        <v>0</v>
      </c>
      <c r="N29" s="917">
        <f>B29+E29+H29+K29</f>
        <v>396215</v>
      </c>
      <c r="O29" s="917">
        <f>C29+F29+I29+L29</f>
        <v>1395</v>
      </c>
      <c r="P29" s="917">
        <f>D29+G29+J29+M29</f>
        <v>397610</v>
      </c>
      <c r="Q29" s="925" t="s">
        <v>724</v>
      </c>
      <c r="R29" s="924">
        <f>[4]int.bevételek2017!H28</f>
        <v>0</v>
      </c>
      <c r="S29" s="924">
        <v>34</v>
      </c>
      <c r="T29" s="924">
        <f>SUM(R29:S29)</f>
        <v>34</v>
      </c>
      <c r="U29" s="924">
        <f>[4]int.bevételek2017!I28</f>
        <v>0</v>
      </c>
      <c r="V29" s="924"/>
      <c r="W29" s="924">
        <f>SUM(U29:V29)</f>
        <v>0</v>
      </c>
      <c r="X29" s="924">
        <f>[4]int.bevételek2017!J28</f>
        <v>0</v>
      </c>
      <c r="Y29" s="924"/>
      <c r="Z29" s="924">
        <f>SUM(X29:Y29)</f>
        <v>0</v>
      </c>
      <c r="AA29" s="917">
        <f>R29+U29+X29</f>
        <v>0</v>
      </c>
      <c r="AB29" s="917">
        <f>S29+V29+Y29</f>
        <v>34</v>
      </c>
      <c r="AC29" s="917">
        <f>T29+W29+Z29</f>
        <v>34</v>
      </c>
      <c r="AD29" s="927">
        <f t="shared" si="12"/>
        <v>396215</v>
      </c>
      <c r="AE29" s="927">
        <f t="shared" si="12"/>
        <v>1429</v>
      </c>
      <c r="AF29" s="924">
        <f t="shared" si="12"/>
        <v>397644</v>
      </c>
      <c r="AG29" s="925" t="s">
        <v>724</v>
      </c>
      <c r="AH29" s="924"/>
      <c r="AI29" s="924">
        <v>2655</v>
      </c>
      <c r="AJ29" s="924">
        <f>SUM(AH29:AI29)</f>
        <v>2655</v>
      </c>
      <c r="AK29" s="917">
        <f>[4]int.bevételek2017!L28</f>
        <v>1000409</v>
      </c>
      <c r="AL29" s="924">
        <f>91274+1179-2671</f>
        <v>89782</v>
      </c>
      <c r="AM29" s="924">
        <f>SUM(AK29:AL29)</f>
        <v>1090191</v>
      </c>
      <c r="AN29" s="917">
        <f>[4]int.bevételek2017!M28</f>
        <v>0</v>
      </c>
      <c r="AO29" s="924">
        <f>23803+2671</f>
        <v>26474</v>
      </c>
      <c r="AP29" s="924">
        <f>SUM(AN29:AO29)</f>
        <v>26474</v>
      </c>
      <c r="AQ29" s="917">
        <f>AK29+AN29</f>
        <v>1000409</v>
      </c>
      <c r="AR29" s="917">
        <f>AL29+AO29</f>
        <v>116256</v>
      </c>
      <c r="AS29" s="917">
        <f>AM29+AP29</f>
        <v>1116665</v>
      </c>
      <c r="AT29" s="917">
        <f>N29+AA29+AH29+AQ29</f>
        <v>1396624</v>
      </c>
      <c r="AU29" s="917">
        <f>O29+AB29+AI29+AR29</f>
        <v>120340</v>
      </c>
      <c r="AV29" s="917">
        <f>P29+AC29+AJ29+AS29</f>
        <v>1516964</v>
      </c>
    </row>
    <row r="30" spans="1:48" ht="67.5" customHeight="1" thickBot="1" x14ac:dyDescent="0.65">
      <c r="A30" s="925" t="s">
        <v>789</v>
      </c>
      <c r="B30" s="924">
        <f t="shared" ref="B30:P30" si="18">B28+B29</f>
        <v>413099</v>
      </c>
      <c r="C30" s="924">
        <f t="shared" si="18"/>
        <v>0</v>
      </c>
      <c r="D30" s="924">
        <f t="shared" si="18"/>
        <v>413099</v>
      </c>
      <c r="E30" s="924">
        <f t="shared" si="18"/>
        <v>0</v>
      </c>
      <c r="F30" s="924">
        <f t="shared" si="18"/>
        <v>1395</v>
      </c>
      <c r="G30" s="924">
        <f t="shared" si="18"/>
        <v>1395</v>
      </c>
      <c r="H30" s="924">
        <f t="shared" si="18"/>
        <v>0</v>
      </c>
      <c r="I30" s="924">
        <f t="shared" si="18"/>
        <v>0</v>
      </c>
      <c r="J30" s="924">
        <f t="shared" si="18"/>
        <v>0</v>
      </c>
      <c r="K30" s="924">
        <f t="shared" si="18"/>
        <v>0</v>
      </c>
      <c r="L30" s="924">
        <f t="shared" si="18"/>
        <v>0</v>
      </c>
      <c r="M30" s="924">
        <f t="shared" si="18"/>
        <v>0</v>
      </c>
      <c r="N30" s="924">
        <f t="shared" si="18"/>
        <v>413099</v>
      </c>
      <c r="O30" s="924">
        <f t="shared" si="18"/>
        <v>1395</v>
      </c>
      <c r="P30" s="924">
        <f t="shared" si="18"/>
        <v>414494</v>
      </c>
      <c r="Q30" s="925" t="s">
        <v>789</v>
      </c>
      <c r="R30" s="924">
        <f t="shared" ref="R30:AC30" si="19">R28+R29</f>
        <v>0</v>
      </c>
      <c r="S30" s="924">
        <f t="shared" si="19"/>
        <v>34</v>
      </c>
      <c r="T30" s="924">
        <f t="shared" si="19"/>
        <v>34</v>
      </c>
      <c r="U30" s="924">
        <f t="shared" si="19"/>
        <v>0</v>
      </c>
      <c r="V30" s="924">
        <f t="shared" si="19"/>
        <v>0</v>
      </c>
      <c r="W30" s="924">
        <f t="shared" si="19"/>
        <v>0</v>
      </c>
      <c r="X30" s="924">
        <f t="shared" si="19"/>
        <v>0</v>
      </c>
      <c r="Y30" s="924">
        <f t="shared" si="19"/>
        <v>0</v>
      </c>
      <c r="Z30" s="924">
        <f t="shared" si="19"/>
        <v>0</v>
      </c>
      <c r="AA30" s="924">
        <f t="shared" si="19"/>
        <v>0</v>
      </c>
      <c r="AB30" s="924">
        <f t="shared" si="19"/>
        <v>34</v>
      </c>
      <c r="AC30" s="924">
        <f t="shared" si="19"/>
        <v>34</v>
      </c>
      <c r="AD30" s="926">
        <f t="shared" si="12"/>
        <v>413099</v>
      </c>
      <c r="AE30" s="926">
        <f t="shared" si="12"/>
        <v>1429</v>
      </c>
      <c r="AF30" s="924">
        <f t="shared" si="12"/>
        <v>414528</v>
      </c>
      <c r="AG30" s="925" t="s">
        <v>789</v>
      </c>
      <c r="AH30" s="924">
        <f>AH28+AH29</f>
        <v>0</v>
      </c>
      <c r="AI30" s="924">
        <f>AI28+AI29</f>
        <v>8727</v>
      </c>
      <c r="AJ30" s="924">
        <f>AJ28+AJ29</f>
        <v>8727</v>
      </c>
      <c r="AK30" s="924">
        <f t="shared" ref="AK30:AV30" si="20">AK28+AK29</f>
        <v>2659603</v>
      </c>
      <c r="AL30" s="924">
        <f t="shared" si="20"/>
        <v>137544</v>
      </c>
      <c r="AM30" s="924">
        <f t="shared" si="20"/>
        <v>2797147</v>
      </c>
      <c r="AN30" s="924">
        <f t="shared" si="20"/>
        <v>0</v>
      </c>
      <c r="AO30" s="924">
        <f t="shared" si="20"/>
        <v>39714</v>
      </c>
      <c r="AP30" s="924">
        <f t="shared" si="20"/>
        <v>39714</v>
      </c>
      <c r="AQ30" s="924">
        <f t="shared" si="20"/>
        <v>2659603</v>
      </c>
      <c r="AR30" s="924">
        <f t="shared" si="20"/>
        <v>177258</v>
      </c>
      <c r="AS30" s="924">
        <f t="shared" si="20"/>
        <v>2836861</v>
      </c>
      <c r="AT30" s="924">
        <f t="shared" si="20"/>
        <v>3072702</v>
      </c>
      <c r="AU30" s="924">
        <f t="shared" si="20"/>
        <v>187414</v>
      </c>
      <c r="AV30" s="924">
        <f t="shared" si="20"/>
        <v>3260116</v>
      </c>
    </row>
    <row r="31" spans="1:48" ht="48.75" customHeight="1" x14ac:dyDescent="0.6">
      <c r="A31" s="928" t="s">
        <v>790</v>
      </c>
      <c r="B31" s="920"/>
      <c r="C31" s="920"/>
      <c r="D31" s="920"/>
      <c r="E31" s="920"/>
      <c r="F31" s="920"/>
      <c r="G31" s="920"/>
      <c r="H31" s="920"/>
      <c r="I31" s="920"/>
      <c r="J31" s="920"/>
      <c r="K31" s="920"/>
      <c r="L31" s="920"/>
      <c r="M31" s="920"/>
      <c r="N31" s="920"/>
      <c r="O31" s="920"/>
      <c r="P31" s="920"/>
      <c r="Q31" s="928" t="s">
        <v>790</v>
      </c>
      <c r="R31" s="920"/>
      <c r="S31" s="920"/>
      <c r="T31" s="920"/>
      <c r="U31" s="920"/>
      <c r="V31" s="920"/>
      <c r="W31" s="920"/>
      <c r="X31" s="920"/>
      <c r="Y31" s="920"/>
      <c r="Z31" s="920"/>
      <c r="AA31" s="920"/>
      <c r="AB31" s="920"/>
      <c r="AC31" s="920"/>
      <c r="AD31" s="920"/>
      <c r="AE31" s="920"/>
      <c r="AF31" s="920"/>
      <c r="AG31" s="928" t="s">
        <v>790</v>
      </c>
      <c r="AH31" s="920"/>
      <c r="AI31" s="920"/>
      <c r="AJ31" s="920"/>
      <c r="AK31" s="920"/>
      <c r="AL31" s="920"/>
      <c r="AM31" s="920"/>
      <c r="AN31" s="920"/>
      <c r="AO31" s="920"/>
      <c r="AP31" s="920"/>
      <c r="AQ31" s="920"/>
      <c r="AR31" s="920"/>
      <c r="AS31" s="920"/>
      <c r="AT31" s="920"/>
      <c r="AU31" s="920"/>
      <c r="AV31" s="920"/>
    </row>
    <row r="32" spans="1:48" ht="48.75" customHeight="1" x14ac:dyDescent="0.6">
      <c r="A32" s="929" t="s">
        <v>791</v>
      </c>
      <c r="B32" s="920"/>
      <c r="C32" s="920"/>
      <c r="D32" s="920"/>
      <c r="E32" s="920"/>
      <c r="F32" s="920"/>
      <c r="G32" s="920"/>
      <c r="H32" s="920"/>
      <c r="I32" s="920"/>
      <c r="J32" s="920"/>
      <c r="K32" s="920"/>
      <c r="L32" s="920"/>
      <c r="M32" s="920"/>
      <c r="N32" s="920"/>
      <c r="O32" s="920"/>
      <c r="P32" s="920"/>
      <c r="Q32" s="929" t="s">
        <v>791</v>
      </c>
      <c r="R32" s="920"/>
      <c r="S32" s="920"/>
      <c r="T32" s="920"/>
      <c r="U32" s="920"/>
      <c r="V32" s="920"/>
      <c r="W32" s="920"/>
      <c r="X32" s="920"/>
      <c r="Y32" s="920"/>
      <c r="Z32" s="920"/>
      <c r="AA32" s="920"/>
      <c r="AB32" s="920"/>
      <c r="AC32" s="920"/>
      <c r="AD32" s="920"/>
      <c r="AE32" s="920"/>
      <c r="AF32" s="920"/>
      <c r="AG32" s="929" t="s">
        <v>791</v>
      </c>
      <c r="AH32" s="920"/>
      <c r="AI32" s="920"/>
      <c r="AJ32" s="920"/>
      <c r="AK32" s="920"/>
      <c r="AL32" s="920"/>
      <c r="AM32" s="920"/>
      <c r="AN32" s="920"/>
      <c r="AO32" s="920"/>
      <c r="AP32" s="920"/>
      <c r="AQ32" s="920"/>
      <c r="AR32" s="920"/>
      <c r="AS32" s="920"/>
      <c r="AT32" s="920"/>
      <c r="AU32" s="920"/>
      <c r="AV32" s="920"/>
    </row>
    <row r="33" spans="1:48" ht="65.25" customHeight="1" x14ac:dyDescent="0.6">
      <c r="A33" s="921" t="s">
        <v>792</v>
      </c>
      <c r="B33" s="917">
        <f>[4]int.bevételek2017!B32</f>
        <v>247454</v>
      </c>
      <c r="C33" s="920"/>
      <c r="D33" s="920">
        <f>SUM(B33:C33)</f>
        <v>247454</v>
      </c>
      <c r="E33" s="917">
        <f>[4]int.bevételek2017!C32</f>
        <v>0</v>
      </c>
      <c r="F33" s="920"/>
      <c r="G33" s="920">
        <f>SUM(E33:F33)</f>
        <v>0</v>
      </c>
      <c r="H33" s="920">
        <f>[4]int.bevételek2017!D32</f>
        <v>0</v>
      </c>
      <c r="I33" s="920"/>
      <c r="J33" s="920">
        <f>SUM(H33:I33)</f>
        <v>0</v>
      </c>
      <c r="K33" s="920">
        <f>[4]int.bevételek2017!E32</f>
        <v>0</v>
      </c>
      <c r="L33" s="920"/>
      <c r="M33" s="917">
        <f>SUM(K33:L33)</f>
        <v>0</v>
      </c>
      <c r="N33" s="917">
        <f t="shared" ref="N33:O37" si="21">B33+E33+H33+K33</f>
        <v>247454</v>
      </c>
      <c r="O33" s="917">
        <f t="shared" si="21"/>
        <v>0</v>
      </c>
      <c r="P33" s="917">
        <f>D33+G33+J33+M33</f>
        <v>247454</v>
      </c>
      <c r="Q33" s="921" t="s">
        <v>792</v>
      </c>
      <c r="R33" s="920">
        <f>[4]int.bevételek2017!H32</f>
        <v>0</v>
      </c>
      <c r="S33" s="920"/>
      <c r="T33" s="920">
        <f>SUM(R33:S33)</f>
        <v>0</v>
      </c>
      <c r="U33" s="920">
        <f>[4]int.bevételek2017!I32</f>
        <v>0</v>
      </c>
      <c r="V33" s="920"/>
      <c r="W33" s="920">
        <f>SUM(U33:V33)</f>
        <v>0</v>
      </c>
      <c r="X33" s="920">
        <f>[4]int.bevételek2017!J32</f>
        <v>0</v>
      </c>
      <c r="Y33" s="920"/>
      <c r="Z33" s="920">
        <f>SUM(X33:Y33)</f>
        <v>0</v>
      </c>
      <c r="AA33" s="917">
        <f t="shared" ref="AA33:AC37" si="22">R33+U33+X33</f>
        <v>0</v>
      </c>
      <c r="AB33" s="917">
        <f t="shared" si="22"/>
        <v>0</v>
      </c>
      <c r="AC33" s="917">
        <f t="shared" si="22"/>
        <v>0</v>
      </c>
      <c r="AD33" s="917">
        <f t="shared" si="12"/>
        <v>247454</v>
      </c>
      <c r="AE33" s="917">
        <f t="shared" si="12"/>
        <v>0</v>
      </c>
      <c r="AF33" s="917">
        <f t="shared" si="12"/>
        <v>247454</v>
      </c>
      <c r="AG33" s="921" t="s">
        <v>792</v>
      </c>
      <c r="AH33" s="920"/>
      <c r="AI33" s="920">
        <v>34320</v>
      </c>
      <c r="AJ33" s="920">
        <f>SUM(AH33:AI33)</f>
        <v>34320</v>
      </c>
      <c r="AK33" s="917">
        <f>[4]int.bevételek2017!L32</f>
        <v>99994</v>
      </c>
      <c r="AL33" s="920">
        <f>-7629+17571-118</f>
        <v>9824</v>
      </c>
      <c r="AM33" s="920">
        <f>SUM(AK33:AL33)</f>
        <v>109818</v>
      </c>
      <c r="AN33" s="917">
        <f>[4]int.bevételek2017!M32</f>
        <v>0</v>
      </c>
      <c r="AO33" s="920">
        <f>9003+1300+118</f>
        <v>10421</v>
      </c>
      <c r="AP33" s="920">
        <f>SUM(AN33:AO33)</f>
        <v>10421</v>
      </c>
      <c r="AQ33" s="917">
        <f t="shared" ref="AQ33:AS37" si="23">AK33+AN33</f>
        <v>99994</v>
      </c>
      <c r="AR33" s="917">
        <f t="shared" si="23"/>
        <v>20245</v>
      </c>
      <c r="AS33" s="917">
        <f t="shared" si="23"/>
        <v>120239</v>
      </c>
      <c r="AT33" s="917">
        <f t="shared" ref="AT33:AV37" si="24">N33+AA33+AH33+AQ33</f>
        <v>347448</v>
      </c>
      <c r="AU33" s="917">
        <f t="shared" si="24"/>
        <v>54565</v>
      </c>
      <c r="AV33" s="917">
        <f t="shared" si="24"/>
        <v>402013</v>
      </c>
    </row>
    <row r="34" spans="1:48" ht="48.75" customHeight="1" x14ac:dyDescent="0.6">
      <c r="A34" s="918" t="s">
        <v>186</v>
      </c>
      <c r="B34" s="917">
        <f>[4]int.bevételek2017!B33</f>
        <v>31030</v>
      </c>
      <c r="C34" s="930"/>
      <c r="D34" s="930">
        <f>SUM(B34:C34)</f>
        <v>31030</v>
      </c>
      <c r="E34" s="917">
        <f>[4]int.bevételek2017!C33</f>
        <v>0</v>
      </c>
      <c r="F34" s="930"/>
      <c r="G34" s="930">
        <f>SUM(E34:F34)</f>
        <v>0</v>
      </c>
      <c r="H34" s="930">
        <f>[4]int.bevételek2017!D33</f>
        <v>2000</v>
      </c>
      <c r="I34" s="930"/>
      <c r="J34" s="930">
        <f>SUM(H34:I34)</f>
        <v>2000</v>
      </c>
      <c r="K34" s="930">
        <f>[4]int.bevételek2017!E33</f>
        <v>0</v>
      </c>
      <c r="L34" s="930"/>
      <c r="M34" s="917">
        <f>SUM(K34:L34)</f>
        <v>0</v>
      </c>
      <c r="N34" s="917">
        <f t="shared" si="21"/>
        <v>33030</v>
      </c>
      <c r="O34" s="917">
        <f t="shared" si="21"/>
        <v>0</v>
      </c>
      <c r="P34" s="917">
        <f>D34+G34+J34+M34</f>
        <v>33030</v>
      </c>
      <c r="Q34" s="918" t="s">
        <v>186</v>
      </c>
      <c r="R34" s="930">
        <f>[4]int.bevételek2017!H33</f>
        <v>0</v>
      </c>
      <c r="S34" s="930"/>
      <c r="T34" s="930">
        <f>SUM(R34:S34)</f>
        <v>0</v>
      </c>
      <c r="U34" s="930">
        <f>[4]int.bevételek2017!I33</f>
        <v>0</v>
      </c>
      <c r="V34" s="930"/>
      <c r="W34" s="930">
        <f>SUM(U34:V34)</f>
        <v>0</v>
      </c>
      <c r="X34" s="930">
        <f>[4]int.bevételek2017!J33</f>
        <v>0</v>
      </c>
      <c r="Y34" s="930"/>
      <c r="Z34" s="930">
        <f>SUM(X34:Y34)</f>
        <v>0</v>
      </c>
      <c r="AA34" s="917">
        <f t="shared" si="22"/>
        <v>0</v>
      </c>
      <c r="AB34" s="917">
        <f t="shared" si="22"/>
        <v>0</v>
      </c>
      <c r="AC34" s="917">
        <f t="shared" si="22"/>
        <v>0</v>
      </c>
      <c r="AD34" s="917">
        <f t="shared" si="12"/>
        <v>33030</v>
      </c>
      <c r="AE34" s="917">
        <f t="shared" si="12"/>
        <v>0</v>
      </c>
      <c r="AF34" s="917">
        <f t="shared" si="12"/>
        <v>33030</v>
      </c>
      <c r="AG34" s="918" t="s">
        <v>186</v>
      </c>
      <c r="AH34" s="930"/>
      <c r="AI34" s="930">
        <v>913</v>
      </c>
      <c r="AJ34" s="930">
        <f>SUM(AH34:AI34)</f>
        <v>913</v>
      </c>
      <c r="AK34" s="917">
        <f>[4]int.bevételek2017!L33</f>
        <v>80412</v>
      </c>
      <c r="AL34" s="930">
        <f>27008+1323</f>
        <v>28331</v>
      </c>
      <c r="AM34" s="930">
        <f>SUM(AK34:AL34)</f>
        <v>108743</v>
      </c>
      <c r="AN34" s="917">
        <f>[4]int.bevételek2017!M33</f>
        <v>0</v>
      </c>
      <c r="AO34" s="930">
        <v>103</v>
      </c>
      <c r="AP34" s="930">
        <f>SUM(AN34:AO34)</f>
        <v>103</v>
      </c>
      <c r="AQ34" s="917">
        <f t="shared" si="23"/>
        <v>80412</v>
      </c>
      <c r="AR34" s="917">
        <f t="shared" si="23"/>
        <v>28434</v>
      </c>
      <c r="AS34" s="917">
        <f t="shared" si="23"/>
        <v>108846</v>
      </c>
      <c r="AT34" s="917">
        <f t="shared" si="24"/>
        <v>113442</v>
      </c>
      <c r="AU34" s="917">
        <f t="shared" si="24"/>
        <v>29347</v>
      </c>
      <c r="AV34" s="917">
        <f t="shared" si="24"/>
        <v>142789</v>
      </c>
    </row>
    <row r="35" spans="1:48" ht="48.75" customHeight="1" x14ac:dyDescent="0.6">
      <c r="A35" s="918" t="s">
        <v>793</v>
      </c>
      <c r="B35" s="917">
        <f>[4]int.bevételek2017!B34</f>
        <v>87000</v>
      </c>
      <c r="C35" s="930"/>
      <c r="D35" s="930">
        <f>SUM(B35:C35)</f>
        <v>87000</v>
      </c>
      <c r="E35" s="917">
        <f>[4]int.bevételek2017!C34</f>
        <v>0</v>
      </c>
      <c r="F35" s="930"/>
      <c r="G35" s="930">
        <f>SUM(E35:F35)</f>
        <v>0</v>
      </c>
      <c r="H35" s="930">
        <f>[4]int.bevételek2017!D34</f>
        <v>24000</v>
      </c>
      <c r="I35" s="930"/>
      <c r="J35" s="930">
        <f>SUM(H35:I35)</f>
        <v>24000</v>
      </c>
      <c r="K35" s="930">
        <f>[4]int.bevételek2017!E34</f>
        <v>0</v>
      </c>
      <c r="L35" s="930"/>
      <c r="M35" s="917">
        <f>SUM(K35:L35)</f>
        <v>0</v>
      </c>
      <c r="N35" s="917">
        <f t="shared" si="21"/>
        <v>111000</v>
      </c>
      <c r="O35" s="917">
        <f t="shared" si="21"/>
        <v>0</v>
      </c>
      <c r="P35" s="917">
        <f>D35+G35+J35+M35</f>
        <v>111000</v>
      </c>
      <c r="Q35" s="918" t="s">
        <v>793</v>
      </c>
      <c r="R35" s="930">
        <f>[4]int.bevételek2017!H34</f>
        <v>0</v>
      </c>
      <c r="S35" s="930"/>
      <c r="T35" s="930">
        <f>SUM(R35:S35)</f>
        <v>0</v>
      </c>
      <c r="U35" s="930">
        <f>[4]int.bevételek2017!I34</f>
        <v>0</v>
      </c>
      <c r="V35" s="930"/>
      <c r="W35" s="930">
        <f>SUM(U35:V35)</f>
        <v>0</v>
      </c>
      <c r="X35" s="930">
        <f>[4]int.bevételek2017!J34</f>
        <v>0</v>
      </c>
      <c r="Y35" s="930"/>
      <c r="Z35" s="930">
        <f>SUM(X35:Y35)</f>
        <v>0</v>
      </c>
      <c r="AA35" s="917">
        <f t="shared" si="22"/>
        <v>0</v>
      </c>
      <c r="AB35" s="917">
        <f t="shared" si="22"/>
        <v>0</v>
      </c>
      <c r="AC35" s="917">
        <f t="shared" si="22"/>
        <v>0</v>
      </c>
      <c r="AD35" s="917">
        <f t="shared" si="12"/>
        <v>111000</v>
      </c>
      <c r="AE35" s="917">
        <f t="shared" si="12"/>
        <v>0</v>
      </c>
      <c r="AF35" s="917">
        <f t="shared" si="12"/>
        <v>111000</v>
      </c>
      <c r="AG35" s="918" t="s">
        <v>793</v>
      </c>
      <c r="AH35" s="930"/>
      <c r="AI35" s="930">
        <v>167</v>
      </c>
      <c r="AJ35" s="930">
        <f>SUM(AH35:AI35)</f>
        <v>167</v>
      </c>
      <c r="AK35" s="917">
        <f>[4]int.bevételek2017!L34</f>
        <v>272153</v>
      </c>
      <c r="AL35" s="930">
        <f>64641+38236+38442-38442</f>
        <v>102877</v>
      </c>
      <c r="AM35" s="930">
        <f>SUM(AK35:AL35)</f>
        <v>375030</v>
      </c>
      <c r="AN35" s="917">
        <f>[4]int.bevételek2017!M34</f>
        <v>10000</v>
      </c>
      <c r="AO35" s="930">
        <v>8678</v>
      </c>
      <c r="AP35" s="930">
        <f>SUM(AN35:AO35)</f>
        <v>18678</v>
      </c>
      <c r="AQ35" s="917">
        <f t="shared" si="23"/>
        <v>282153</v>
      </c>
      <c r="AR35" s="917">
        <f t="shared" si="23"/>
        <v>111555</v>
      </c>
      <c r="AS35" s="917">
        <f t="shared" si="23"/>
        <v>393708</v>
      </c>
      <c r="AT35" s="917">
        <f t="shared" si="24"/>
        <v>393153</v>
      </c>
      <c r="AU35" s="917">
        <f t="shared" si="24"/>
        <v>111722</v>
      </c>
      <c r="AV35" s="917">
        <f t="shared" si="24"/>
        <v>504875</v>
      </c>
    </row>
    <row r="36" spans="1:48" ht="48.75" customHeight="1" x14ac:dyDescent="0.6">
      <c r="A36" s="918" t="s">
        <v>794</v>
      </c>
      <c r="B36" s="917">
        <f>[4]int.bevételek2017!B35</f>
        <v>24000</v>
      </c>
      <c r="C36" s="930"/>
      <c r="D36" s="930">
        <f>SUM(B36:C36)</f>
        <v>24000</v>
      </c>
      <c r="E36" s="917">
        <f>[4]int.bevételek2017!C35</f>
        <v>0</v>
      </c>
      <c r="F36" s="930"/>
      <c r="G36" s="930">
        <f>SUM(E36:F36)</f>
        <v>0</v>
      </c>
      <c r="H36" s="930">
        <f>[4]int.bevételek2017!D35</f>
        <v>0</v>
      </c>
      <c r="I36" s="930"/>
      <c r="J36" s="930">
        <f>SUM(H36:I36)</f>
        <v>0</v>
      </c>
      <c r="K36" s="930">
        <f>[4]int.bevételek2017!E35</f>
        <v>0</v>
      </c>
      <c r="L36" s="930"/>
      <c r="M36" s="917">
        <f>SUM(K36:L36)</f>
        <v>0</v>
      </c>
      <c r="N36" s="917">
        <f t="shared" si="21"/>
        <v>24000</v>
      </c>
      <c r="O36" s="917">
        <f t="shared" si="21"/>
        <v>0</v>
      </c>
      <c r="P36" s="917">
        <f>D36+G36+J36+M36</f>
        <v>24000</v>
      </c>
      <c r="Q36" s="918" t="s">
        <v>794</v>
      </c>
      <c r="R36" s="930">
        <f>[4]int.bevételek2017!H35</f>
        <v>0</v>
      </c>
      <c r="S36" s="930"/>
      <c r="T36" s="930">
        <f>SUM(R36:S36)</f>
        <v>0</v>
      </c>
      <c r="U36" s="930">
        <f>[4]int.bevételek2017!I35</f>
        <v>0</v>
      </c>
      <c r="V36" s="930"/>
      <c r="W36" s="930">
        <f>SUM(U36:V36)</f>
        <v>0</v>
      </c>
      <c r="X36" s="930">
        <f>[4]int.bevételek2017!J35</f>
        <v>0</v>
      </c>
      <c r="Y36" s="930"/>
      <c r="Z36" s="930">
        <f>SUM(X36:Y36)</f>
        <v>0</v>
      </c>
      <c r="AA36" s="917">
        <f t="shared" si="22"/>
        <v>0</v>
      </c>
      <c r="AB36" s="917">
        <f t="shared" si="22"/>
        <v>0</v>
      </c>
      <c r="AC36" s="917">
        <f t="shared" si="22"/>
        <v>0</v>
      </c>
      <c r="AD36" s="917">
        <f t="shared" si="12"/>
        <v>24000</v>
      </c>
      <c r="AE36" s="917">
        <f t="shared" si="12"/>
        <v>0</v>
      </c>
      <c r="AF36" s="917">
        <f t="shared" si="12"/>
        <v>24000</v>
      </c>
      <c r="AG36" s="918" t="s">
        <v>794</v>
      </c>
      <c r="AH36" s="930"/>
      <c r="AI36" s="930">
        <v>31481</v>
      </c>
      <c r="AJ36" s="930">
        <f>SUM(AH36:AI36)</f>
        <v>31481</v>
      </c>
      <c r="AK36" s="917">
        <f>[4]int.bevételek2017!L35</f>
        <v>178734</v>
      </c>
      <c r="AL36" s="930">
        <f>9868+129899</f>
        <v>139767</v>
      </c>
      <c r="AM36" s="930">
        <f>SUM(AK36:AL36)</f>
        <v>318501</v>
      </c>
      <c r="AN36" s="917">
        <f>[4]int.bevételek2017!M35</f>
        <v>0</v>
      </c>
      <c r="AO36" s="930">
        <f>2007+15000</f>
        <v>17007</v>
      </c>
      <c r="AP36" s="930">
        <f>SUM(AN36:AO36)</f>
        <v>17007</v>
      </c>
      <c r="AQ36" s="917">
        <f t="shared" si="23"/>
        <v>178734</v>
      </c>
      <c r="AR36" s="917">
        <f t="shared" si="23"/>
        <v>156774</v>
      </c>
      <c r="AS36" s="917">
        <f t="shared" si="23"/>
        <v>335508</v>
      </c>
      <c r="AT36" s="917">
        <f t="shared" si="24"/>
        <v>202734</v>
      </c>
      <c r="AU36" s="917">
        <f t="shared" si="24"/>
        <v>188255</v>
      </c>
      <c r="AV36" s="917">
        <f t="shared" si="24"/>
        <v>390989</v>
      </c>
    </row>
    <row r="37" spans="1:48" ht="48.75" customHeight="1" thickBot="1" x14ac:dyDescent="0.65">
      <c r="A37" s="921" t="s">
        <v>795</v>
      </c>
      <c r="B37" s="917">
        <f>[4]int.bevételek2017!B36</f>
        <v>93050</v>
      </c>
      <c r="C37" s="930"/>
      <c r="D37" s="930">
        <f>SUM(B37:C37)</f>
        <v>93050</v>
      </c>
      <c r="E37" s="917">
        <f>[4]int.bevételek2017!C36</f>
        <v>0</v>
      </c>
      <c r="F37" s="930"/>
      <c r="G37" s="930">
        <f>SUM(E37:F37)</f>
        <v>0</v>
      </c>
      <c r="H37" s="930">
        <f>[4]int.bevételek2017!D36</f>
        <v>0</v>
      </c>
      <c r="I37" s="930"/>
      <c r="J37" s="930">
        <f>SUM(H37:I37)</f>
        <v>0</v>
      </c>
      <c r="K37" s="931">
        <f>[4]int.bevételek2017!E36</f>
        <v>0</v>
      </c>
      <c r="L37" s="931"/>
      <c r="M37" s="917">
        <f>SUM(K37:L37)</f>
        <v>0</v>
      </c>
      <c r="N37" s="917">
        <f t="shared" si="21"/>
        <v>93050</v>
      </c>
      <c r="O37" s="917">
        <f t="shared" si="21"/>
        <v>0</v>
      </c>
      <c r="P37" s="917">
        <f>D37+G37+J37+M37</f>
        <v>93050</v>
      </c>
      <c r="Q37" s="921" t="s">
        <v>795</v>
      </c>
      <c r="R37" s="930">
        <f>[4]int.bevételek2017!H36</f>
        <v>0</v>
      </c>
      <c r="S37" s="930"/>
      <c r="T37" s="930">
        <f>SUM(R37:S37)</f>
        <v>0</v>
      </c>
      <c r="U37" s="930">
        <f>[4]int.bevételek2017!I36</f>
        <v>0</v>
      </c>
      <c r="V37" s="930"/>
      <c r="W37" s="930">
        <f>SUM(U37:V37)</f>
        <v>0</v>
      </c>
      <c r="X37" s="930">
        <f>[4]int.bevételek2017!J36</f>
        <v>0</v>
      </c>
      <c r="Y37" s="930"/>
      <c r="Z37" s="930">
        <f>SUM(X37:Y37)</f>
        <v>0</v>
      </c>
      <c r="AA37" s="917">
        <f t="shared" si="22"/>
        <v>0</v>
      </c>
      <c r="AB37" s="917">
        <f t="shared" si="22"/>
        <v>0</v>
      </c>
      <c r="AC37" s="917">
        <f t="shared" si="22"/>
        <v>0</v>
      </c>
      <c r="AD37" s="920">
        <f t="shared" si="12"/>
        <v>93050</v>
      </c>
      <c r="AE37" s="920">
        <f t="shared" si="12"/>
        <v>0</v>
      </c>
      <c r="AF37" s="920">
        <f t="shared" si="12"/>
        <v>93050</v>
      </c>
      <c r="AG37" s="921" t="s">
        <v>795</v>
      </c>
      <c r="AH37" s="930"/>
      <c r="AI37" s="930">
        <v>20217</v>
      </c>
      <c r="AJ37" s="930">
        <f>SUM(AH37:AI37)</f>
        <v>20217</v>
      </c>
      <c r="AK37" s="917">
        <f>[4]int.bevételek2017!L36</f>
        <v>342068</v>
      </c>
      <c r="AL37" s="930">
        <f>16244+7440-4152</f>
        <v>19532</v>
      </c>
      <c r="AM37" s="930">
        <f>SUM(AK37:AL37)</f>
        <v>361600</v>
      </c>
      <c r="AN37" s="917">
        <f>[4]int.bevételek2017!M36</f>
        <v>3000</v>
      </c>
      <c r="AO37" s="930">
        <f>980+4152</f>
        <v>5132</v>
      </c>
      <c r="AP37" s="930">
        <f>SUM(AN37:AO37)</f>
        <v>8132</v>
      </c>
      <c r="AQ37" s="917">
        <f t="shared" si="23"/>
        <v>345068</v>
      </c>
      <c r="AR37" s="917">
        <f t="shared" si="23"/>
        <v>24664</v>
      </c>
      <c r="AS37" s="917">
        <f t="shared" si="23"/>
        <v>369732</v>
      </c>
      <c r="AT37" s="917">
        <f t="shared" si="24"/>
        <v>438118</v>
      </c>
      <c r="AU37" s="917">
        <f t="shared" si="24"/>
        <v>44881</v>
      </c>
      <c r="AV37" s="917">
        <f t="shared" si="24"/>
        <v>482999</v>
      </c>
    </row>
    <row r="38" spans="1:48" ht="61.5" customHeight="1" thickBot="1" x14ac:dyDescent="0.65">
      <c r="A38" s="932" t="s">
        <v>796</v>
      </c>
      <c r="B38" s="924">
        <f t="shared" ref="B38:P38" si="25">SUM(B33:B37)</f>
        <v>482534</v>
      </c>
      <c r="C38" s="924">
        <f t="shared" si="25"/>
        <v>0</v>
      </c>
      <c r="D38" s="924">
        <f t="shared" si="25"/>
        <v>482534</v>
      </c>
      <c r="E38" s="924">
        <f t="shared" si="25"/>
        <v>0</v>
      </c>
      <c r="F38" s="924">
        <f t="shared" si="25"/>
        <v>0</v>
      </c>
      <c r="G38" s="924">
        <f t="shared" si="25"/>
        <v>0</v>
      </c>
      <c r="H38" s="924">
        <f t="shared" si="25"/>
        <v>26000</v>
      </c>
      <c r="I38" s="924">
        <f t="shared" si="25"/>
        <v>0</v>
      </c>
      <c r="J38" s="924">
        <f t="shared" si="25"/>
        <v>26000</v>
      </c>
      <c r="K38" s="924">
        <f t="shared" si="25"/>
        <v>0</v>
      </c>
      <c r="L38" s="924">
        <f t="shared" si="25"/>
        <v>0</v>
      </c>
      <c r="M38" s="924">
        <f t="shared" si="25"/>
        <v>0</v>
      </c>
      <c r="N38" s="924">
        <f t="shared" si="25"/>
        <v>508534</v>
      </c>
      <c r="O38" s="924">
        <f t="shared" si="25"/>
        <v>0</v>
      </c>
      <c r="P38" s="924">
        <f t="shared" si="25"/>
        <v>508534</v>
      </c>
      <c r="Q38" s="932" t="s">
        <v>796</v>
      </c>
      <c r="R38" s="924">
        <f t="shared" ref="R38:AC38" si="26">SUM(R33:R37)</f>
        <v>0</v>
      </c>
      <c r="S38" s="924">
        <f t="shared" si="26"/>
        <v>0</v>
      </c>
      <c r="T38" s="924">
        <f t="shared" si="26"/>
        <v>0</v>
      </c>
      <c r="U38" s="924">
        <f t="shared" si="26"/>
        <v>0</v>
      </c>
      <c r="V38" s="924">
        <f t="shared" si="26"/>
        <v>0</v>
      </c>
      <c r="W38" s="924">
        <f t="shared" si="26"/>
        <v>0</v>
      </c>
      <c r="X38" s="924">
        <f t="shared" si="26"/>
        <v>0</v>
      </c>
      <c r="Y38" s="924">
        <f t="shared" si="26"/>
        <v>0</v>
      </c>
      <c r="Z38" s="924">
        <f t="shared" si="26"/>
        <v>0</v>
      </c>
      <c r="AA38" s="924">
        <f t="shared" si="26"/>
        <v>0</v>
      </c>
      <c r="AB38" s="924">
        <f t="shared" si="26"/>
        <v>0</v>
      </c>
      <c r="AC38" s="924">
        <f t="shared" si="26"/>
        <v>0</v>
      </c>
      <c r="AD38" s="924">
        <f t="shared" si="12"/>
        <v>508534</v>
      </c>
      <c r="AE38" s="924">
        <f t="shared" si="12"/>
        <v>0</v>
      </c>
      <c r="AF38" s="924">
        <f t="shared" si="12"/>
        <v>508534</v>
      </c>
      <c r="AG38" s="932" t="s">
        <v>796</v>
      </c>
      <c r="AH38" s="924">
        <f>SUM(AH33:AH37)</f>
        <v>0</v>
      </c>
      <c r="AI38" s="924">
        <f>SUM(AI33:AI37)</f>
        <v>87098</v>
      </c>
      <c r="AJ38" s="924">
        <f>SUM(AJ33:AJ37)</f>
        <v>87098</v>
      </c>
      <c r="AK38" s="924">
        <f t="shared" ref="AK38:AV38" si="27">SUM(AK33:AK37)</f>
        <v>973361</v>
      </c>
      <c r="AL38" s="924">
        <f t="shared" si="27"/>
        <v>300331</v>
      </c>
      <c r="AM38" s="924">
        <f t="shared" si="27"/>
        <v>1273692</v>
      </c>
      <c r="AN38" s="924">
        <f t="shared" si="27"/>
        <v>13000</v>
      </c>
      <c r="AO38" s="924">
        <f t="shared" si="27"/>
        <v>41341</v>
      </c>
      <c r="AP38" s="924">
        <f t="shared" si="27"/>
        <v>54341</v>
      </c>
      <c r="AQ38" s="924">
        <f t="shared" si="27"/>
        <v>986361</v>
      </c>
      <c r="AR38" s="924">
        <f t="shared" si="27"/>
        <v>341672</v>
      </c>
      <c r="AS38" s="924">
        <f t="shared" si="27"/>
        <v>1328033</v>
      </c>
      <c r="AT38" s="924">
        <f t="shared" si="27"/>
        <v>1494895</v>
      </c>
      <c r="AU38" s="924">
        <f t="shared" si="27"/>
        <v>428770</v>
      </c>
      <c r="AV38" s="924">
        <f t="shared" si="27"/>
        <v>1923665</v>
      </c>
    </row>
    <row r="39" spans="1:48" ht="48" customHeight="1" x14ac:dyDescent="0.6">
      <c r="A39" s="933" t="s">
        <v>797</v>
      </c>
      <c r="B39" s="914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33" t="s">
        <v>797</v>
      </c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33" t="s">
        <v>797</v>
      </c>
      <c r="AH39" s="914"/>
      <c r="AI39" s="914"/>
      <c r="AJ39" s="914"/>
      <c r="AK39" s="914"/>
      <c r="AL39" s="914"/>
      <c r="AM39" s="914"/>
      <c r="AN39" s="914"/>
      <c r="AO39" s="914"/>
      <c r="AP39" s="914"/>
      <c r="AQ39" s="914"/>
      <c r="AR39" s="914"/>
      <c r="AS39" s="914"/>
      <c r="AT39" s="914"/>
      <c r="AU39" s="914"/>
      <c r="AV39" s="914"/>
    </row>
    <row r="40" spans="1:48" ht="48.75" customHeight="1" x14ac:dyDescent="0.6">
      <c r="A40" s="934" t="s">
        <v>798</v>
      </c>
      <c r="B40" s="917">
        <f>[4]int.bevételek2017!B39</f>
        <v>142000</v>
      </c>
      <c r="C40" s="935"/>
      <c r="D40" s="935">
        <f>SUM(B40:C40)</f>
        <v>142000</v>
      </c>
      <c r="E40" s="917">
        <f>[4]int.bevételek2017!C39</f>
        <v>0</v>
      </c>
      <c r="F40" s="935"/>
      <c r="G40" s="935">
        <f>SUM(E40:F40)</f>
        <v>0</v>
      </c>
      <c r="H40" s="935">
        <f>[4]int.bevételek2017!D39</f>
        <v>0</v>
      </c>
      <c r="I40" s="935"/>
      <c r="J40" s="935">
        <f>SUM(H40:I40)</f>
        <v>0</v>
      </c>
      <c r="K40" s="935">
        <f>[4]int.bevételek2017!E39</f>
        <v>0</v>
      </c>
      <c r="L40" s="935"/>
      <c r="M40" s="917">
        <f>SUM(K40:L40)</f>
        <v>0</v>
      </c>
      <c r="N40" s="917">
        <f>B40+E40+H40+K40</f>
        <v>142000</v>
      </c>
      <c r="O40" s="917">
        <f>C40+F40+I40+L40</f>
        <v>0</v>
      </c>
      <c r="P40" s="917">
        <f>D40+G40+J40+M40</f>
        <v>142000</v>
      </c>
      <c r="Q40" s="934" t="s">
        <v>799</v>
      </c>
      <c r="R40" s="935">
        <f>[4]int.bevételek2017!H39</f>
        <v>0</v>
      </c>
      <c r="S40" s="935"/>
      <c r="T40" s="935">
        <f>SUM(R40:S40)</f>
        <v>0</v>
      </c>
      <c r="U40" s="935">
        <f>[4]int.bevételek2017!I39</f>
        <v>0</v>
      </c>
      <c r="V40" s="935"/>
      <c r="W40" s="935">
        <f>SUM(U40:V40)</f>
        <v>0</v>
      </c>
      <c r="X40" s="935">
        <f>[4]int.bevételek2017!J39</f>
        <v>0</v>
      </c>
      <c r="Y40" s="935"/>
      <c r="Z40" s="935"/>
      <c r="AA40" s="917">
        <f>R40+U40+X40</f>
        <v>0</v>
      </c>
      <c r="AB40" s="917">
        <f>S40+V40+Y40</f>
        <v>0</v>
      </c>
      <c r="AC40" s="917">
        <f>T40+W40+Z40</f>
        <v>0</v>
      </c>
      <c r="AD40" s="920">
        <f t="shared" si="12"/>
        <v>142000</v>
      </c>
      <c r="AE40" s="920">
        <f t="shared" si="12"/>
        <v>0</v>
      </c>
      <c r="AF40" s="920">
        <f t="shared" si="12"/>
        <v>142000</v>
      </c>
      <c r="AG40" s="934" t="s">
        <v>799</v>
      </c>
      <c r="AH40" s="935"/>
      <c r="AI40" s="935">
        <v>28388</v>
      </c>
      <c r="AJ40" s="935">
        <f>SUM(AH40:AI40)</f>
        <v>28388</v>
      </c>
      <c r="AK40" s="917">
        <f>[4]int.bevételek2017!L39</f>
        <v>0</v>
      </c>
      <c r="AL40" s="935">
        <v>318</v>
      </c>
      <c r="AM40" s="917">
        <f>SUM(AK40:AL40)</f>
        <v>318</v>
      </c>
      <c r="AN40" s="917">
        <f>[4]int.bevételek2017!M39</f>
        <v>0</v>
      </c>
      <c r="AO40" s="935"/>
      <c r="AP40" s="935">
        <f>SUM(AN40:AO40)</f>
        <v>0</v>
      </c>
      <c r="AQ40" s="917">
        <f>AK40+AN40</f>
        <v>0</v>
      </c>
      <c r="AR40" s="917">
        <f>AL40+AO40</f>
        <v>318</v>
      </c>
      <c r="AS40" s="917">
        <f>AM40+AP40</f>
        <v>318</v>
      </c>
      <c r="AT40" s="917">
        <f>N40+AA40+AH40+AQ40</f>
        <v>142000</v>
      </c>
      <c r="AU40" s="917">
        <f>O40+AB40+AI40+AR40</f>
        <v>28706</v>
      </c>
      <c r="AV40" s="917">
        <f>P40+AC40+AJ40+AS40</f>
        <v>170706</v>
      </c>
    </row>
    <row r="41" spans="1:48" ht="61.5" customHeight="1" thickBot="1" x14ac:dyDescent="0.65">
      <c r="A41" s="936" t="s">
        <v>800</v>
      </c>
      <c r="B41" s="922">
        <f>SUM(B40:B40)</f>
        <v>142000</v>
      </c>
      <c r="C41" s="922">
        <f>SUM(C40:C40)</f>
        <v>0</v>
      </c>
      <c r="D41" s="922">
        <f>SUM(D40:D40)</f>
        <v>142000</v>
      </c>
      <c r="E41" s="931">
        <f>'[5]int.bevételek2014 ÚJ'!C40</f>
        <v>0</v>
      </c>
      <c r="F41" s="922">
        <f t="shared" ref="F41:P41" si="28">SUM(F40:F40)</f>
        <v>0</v>
      </c>
      <c r="G41" s="922">
        <f t="shared" si="28"/>
        <v>0</v>
      </c>
      <c r="H41" s="922">
        <f t="shared" si="28"/>
        <v>0</v>
      </c>
      <c r="I41" s="922">
        <f t="shared" si="28"/>
        <v>0</v>
      </c>
      <c r="J41" s="922">
        <f t="shared" si="28"/>
        <v>0</v>
      </c>
      <c r="K41" s="922">
        <f t="shared" si="28"/>
        <v>0</v>
      </c>
      <c r="L41" s="922">
        <f t="shared" si="28"/>
        <v>0</v>
      </c>
      <c r="M41" s="922">
        <f t="shared" si="28"/>
        <v>0</v>
      </c>
      <c r="N41" s="922">
        <f t="shared" si="28"/>
        <v>142000</v>
      </c>
      <c r="O41" s="922">
        <f t="shared" si="28"/>
        <v>0</v>
      </c>
      <c r="P41" s="922">
        <f t="shared" si="28"/>
        <v>142000</v>
      </c>
      <c r="Q41" s="936" t="s">
        <v>800</v>
      </c>
      <c r="R41" s="922">
        <f t="shared" ref="R41:AC41" si="29">SUM(R40:R40)</f>
        <v>0</v>
      </c>
      <c r="S41" s="922">
        <f t="shared" si="29"/>
        <v>0</v>
      </c>
      <c r="T41" s="922">
        <f t="shared" si="29"/>
        <v>0</v>
      </c>
      <c r="U41" s="922">
        <f t="shared" si="29"/>
        <v>0</v>
      </c>
      <c r="V41" s="922">
        <f t="shared" si="29"/>
        <v>0</v>
      </c>
      <c r="W41" s="922">
        <f t="shared" si="29"/>
        <v>0</v>
      </c>
      <c r="X41" s="922">
        <f t="shared" si="29"/>
        <v>0</v>
      </c>
      <c r="Y41" s="922">
        <f t="shared" si="29"/>
        <v>0</v>
      </c>
      <c r="Z41" s="922">
        <f t="shared" si="29"/>
        <v>0</v>
      </c>
      <c r="AA41" s="922">
        <f t="shared" si="29"/>
        <v>0</v>
      </c>
      <c r="AB41" s="922">
        <f t="shared" si="29"/>
        <v>0</v>
      </c>
      <c r="AC41" s="922">
        <f t="shared" si="29"/>
        <v>0</v>
      </c>
      <c r="AD41" s="922">
        <f t="shared" si="12"/>
        <v>142000</v>
      </c>
      <c r="AE41" s="922">
        <f t="shared" si="12"/>
        <v>0</v>
      </c>
      <c r="AF41" s="922">
        <f t="shared" si="12"/>
        <v>142000</v>
      </c>
      <c r="AG41" s="936" t="s">
        <v>800</v>
      </c>
      <c r="AH41" s="922">
        <f>SUM(AH40:AH40)</f>
        <v>0</v>
      </c>
      <c r="AI41" s="922">
        <f>SUM(AI40:AI40)</f>
        <v>28388</v>
      </c>
      <c r="AJ41" s="922">
        <f>SUM(AJ40:AJ40)</f>
        <v>28388</v>
      </c>
      <c r="AK41" s="922">
        <f t="shared" ref="AK41:AV41" si="30">SUM(AK40:AK40)</f>
        <v>0</v>
      </c>
      <c r="AL41" s="922">
        <f t="shared" si="30"/>
        <v>318</v>
      </c>
      <c r="AM41" s="922">
        <f t="shared" si="30"/>
        <v>318</v>
      </c>
      <c r="AN41" s="922">
        <f t="shared" si="30"/>
        <v>0</v>
      </c>
      <c r="AO41" s="922">
        <f t="shared" si="30"/>
        <v>0</v>
      </c>
      <c r="AP41" s="922">
        <f t="shared" si="30"/>
        <v>0</v>
      </c>
      <c r="AQ41" s="922">
        <f t="shared" si="30"/>
        <v>0</v>
      </c>
      <c r="AR41" s="922">
        <f t="shared" si="30"/>
        <v>318</v>
      </c>
      <c r="AS41" s="922">
        <f t="shared" si="30"/>
        <v>318</v>
      </c>
      <c r="AT41" s="922">
        <f t="shared" si="30"/>
        <v>142000</v>
      </c>
      <c r="AU41" s="922">
        <f t="shared" si="30"/>
        <v>28706</v>
      </c>
      <c r="AV41" s="922">
        <f t="shared" si="30"/>
        <v>170706</v>
      </c>
    </row>
    <row r="42" spans="1:48" ht="48.75" customHeight="1" x14ac:dyDescent="0.6">
      <c r="A42" s="933" t="s">
        <v>801</v>
      </c>
      <c r="B42" s="914"/>
      <c r="C42" s="914"/>
      <c r="D42" s="937"/>
      <c r="E42" s="914"/>
      <c r="F42" s="938"/>
      <c r="G42" s="914">
        <f>SUM(E42:F42)</f>
        <v>0</v>
      </c>
      <c r="H42" s="914"/>
      <c r="I42" s="914"/>
      <c r="J42" s="914"/>
      <c r="K42" s="914"/>
      <c r="L42" s="914"/>
      <c r="M42" s="914"/>
      <c r="N42" s="914"/>
      <c r="O42" s="914"/>
      <c r="P42" s="914"/>
      <c r="Q42" s="933" t="s">
        <v>801</v>
      </c>
      <c r="R42" s="914"/>
      <c r="S42" s="914"/>
      <c r="T42" s="914"/>
      <c r="U42" s="914"/>
      <c r="V42" s="914"/>
      <c r="W42" s="914"/>
      <c r="X42" s="914"/>
      <c r="Y42" s="914"/>
      <c r="Z42" s="914"/>
      <c r="AA42" s="914"/>
      <c r="AB42" s="914"/>
      <c r="AC42" s="914"/>
      <c r="AD42" s="914"/>
      <c r="AE42" s="914"/>
      <c r="AF42" s="914"/>
      <c r="AG42" s="933" t="s">
        <v>801</v>
      </c>
      <c r="AH42" s="914"/>
      <c r="AI42" s="914"/>
      <c r="AJ42" s="914"/>
      <c r="AK42" s="914"/>
      <c r="AL42" s="914"/>
      <c r="AM42" s="914"/>
      <c r="AN42" s="914"/>
      <c r="AO42" s="914"/>
      <c r="AP42" s="914"/>
      <c r="AQ42" s="914"/>
      <c r="AR42" s="914"/>
      <c r="AS42" s="914"/>
      <c r="AT42" s="914"/>
      <c r="AU42" s="914"/>
      <c r="AV42" s="914"/>
    </row>
    <row r="43" spans="1:48" ht="48" customHeight="1" x14ac:dyDescent="0.6">
      <c r="A43" s="934" t="s">
        <v>802</v>
      </c>
      <c r="B43" s="917">
        <f>[4]int.bevételek2017!B42</f>
        <v>32761</v>
      </c>
      <c r="C43" s="935"/>
      <c r="D43" s="939">
        <f>SUM(B43:C43)</f>
        <v>32761</v>
      </c>
      <c r="E43" s="917">
        <f>[4]int.bevételek2017!C42</f>
        <v>220077</v>
      </c>
      <c r="F43" s="940"/>
      <c r="G43" s="935">
        <f>SUM(E43:F43)</f>
        <v>220077</v>
      </c>
      <c r="H43" s="935">
        <f>[4]int.bevételek2017!D42</f>
        <v>0</v>
      </c>
      <c r="I43" s="935"/>
      <c r="J43" s="935">
        <f>SUM(H43:I43)</f>
        <v>0</v>
      </c>
      <c r="K43" s="935">
        <f>[4]int.bevételek2017!E42</f>
        <v>0</v>
      </c>
      <c r="L43" s="935"/>
      <c r="M43" s="917">
        <f>SUM(K43:L43)</f>
        <v>0</v>
      </c>
      <c r="N43" s="917">
        <f>B43+E43+H43+K43</f>
        <v>252838</v>
      </c>
      <c r="O43" s="917">
        <f>C43+F43+I43+L43</f>
        <v>0</v>
      </c>
      <c r="P43" s="917">
        <f>D43+G43+J43+M43</f>
        <v>252838</v>
      </c>
      <c r="Q43" s="934" t="s">
        <v>802</v>
      </c>
      <c r="R43" s="935">
        <f>[4]int.bevételek2017!H42</f>
        <v>0</v>
      </c>
      <c r="S43" s="935"/>
      <c r="T43" s="935">
        <f>SUM(R43:S43)</f>
        <v>0</v>
      </c>
      <c r="U43" s="935">
        <f>[4]int.bevételek2017!I42</f>
        <v>1990</v>
      </c>
      <c r="V43" s="935"/>
      <c r="W43" s="935">
        <f>SUM(U43:V43)</f>
        <v>1990</v>
      </c>
      <c r="X43" s="935">
        <f>[4]int.bevételek2017!J42</f>
        <v>0</v>
      </c>
      <c r="Y43" s="935"/>
      <c r="Z43" s="935"/>
      <c r="AA43" s="917">
        <f>R43+U43+X43</f>
        <v>1990</v>
      </c>
      <c r="AB43" s="917">
        <f>S43+V43+Y43</f>
        <v>0</v>
      </c>
      <c r="AC43" s="917">
        <f>T43+W43+Z43</f>
        <v>1990</v>
      </c>
      <c r="AD43" s="920">
        <f t="shared" si="12"/>
        <v>254828</v>
      </c>
      <c r="AE43" s="920">
        <f t="shared" si="12"/>
        <v>0</v>
      </c>
      <c r="AF43" s="920">
        <f t="shared" si="12"/>
        <v>254828</v>
      </c>
      <c r="AG43" s="934" t="s">
        <v>802</v>
      </c>
      <c r="AH43" s="935"/>
      <c r="AI43" s="935">
        <v>23475</v>
      </c>
      <c r="AJ43" s="935">
        <f>SUM(AH43:AI43)</f>
        <v>23475</v>
      </c>
      <c r="AK43" s="917">
        <f>[4]int.bevételek2017!L42</f>
        <v>249685</v>
      </c>
      <c r="AL43" s="935">
        <f>2257+14188</f>
        <v>16445</v>
      </c>
      <c r="AM43" s="935">
        <f>SUM(AK43:AL43)</f>
        <v>266130</v>
      </c>
      <c r="AN43" s="917">
        <f>[4]int.bevételek2017!M42</f>
        <v>3139</v>
      </c>
      <c r="AO43" s="935">
        <f>4417+86380</f>
        <v>90797</v>
      </c>
      <c r="AP43" s="935">
        <f>SUM(AN43:AO43)</f>
        <v>93936</v>
      </c>
      <c r="AQ43" s="917">
        <f>AK43+AN43</f>
        <v>252824</v>
      </c>
      <c r="AR43" s="917">
        <f>AL43+AO43</f>
        <v>107242</v>
      </c>
      <c r="AS43" s="917">
        <f>AM43+AP43</f>
        <v>360066</v>
      </c>
      <c r="AT43" s="917">
        <f>N43+AA43+AH43+AQ43</f>
        <v>507652</v>
      </c>
      <c r="AU43" s="917">
        <f>O43+AB43+AI43+AR43</f>
        <v>130717</v>
      </c>
      <c r="AV43" s="917">
        <f>P43+AC43+AJ43+AS43</f>
        <v>638369</v>
      </c>
    </row>
    <row r="44" spans="1:48" ht="48.75" customHeight="1" thickBot="1" x14ac:dyDescent="0.65">
      <c r="A44" s="936" t="s">
        <v>803</v>
      </c>
      <c r="B44" s="922">
        <f>SUM(B43)</f>
        <v>32761</v>
      </c>
      <c r="C44" s="922">
        <f>SUM(C43)</f>
        <v>0</v>
      </c>
      <c r="D44" s="941">
        <f>SUM(D43)</f>
        <v>32761</v>
      </c>
      <c r="E44" s="942">
        <f>SUM(E43)</f>
        <v>220077</v>
      </c>
      <c r="F44" s="943">
        <f t="shared" ref="F44:P44" si="31">SUM(F43)</f>
        <v>0</v>
      </c>
      <c r="G44" s="922">
        <f t="shared" si="31"/>
        <v>220077</v>
      </c>
      <c r="H44" s="922">
        <f t="shared" si="31"/>
        <v>0</v>
      </c>
      <c r="I44" s="922">
        <f t="shared" si="31"/>
        <v>0</v>
      </c>
      <c r="J44" s="922">
        <f t="shared" si="31"/>
        <v>0</v>
      </c>
      <c r="K44" s="922">
        <f t="shared" si="31"/>
        <v>0</v>
      </c>
      <c r="L44" s="922">
        <f t="shared" si="31"/>
        <v>0</v>
      </c>
      <c r="M44" s="922">
        <f t="shared" si="31"/>
        <v>0</v>
      </c>
      <c r="N44" s="922">
        <f t="shared" si="31"/>
        <v>252838</v>
      </c>
      <c r="O44" s="922">
        <f t="shared" si="31"/>
        <v>0</v>
      </c>
      <c r="P44" s="922">
        <f t="shared" si="31"/>
        <v>252838</v>
      </c>
      <c r="Q44" s="936" t="s">
        <v>803</v>
      </c>
      <c r="R44" s="922">
        <f t="shared" ref="R44:AC44" si="32">SUM(R43)</f>
        <v>0</v>
      </c>
      <c r="S44" s="922">
        <f t="shared" si="32"/>
        <v>0</v>
      </c>
      <c r="T44" s="922">
        <f t="shared" si="32"/>
        <v>0</v>
      </c>
      <c r="U44" s="922">
        <f t="shared" si="32"/>
        <v>1990</v>
      </c>
      <c r="V44" s="922">
        <f t="shared" si="32"/>
        <v>0</v>
      </c>
      <c r="W44" s="922">
        <f t="shared" si="32"/>
        <v>1990</v>
      </c>
      <c r="X44" s="922">
        <f t="shared" si="32"/>
        <v>0</v>
      </c>
      <c r="Y44" s="922">
        <f t="shared" si="32"/>
        <v>0</v>
      </c>
      <c r="Z44" s="922">
        <f t="shared" si="32"/>
        <v>0</v>
      </c>
      <c r="AA44" s="922">
        <f t="shared" si="32"/>
        <v>1990</v>
      </c>
      <c r="AB44" s="922">
        <f t="shared" si="32"/>
        <v>0</v>
      </c>
      <c r="AC44" s="922">
        <f t="shared" si="32"/>
        <v>1990</v>
      </c>
      <c r="AD44" s="922">
        <f t="shared" si="12"/>
        <v>254828</v>
      </c>
      <c r="AE44" s="922">
        <f t="shared" si="12"/>
        <v>0</v>
      </c>
      <c r="AF44" s="922">
        <f t="shared" si="12"/>
        <v>254828</v>
      </c>
      <c r="AG44" s="936" t="s">
        <v>803</v>
      </c>
      <c r="AH44" s="922">
        <f>SUM(AH43)</f>
        <v>0</v>
      </c>
      <c r="AI44" s="922">
        <f>SUM(AI43)</f>
        <v>23475</v>
      </c>
      <c r="AJ44" s="922">
        <f>SUM(AJ43)</f>
        <v>23475</v>
      </c>
      <c r="AK44" s="922">
        <f t="shared" ref="AK44:AV44" si="33">SUM(AK43)</f>
        <v>249685</v>
      </c>
      <c r="AL44" s="922">
        <f t="shared" si="33"/>
        <v>16445</v>
      </c>
      <c r="AM44" s="922">
        <f t="shared" si="33"/>
        <v>266130</v>
      </c>
      <c r="AN44" s="922">
        <f t="shared" si="33"/>
        <v>3139</v>
      </c>
      <c r="AO44" s="922">
        <f t="shared" si="33"/>
        <v>90797</v>
      </c>
      <c r="AP44" s="922">
        <f t="shared" si="33"/>
        <v>93936</v>
      </c>
      <c r="AQ44" s="922">
        <f t="shared" si="33"/>
        <v>252824</v>
      </c>
      <c r="AR44" s="922">
        <f t="shared" si="33"/>
        <v>107242</v>
      </c>
      <c r="AS44" s="922">
        <f t="shared" si="33"/>
        <v>360066</v>
      </c>
      <c r="AT44" s="922">
        <f t="shared" si="33"/>
        <v>507652</v>
      </c>
      <c r="AU44" s="922">
        <f t="shared" si="33"/>
        <v>130717</v>
      </c>
      <c r="AV44" s="922">
        <f t="shared" si="33"/>
        <v>638369</v>
      </c>
    </row>
    <row r="45" spans="1:48" ht="48.75" customHeight="1" x14ac:dyDescent="0.6">
      <c r="A45" s="933" t="s">
        <v>804</v>
      </c>
      <c r="B45" s="914"/>
      <c r="C45" s="914"/>
      <c r="D45" s="914"/>
      <c r="E45" s="914"/>
      <c r="F45" s="914"/>
      <c r="G45" s="914"/>
      <c r="H45" s="914"/>
      <c r="I45" s="914"/>
      <c r="J45" s="914"/>
      <c r="K45" s="914"/>
      <c r="L45" s="914"/>
      <c r="M45" s="914"/>
      <c r="N45" s="914"/>
      <c r="O45" s="914"/>
      <c r="P45" s="914"/>
      <c r="Q45" s="933" t="s">
        <v>804</v>
      </c>
      <c r="R45" s="914"/>
      <c r="S45" s="914"/>
      <c r="T45" s="914"/>
      <c r="U45" s="914"/>
      <c r="V45" s="914"/>
      <c r="W45" s="914"/>
      <c r="X45" s="914"/>
      <c r="Y45" s="914"/>
      <c r="Z45" s="914"/>
      <c r="AA45" s="914"/>
      <c r="AB45" s="914"/>
      <c r="AC45" s="914"/>
      <c r="AD45" s="914"/>
      <c r="AE45" s="914"/>
      <c r="AF45" s="914"/>
      <c r="AG45" s="933" t="s">
        <v>804</v>
      </c>
      <c r="AH45" s="914"/>
      <c r="AI45" s="914"/>
      <c r="AJ45" s="914"/>
      <c r="AK45" s="914"/>
      <c r="AL45" s="914"/>
      <c r="AM45" s="914"/>
      <c r="AN45" s="914"/>
      <c r="AO45" s="914"/>
      <c r="AP45" s="914"/>
      <c r="AQ45" s="914"/>
      <c r="AR45" s="914"/>
      <c r="AS45" s="914"/>
      <c r="AT45" s="914"/>
      <c r="AU45" s="914"/>
      <c r="AV45" s="914"/>
    </row>
    <row r="46" spans="1:48" ht="87.75" customHeight="1" x14ac:dyDescent="0.6">
      <c r="A46" s="944" t="s">
        <v>805</v>
      </c>
      <c r="B46" s="917">
        <f>[4]int.bevételek2017!B45</f>
        <v>37961</v>
      </c>
      <c r="C46" s="920"/>
      <c r="D46" s="920">
        <f>SUM(B46:C46)</f>
        <v>37961</v>
      </c>
      <c r="E46" s="917">
        <f>[4]int.bevételek2017!C45</f>
        <v>0</v>
      </c>
      <c r="F46" s="920"/>
      <c r="G46" s="920">
        <f>SUM(E46:F46)</f>
        <v>0</v>
      </c>
      <c r="H46" s="920">
        <f>[4]int.bevételek2017!D45</f>
        <v>0</v>
      </c>
      <c r="I46" s="920"/>
      <c r="J46" s="917">
        <f>SUM(H46:I46)</f>
        <v>0</v>
      </c>
      <c r="K46" s="945">
        <f>[4]int.bevételek2017!E45</f>
        <v>0</v>
      </c>
      <c r="L46" s="917"/>
      <c r="M46" s="917">
        <f>SUM(K46:L46)</f>
        <v>0</v>
      </c>
      <c r="N46" s="917">
        <f t="shared" ref="N46:P47" si="34">B46+E46+H46+K46</f>
        <v>37961</v>
      </c>
      <c r="O46" s="917">
        <f t="shared" si="34"/>
        <v>0</v>
      </c>
      <c r="P46" s="917">
        <f t="shared" si="34"/>
        <v>37961</v>
      </c>
      <c r="Q46" s="944" t="s">
        <v>805</v>
      </c>
      <c r="R46" s="920">
        <f>[4]int.bevételek2017!H45</f>
        <v>0</v>
      </c>
      <c r="S46" s="920"/>
      <c r="T46" s="920">
        <f>SUM(R46:S46)</f>
        <v>0</v>
      </c>
      <c r="U46" s="920">
        <f>[4]int.bevételek2017!I45</f>
        <v>0</v>
      </c>
      <c r="V46" s="920"/>
      <c r="W46" s="920">
        <f>SUM(U46:V46)</f>
        <v>0</v>
      </c>
      <c r="X46" s="920">
        <f>[4]int.bevételek2017!J45</f>
        <v>0</v>
      </c>
      <c r="Y46" s="920"/>
      <c r="Z46" s="920">
        <f>SUM(X46:Y46)</f>
        <v>0</v>
      </c>
      <c r="AA46" s="917">
        <f t="shared" ref="AA46:AC47" si="35">R46+U46+X46</f>
        <v>0</v>
      </c>
      <c r="AB46" s="917">
        <f t="shared" si="35"/>
        <v>0</v>
      </c>
      <c r="AC46" s="917">
        <f t="shared" si="35"/>
        <v>0</v>
      </c>
      <c r="AD46" s="917">
        <f t="shared" si="12"/>
        <v>37961</v>
      </c>
      <c r="AE46" s="917">
        <f t="shared" si="12"/>
        <v>0</v>
      </c>
      <c r="AF46" s="917">
        <f t="shared" si="12"/>
        <v>37961</v>
      </c>
      <c r="AG46" s="944" t="s">
        <v>805</v>
      </c>
      <c r="AH46" s="920"/>
      <c r="AI46" s="920">
        <v>786</v>
      </c>
      <c r="AJ46" s="920">
        <f>SUM(AH46:AI46)</f>
        <v>786</v>
      </c>
      <c r="AK46" s="917">
        <f>[4]int.bevételek2017!L45</f>
        <v>611903</v>
      </c>
      <c r="AL46" s="917">
        <f>254+22854</f>
        <v>23108</v>
      </c>
      <c r="AM46" s="920">
        <f>SUM(AK46:AL46)</f>
        <v>635011</v>
      </c>
      <c r="AN46" s="917">
        <f>[4]int.bevételek2017!M45</f>
        <v>6638</v>
      </c>
      <c r="AO46" s="917">
        <v>913</v>
      </c>
      <c r="AP46" s="920">
        <f>SUM(AN46:AO46)</f>
        <v>7551</v>
      </c>
      <c r="AQ46" s="917">
        <f t="shared" ref="AQ46:AS47" si="36">AK46+AN46</f>
        <v>618541</v>
      </c>
      <c r="AR46" s="917">
        <f t="shared" si="36"/>
        <v>24021</v>
      </c>
      <c r="AS46" s="917">
        <f t="shared" si="36"/>
        <v>642562</v>
      </c>
      <c r="AT46" s="917">
        <f t="shared" ref="AT46:AV47" si="37">N46+AA46+AH46+AQ46</f>
        <v>656502</v>
      </c>
      <c r="AU46" s="917">
        <f t="shared" si="37"/>
        <v>24807</v>
      </c>
      <c r="AV46" s="917">
        <f t="shared" si="37"/>
        <v>681309</v>
      </c>
    </row>
    <row r="47" spans="1:48" s="902" customFormat="1" ht="97.5" customHeight="1" thickBot="1" x14ac:dyDescent="0.65">
      <c r="A47" s="946" t="s">
        <v>806</v>
      </c>
      <c r="B47" s="917">
        <f>[4]int.bevételek2017!B46</f>
        <v>90149</v>
      </c>
      <c r="C47" s="931"/>
      <c r="D47" s="931">
        <f>SUM(B47:C47)</f>
        <v>90149</v>
      </c>
      <c r="E47" s="917">
        <f>[4]int.bevételek2017!C46</f>
        <v>0</v>
      </c>
      <c r="F47" s="931"/>
      <c r="G47" s="931">
        <f>SUM(E47:F47)</f>
        <v>0</v>
      </c>
      <c r="H47" s="931">
        <f>[4]int.bevételek2017!D46</f>
        <v>0</v>
      </c>
      <c r="I47" s="931"/>
      <c r="J47" s="931">
        <f>SUM(H47:I47)</f>
        <v>0</v>
      </c>
      <c r="K47" s="920">
        <f>[4]int.bevételek2017!E46</f>
        <v>0</v>
      </c>
      <c r="L47" s="920"/>
      <c r="M47" s="920">
        <f>SUM(K47:L47)</f>
        <v>0</v>
      </c>
      <c r="N47" s="917">
        <f t="shared" si="34"/>
        <v>90149</v>
      </c>
      <c r="O47" s="917">
        <f t="shared" si="34"/>
        <v>0</v>
      </c>
      <c r="P47" s="917">
        <f t="shared" si="34"/>
        <v>90149</v>
      </c>
      <c r="Q47" s="946" t="s">
        <v>806</v>
      </c>
      <c r="R47" s="931">
        <f>[4]int.bevételek2017!H46</f>
        <v>0</v>
      </c>
      <c r="S47" s="947"/>
      <c r="T47" s="931">
        <f>SUM(R47:S47)</f>
        <v>0</v>
      </c>
      <c r="U47" s="931">
        <f>[4]int.bevételek2017!I46</f>
        <v>0</v>
      </c>
      <c r="V47" s="947"/>
      <c r="W47" s="931">
        <f>SUM(U47:V47)</f>
        <v>0</v>
      </c>
      <c r="X47" s="931">
        <f>[4]int.bevételek2017!J46</f>
        <v>0</v>
      </c>
      <c r="Y47" s="947"/>
      <c r="Z47" s="931">
        <f>SUM(X47:Y47)</f>
        <v>0</v>
      </c>
      <c r="AA47" s="917">
        <f t="shared" si="35"/>
        <v>0</v>
      </c>
      <c r="AB47" s="917">
        <f t="shared" si="35"/>
        <v>0</v>
      </c>
      <c r="AC47" s="917">
        <f t="shared" si="35"/>
        <v>0</v>
      </c>
      <c r="AD47" s="920">
        <f t="shared" si="12"/>
        <v>90149</v>
      </c>
      <c r="AE47" s="920">
        <f t="shared" si="12"/>
        <v>0</v>
      </c>
      <c r="AF47" s="920">
        <f t="shared" si="12"/>
        <v>90149</v>
      </c>
      <c r="AG47" s="946" t="s">
        <v>806</v>
      </c>
      <c r="AH47" s="947"/>
      <c r="AI47" s="931">
        <v>591</v>
      </c>
      <c r="AJ47" s="931">
        <f>SUM(AH47:AI47)</f>
        <v>591</v>
      </c>
      <c r="AK47" s="917">
        <f>[4]int.bevételek2017!L46</f>
        <v>587605</v>
      </c>
      <c r="AL47" s="920">
        <f>28649+37733</f>
        <v>66382</v>
      </c>
      <c r="AM47" s="931">
        <f>SUM(AK47:AL47)</f>
        <v>653987</v>
      </c>
      <c r="AN47" s="917">
        <f>[4]int.bevételek2017!M46</f>
        <v>0</v>
      </c>
      <c r="AO47" s="920">
        <v>9515</v>
      </c>
      <c r="AP47" s="931">
        <f>SUM(AN47:AO47)</f>
        <v>9515</v>
      </c>
      <c r="AQ47" s="917">
        <f t="shared" si="36"/>
        <v>587605</v>
      </c>
      <c r="AR47" s="917">
        <f t="shared" si="36"/>
        <v>75897</v>
      </c>
      <c r="AS47" s="917">
        <f t="shared" si="36"/>
        <v>663502</v>
      </c>
      <c r="AT47" s="917">
        <f t="shared" si="37"/>
        <v>677754</v>
      </c>
      <c r="AU47" s="917">
        <f t="shared" si="37"/>
        <v>76488</v>
      </c>
      <c r="AV47" s="917">
        <f t="shared" si="37"/>
        <v>754242</v>
      </c>
    </row>
    <row r="48" spans="1:48" ht="57.75" customHeight="1" thickBot="1" x14ac:dyDescent="0.65">
      <c r="A48" s="948" t="s">
        <v>803</v>
      </c>
      <c r="B48" s="924">
        <f t="shared" ref="B48:P48" si="38">SUM(B46:B47)</f>
        <v>128110</v>
      </c>
      <c r="C48" s="924">
        <f t="shared" si="38"/>
        <v>0</v>
      </c>
      <c r="D48" s="924">
        <f t="shared" si="38"/>
        <v>128110</v>
      </c>
      <c r="E48" s="924">
        <f t="shared" si="38"/>
        <v>0</v>
      </c>
      <c r="F48" s="924">
        <f t="shared" si="38"/>
        <v>0</v>
      </c>
      <c r="G48" s="924">
        <f t="shared" si="38"/>
        <v>0</v>
      </c>
      <c r="H48" s="924">
        <f t="shared" si="38"/>
        <v>0</v>
      </c>
      <c r="I48" s="924">
        <f t="shared" si="38"/>
        <v>0</v>
      </c>
      <c r="J48" s="924">
        <f t="shared" si="38"/>
        <v>0</v>
      </c>
      <c r="K48" s="924">
        <f t="shared" si="38"/>
        <v>0</v>
      </c>
      <c r="L48" s="924">
        <f t="shared" si="38"/>
        <v>0</v>
      </c>
      <c r="M48" s="924">
        <f t="shared" si="38"/>
        <v>0</v>
      </c>
      <c r="N48" s="924">
        <f t="shared" si="38"/>
        <v>128110</v>
      </c>
      <c r="O48" s="924">
        <f t="shared" si="38"/>
        <v>0</v>
      </c>
      <c r="P48" s="924">
        <f t="shared" si="38"/>
        <v>128110</v>
      </c>
      <c r="Q48" s="948" t="s">
        <v>803</v>
      </c>
      <c r="R48" s="924">
        <f t="shared" ref="R48:AC48" si="39">SUM(R46:R47)</f>
        <v>0</v>
      </c>
      <c r="S48" s="924">
        <f t="shared" si="39"/>
        <v>0</v>
      </c>
      <c r="T48" s="924">
        <f t="shared" si="39"/>
        <v>0</v>
      </c>
      <c r="U48" s="924">
        <f t="shared" si="39"/>
        <v>0</v>
      </c>
      <c r="V48" s="924">
        <f t="shared" si="39"/>
        <v>0</v>
      </c>
      <c r="W48" s="924">
        <f t="shared" si="39"/>
        <v>0</v>
      </c>
      <c r="X48" s="924">
        <f t="shared" si="39"/>
        <v>0</v>
      </c>
      <c r="Y48" s="924">
        <f t="shared" si="39"/>
        <v>0</v>
      </c>
      <c r="Z48" s="924">
        <f t="shared" si="39"/>
        <v>0</v>
      </c>
      <c r="AA48" s="924">
        <f t="shared" si="39"/>
        <v>0</v>
      </c>
      <c r="AB48" s="924">
        <f t="shared" si="39"/>
        <v>0</v>
      </c>
      <c r="AC48" s="924">
        <f t="shared" si="39"/>
        <v>0</v>
      </c>
      <c r="AD48" s="924">
        <f t="shared" si="12"/>
        <v>128110</v>
      </c>
      <c r="AE48" s="924">
        <f t="shared" si="12"/>
        <v>0</v>
      </c>
      <c r="AF48" s="924">
        <f t="shared" si="12"/>
        <v>128110</v>
      </c>
      <c r="AG48" s="948" t="s">
        <v>803</v>
      </c>
      <c r="AH48" s="924">
        <f>SUM(AH46:AH47)</f>
        <v>0</v>
      </c>
      <c r="AI48" s="924">
        <f>SUM(AI46:AI47)</f>
        <v>1377</v>
      </c>
      <c r="AJ48" s="924">
        <f>SUM(AJ46:AJ47)</f>
        <v>1377</v>
      </c>
      <c r="AK48" s="924">
        <f t="shared" ref="AK48:AV48" si="40">SUM(AK46:AK47)</f>
        <v>1199508</v>
      </c>
      <c r="AL48" s="924">
        <f t="shared" si="40"/>
        <v>89490</v>
      </c>
      <c r="AM48" s="924">
        <f t="shared" si="40"/>
        <v>1288998</v>
      </c>
      <c r="AN48" s="924">
        <f t="shared" si="40"/>
        <v>6638</v>
      </c>
      <c r="AO48" s="924">
        <f t="shared" si="40"/>
        <v>10428</v>
      </c>
      <c r="AP48" s="924">
        <f t="shared" si="40"/>
        <v>17066</v>
      </c>
      <c r="AQ48" s="924">
        <f t="shared" si="40"/>
        <v>1206146</v>
      </c>
      <c r="AR48" s="924">
        <f t="shared" si="40"/>
        <v>99918</v>
      </c>
      <c r="AS48" s="924">
        <f t="shared" si="40"/>
        <v>1306064</v>
      </c>
      <c r="AT48" s="924">
        <f t="shared" si="40"/>
        <v>1334256</v>
      </c>
      <c r="AU48" s="924">
        <f t="shared" si="40"/>
        <v>101295</v>
      </c>
      <c r="AV48" s="924">
        <f t="shared" si="40"/>
        <v>1435551</v>
      </c>
    </row>
    <row r="49" spans="1:48" ht="58.5" customHeight="1" thickBot="1" x14ac:dyDescent="0.65">
      <c r="A49" s="949" t="s">
        <v>807</v>
      </c>
      <c r="B49" s="922">
        <f t="shared" ref="B49:P49" si="41">B38+B41+B44+B48</f>
        <v>785405</v>
      </c>
      <c r="C49" s="922">
        <f t="shared" si="41"/>
        <v>0</v>
      </c>
      <c r="D49" s="922">
        <f t="shared" si="41"/>
        <v>785405</v>
      </c>
      <c r="E49" s="922">
        <f t="shared" si="41"/>
        <v>220077</v>
      </c>
      <c r="F49" s="922">
        <f t="shared" si="41"/>
        <v>0</v>
      </c>
      <c r="G49" s="922">
        <f t="shared" si="41"/>
        <v>220077</v>
      </c>
      <c r="H49" s="922">
        <f t="shared" si="41"/>
        <v>26000</v>
      </c>
      <c r="I49" s="922">
        <f t="shared" si="41"/>
        <v>0</v>
      </c>
      <c r="J49" s="922">
        <f t="shared" si="41"/>
        <v>26000</v>
      </c>
      <c r="K49" s="922">
        <f t="shared" si="41"/>
        <v>0</v>
      </c>
      <c r="L49" s="922">
        <f t="shared" si="41"/>
        <v>0</v>
      </c>
      <c r="M49" s="922">
        <f t="shared" si="41"/>
        <v>0</v>
      </c>
      <c r="N49" s="922">
        <f t="shared" si="41"/>
        <v>1031482</v>
      </c>
      <c r="O49" s="922">
        <f t="shared" si="41"/>
        <v>0</v>
      </c>
      <c r="P49" s="922">
        <f t="shared" si="41"/>
        <v>1031482</v>
      </c>
      <c r="Q49" s="949" t="s">
        <v>807</v>
      </c>
      <c r="R49" s="922">
        <f t="shared" ref="R49:AC49" si="42">R38+R41+R44+R48</f>
        <v>0</v>
      </c>
      <c r="S49" s="922">
        <f t="shared" si="42"/>
        <v>0</v>
      </c>
      <c r="T49" s="922">
        <f t="shared" si="42"/>
        <v>0</v>
      </c>
      <c r="U49" s="922">
        <f t="shared" si="42"/>
        <v>1990</v>
      </c>
      <c r="V49" s="922">
        <f t="shared" si="42"/>
        <v>0</v>
      </c>
      <c r="W49" s="922">
        <f t="shared" si="42"/>
        <v>1990</v>
      </c>
      <c r="X49" s="922">
        <f t="shared" si="42"/>
        <v>0</v>
      </c>
      <c r="Y49" s="922">
        <f t="shared" si="42"/>
        <v>0</v>
      </c>
      <c r="Z49" s="922">
        <f t="shared" si="42"/>
        <v>0</v>
      </c>
      <c r="AA49" s="922">
        <f t="shared" si="42"/>
        <v>1990</v>
      </c>
      <c r="AB49" s="922">
        <f t="shared" si="42"/>
        <v>0</v>
      </c>
      <c r="AC49" s="922">
        <f t="shared" si="42"/>
        <v>1990</v>
      </c>
      <c r="AD49" s="942">
        <f t="shared" si="12"/>
        <v>1033472</v>
      </c>
      <c r="AE49" s="942">
        <f t="shared" si="12"/>
        <v>0</v>
      </c>
      <c r="AF49" s="942">
        <f t="shared" si="12"/>
        <v>1033472</v>
      </c>
      <c r="AG49" s="949" t="s">
        <v>807</v>
      </c>
      <c r="AH49" s="922">
        <f>AH38+AH41+AH44+AH48</f>
        <v>0</v>
      </c>
      <c r="AI49" s="922">
        <f>AI38+AI41+AI44+AI48</f>
        <v>140338</v>
      </c>
      <c r="AJ49" s="922">
        <f>AJ38+AJ41+AJ44+AJ48</f>
        <v>140338</v>
      </c>
      <c r="AK49" s="922">
        <f t="shared" ref="AK49:AV49" si="43">AK38+AK41+AK44+AK48</f>
        <v>2422554</v>
      </c>
      <c r="AL49" s="922">
        <f t="shared" si="43"/>
        <v>406584</v>
      </c>
      <c r="AM49" s="922">
        <f t="shared" si="43"/>
        <v>2829138</v>
      </c>
      <c r="AN49" s="922">
        <f t="shared" si="43"/>
        <v>22777</v>
      </c>
      <c r="AO49" s="922">
        <f t="shared" si="43"/>
        <v>142566</v>
      </c>
      <c r="AP49" s="922">
        <f t="shared" si="43"/>
        <v>165343</v>
      </c>
      <c r="AQ49" s="922">
        <f t="shared" si="43"/>
        <v>2445331</v>
      </c>
      <c r="AR49" s="922">
        <f t="shared" si="43"/>
        <v>549150</v>
      </c>
      <c r="AS49" s="922">
        <f t="shared" si="43"/>
        <v>2994481</v>
      </c>
      <c r="AT49" s="922">
        <f t="shared" si="43"/>
        <v>3478803</v>
      </c>
      <c r="AU49" s="922">
        <f t="shared" si="43"/>
        <v>689488</v>
      </c>
      <c r="AV49" s="922">
        <f t="shared" si="43"/>
        <v>4168291</v>
      </c>
    </row>
    <row r="50" spans="1:48" ht="66" customHeight="1" thickBot="1" x14ac:dyDescent="0.65">
      <c r="A50" s="950" t="s">
        <v>808</v>
      </c>
      <c r="B50" s="922">
        <f t="shared" ref="B50:P50" si="44">B30</f>
        <v>413099</v>
      </c>
      <c r="C50" s="922">
        <f t="shared" si="44"/>
        <v>0</v>
      </c>
      <c r="D50" s="922">
        <f t="shared" si="44"/>
        <v>413099</v>
      </c>
      <c r="E50" s="922">
        <f t="shared" si="44"/>
        <v>0</v>
      </c>
      <c r="F50" s="922">
        <f t="shared" si="44"/>
        <v>1395</v>
      </c>
      <c r="G50" s="922">
        <f t="shared" si="44"/>
        <v>1395</v>
      </c>
      <c r="H50" s="922">
        <f t="shared" si="44"/>
        <v>0</v>
      </c>
      <c r="I50" s="922">
        <f t="shared" si="44"/>
        <v>0</v>
      </c>
      <c r="J50" s="922">
        <f t="shared" si="44"/>
        <v>0</v>
      </c>
      <c r="K50" s="922">
        <f t="shared" si="44"/>
        <v>0</v>
      </c>
      <c r="L50" s="922">
        <f t="shared" si="44"/>
        <v>0</v>
      </c>
      <c r="M50" s="922">
        <f t="shared" si="44"/>
        <v>0</v>
      </c>
      <c r="N50" s="922">
        <f t="shared" si="44"/>
        <v>413099</v>
      </c>
      <c r="O50" s="922">
        <f t="shared" si="44"/>
        <v>1395</v>
      </c>
      <c r="P50" s="922">
        <f t="shared" si="44"/>
        <v>414494</v>
      </c>
      <c r="Q50" s="950" t="s">
        <v>808</v>
      </c>
      <c r="R50" s="922">
        <f t="shared" ref="R50:AC50" si="45">R30</f>
        <v>0</v>
      </c>
      <c r="S50" s="922">
        <f t="shared" si="45"/>
        <v>34</v>
      </c>
      <c r="T50" s="922">
        <f t="shared" si="45"/>
        <v>34</v>
      </c>
      <c r="U50" s="922">
        <f t="shared" si="45"/>
        <v>0</v>
      </c>
      <c r="V50" s="922">
        <f t="shared" si="45"/>
        <v>0</v>
      </c>
      <c r="W50" s="922">
        <f t="shared" si="45"/>
        <v>0</v>
      </c>
      <c r="X50" s="922">
        <f t="shared" si="45"/>
        <v>0</v>
      </c>
      <c r="Y50" s="922">
        <f t="shared" si="45"/>
        <v>0</v>
      </c>
      <c r="Z50" s="922">
        <f t="shared" si="45"/>
        <v>0</v>
      </c>
      <c r="AA50" s="922">
        <f t="shared" si="45"/>
        <v>0</v>
      </c>
      <c r="AB50" s="922">
        <f t="shared" si="45"/>
        <v>34</v>
      </c>
      <c r="AC50" s="922">
        <f t="shared" si="45"/>
        <v>34</v>
      </c>
      <c r="AD50" s="922">
        <f t="shared" si="12"/>
        <v>413099</v>
      </c>
      <c r="AE50" s="922">
        <f t="shared" si="12"/>
        <v>1429</v>
      </c>
      <c r="AF50" s="922">
        <f t="shared" si="12"/>
        <v>414528</v>
      </c>
      <c r="AG50" s="950" t="s">
        <v>808</v>
      </c>
      <c r="AH50" s="922">
        <f>AH30</f>
        <v>0</v>
      </c>
      <c r="AI50" s="922">
        <f>AI30</f>
        <v>8727</v>
      </c>
      <c r="AJ50" s="922">
        <f>AJ30</f>
        <v>8727</v>
      </c>
      <c r="AK50" s="922">
        <f t="shared" ref="AK50:AV50" si="46">AK30</f>
        <v>2659603</v>
      </c>
      <c r="AL50" s="922">
        <f t="shared" si="46"/>
        <v>137544</v>
      </c>
      <c r="AM50" s="922">
        <f t="shared" si="46"/>
        <v>2797147</v>
      </c>
      <c r="AN50" s="922">
        <f t="shared" si="46"/>
        <v>0</v>
      </c>
      <c r="AO50" s="922">
        <f t="shared" si="46"/>
        <v>39714</v>
      </c>
      <c r="AP50" s="922">
        <f t="shared" si="46"/>
        <v>39714</v>
      </c>
      <c r="AQ50" s="922">
        <f t="shared" si="46"/>
        <v>2659603</v>
      </c>
      <c r="AR50" s="922">
        <f t="shared" si="46"/>
        <v>177258</v>
      </c>
      <c r="AS50" s="922">
        <f t="shared" si="46"/>
        <v>2836861</v>
      </c>
      <c r="AT50" s="922">
        <f t="shared" si="46"/>
        <v>3072702</v>
      </c>
      <c r="AU50" s="922">
        <f t="shared" si="46"/>
        <v>187414</v>
      </c>
      <c r="AV50" s="922">
        <f t="shared" si="46"/>
        <v>3260116</v>
      </c>
    </row>
    <row r="51" spans="1:48" ht="78" customHeight="1" thickBot="1" x14ac:dyDescent="0.65">
      <c r="A51" s="951" t="s">
        <v>809</v>
      </c>
      <c r="B51" s="914">
        <f t="shared" ref="B51:P51" si="47">SUM(B49:B50)</f>
        <v>1198504</v>
      </c>
      <c r="C51" s="914">
        <f t="shared" si="47"/>
        <v>0</v>
      </c>
      <c r="D51" s="914">
        <f t="shared" si="47"/>
        <v>1198504</v>
      </c>
      <c r="E51" s="914">
        <f t="shared" si="47"/>
        <v>220077</v>
      </c>
      <c r="F51" s="914">
        <f t="shared" si="47"/>
        <v>1395</v>
      </c>
      <c r="G51" s="914">
        <f t="shared" si="47"/>
        <v>221472</v>
      </c>
      <c r="H51" s="914">
        <f t="shared" si="47"/>
        <v>26000</v>
      </c>
      <c r="I51" s="914">
        <f t="shared" si="47"/>
        <v>0</v>
      </c>
      <c r="J51" s="914">
        <f t="shared" si="47"/>
        <v>26000</v>
      </c>
      <c r="K51" s="914">
        <f t="shared" si="47"/>
        <v>0</v>
      </c>
      <c r="L51" s="914">
        <f t="shared" si="47"/>
        <v>0</v>
      </c>
      <c r="M51" s="914">
        <f t="shared" si="47"/>
        <v>0</v>
      </c>
      <c r="N51" s="914">
        <f t="shared" si="47"/>
        <v>1444581</v>
      </c>
      <c r="O51" s="914">
        <f t="shared" si="47"/>
        <v>1395</v>
      </c>
      <c r="P51" s="914">
        <f t="shared" si="47"/>
        <v>1445976</v>
      </c>
      <c r="Q51" s="951" t="s">
        <v>809</v>
      </c>
      <c r="R51" s="914">
        <f t="shared" ref="R51:AC51" si="48">SUM(R49:R50)</f>
        <v>0</v>
      </c>
      <c r="S51" s="914">
        <f t="shared" si="48"/>
        <v>34</v>
      </c>
      <c r="T51" s="914">
        <f t="shared" si="48"/>
        <v>34</v>
      </c>
      <c r="U51" s="914">
        <f t="shared" si="48"/>
        <v>1990</v>
      </c>
      <c r="V51" s="914">
        <f t="shared" si="48"/>
        <v>0</v>
      </c>
      <c r="W51" s="914">
        <f t="shared" si="48"/>
        <v>1990</v>
      </c>
      <c r="X51" s="914">
        <f t="shared" si="48"/>
        <v>0</v>
      </c>
      <c r="Y51" s="914">
        <f t="shared" si="48"/>
        <v>0</v>
      </c>
      <c r="Z51" s="914">
        <f t="shared" si="48"/>
        <v>0</v>
      </c>
      <c r="AA51" s="914">
        <f t="shared" si="48"/>
        <v>1990</v>
      </c>
      <c r="AB51" s="914">
        <f t="shared" si="48"/>
        <v>34</v>
      </c>
      <c r="AC51" s="914">
        <f t="shared" si="48"/>
        <v>2024</v>
      </c>
      <c r="AD51" s="914">
        <f t="shared" si="12"/>
        <v>1446571</v>
      </c>
      <c r="AE51" s="914">
        <f t="shared" si="12"/>
        <v>1429</v>
      </c>
      <c r="AF51" s="914">
        <f t="shared" si="12"/>
        <v>1448000</v>
      </c>
      <c r="AG51" s="951" t="s">
        <v>809</v>
      </c>
      <c r="AH51" s="914">
        <f>SUM(AH49:AH50)</f>
        <v>0</v>
      </c>
      <c r="AI51" s="914">
        <f>SUM(AI49:AI50)</f>
        <v>149065</v>
      </c>
      <c r="AJ51" s="924">
        <f>SUM(AJ49:AJ50)</f>
        <v>149065</v>
      </c>
      <c r="AK51" s="914">
        <f t="shared" ref="AK51:AV51" si="49">SUM(AK49:AK50)</f>
        <v>5082157</v>
      </c>
      <c r="AL51" s="914">
        <f t="shared" si="49"/>
        <v>544128</v>
      </c>
      <c r="AM51" s="914">
        <f t="shared" si="49"/>
        <v>5626285</v>
      </c>
      <c r="AN51" s="914">
        <f t="shared" si="49"/>
        <v>22777</v>
      </c>
      <c r="AO51" s="914">
        <f t="shared" si="49"/>
        <v>182280</v>
      </c>
      <c r="AP51" s="914">
        <f t="shared" si="49"/>
        <v>205057</v>
      </c>
      <c r="AQ51" s="914">
        <f t="shared" si="49"/>
        <v>5104934</v>
      </c>
      <c r="AR51" s="914">
        <f t="shared" si="49"/>
        <v>726408</v>
      </c>
      <c r="AS51" s="914">
        <f t="shared" si="49"/>
        <v>5831342</v>
      </c>
      <c r="AT51" s="914">
        <f t="shared" si="49"/>
        <v>6551505</v>
      </c>
      <c r="AU51" s="914">
        <f t="shared" si="49"/>
        <v>876902</v>
      </c>
      <c r="AV51" s="914">
        <f t="shared" si="49"/>
        <v>7428407</v>
      </c>
    </row>
    <row r="52" spans="1:48" ht="49.5" customHeight="1" thickBot="1" x14ac:dyDescent="0.65">
      <c r="A52" s="952" t="s">
        <v>810</v>
      </c>
      <c r="B52" s="953">
        <f>[4]int.bevételek2017!B51</f>
        <v>0</v>
      </c>
      <c r="C52" s="953"/>
      <c r="D52" s="953">
        <f>SUM(B52:C52)</f>
        <v>0</v>
      </c>
      <c r="E52" s="953">
        <f>[4]int.bevételek2017!C51</f>
        <v>0</v>
      </c>
      <c r="F52" s="953"/>
      <c r="G52" s="954">
        <f>SUM(E52:F52)</f>
        <v>0</v>
      </c>
      <c r="H52" s="953">
        <f>[4]int.bevételek2017!D51</f>
        <v>0</v>
      </c>
      <c r="I52" s="954"/>
      <c r="J52" s="953">
        <f>SUM(H52:I52)</f>
        <v>0</v>
      </c>
      <c r="K52" s="954">
        <f>[4]int.bevételek2017!E51</f>
        <v>0</v>
      </c>
      <c r="L52" s="953"/>
      <c r="M52" s="954">
        <f>SUM(K52:L52)</f>
        <v>0</v>
      </c>
      <c r="N52" s="953">
        <f t="shared" ref="N52:P53" si="50">B52+E52+H52+K52</f>
        <v>0</v>
      </c>
      <c r="O52" s="954">
        <f t="shared" si="50"/>
        <v>0</v>
      </c>
      <c r="P52" s="953">
        <f t="shared" si="50"/>
        <v>0</v>
      </c>
      <c r="Q52" s="952" t="s">
        <v>810</v>
      </c>
      <c r="R52" s="953">
        <f>[4]int.bevételek2017!H51</f>
        <v>0</v>
      </c>
      <c r="S52" s="954"/>
      <c r="T52" s="953">
        <f>SUM(R52:S52)</f>
        <v>0</v>
      </c>
      <c r="U52" s="954">
        <f>[4]int.bevételek2017!I51</f>
        <v>0</v>
      </c>
      <c r="V52" s="953"/>
      <c r="W52" s="954">
        <f>SUM(U52:V52)</f>
        <v>0</v>
      </c>
      <c r="X52" s="953">
        <f>[4]int.bevételek2017!J51</f>
        <v>0</v>
      </c>
      <c r="Y52" s="954"/>
      <c r="Z52" s="953">
        <f>SUM(X52:Y52)</f>
        <v>0</v>
      </c>
      <c r="AA52" s="954">
        <f>R52+U52+X52</f>
        <v>0</v>
      </c>
      <c r="AB52" s="953"/>
      <c r="AC52" s="953">
        <f>T52+W52+Z52</f>
        <v>0</v>
      </c>
      <c r="AD52" s="953">
        <f t="shared" si="12"/>
        <v>0</v>
      </c>
      <c r="AE52" s="953">
        <f t="shared" si="12"/>
        <v>0</v>
      </c>
      <c r="AF52" s="953">
        <f t="shared" si="12"/>
        <v>0</v>
      </c>
      <c r="AG52" s="952" t="s">
        <v>810</v>
      </c>
      <c r="AH52" s="954"/>
      <c r="AI52" s="953">
        <v>2866</v>
      </c>
      <c r="AJ52" s="920">
        <f>SUM(AH52:AI52)</f>
        <v>2866</v>
      </c>
      <c r="AK52" s="954">
        <f>[4]int.bevételek2017!L51</f>
        <v>188406</v>
      </c>
      <c r="AL52" s="953">
        <f>6472+177</f>
        <v>6649</v>
      </c>
      <c r="AM52" s="954">
        <f>SUM(AK52:AL52)</f>
        <v>195055</v>
      </c>
      <c r="AN52" s="953">
        <f>[4]int.bevételek2017!M51</f>
        <v>3820</v>
      </c>
      <c r="AO52" s="954">
        <v>435</v>
      </c>
      <c r="AP52" s="953">
        <f>SUM(AN52:AO52)</f>
        <v>4255</v>
      </c>
      <c r="AQ52" s="954">
        <f t="shared" ref="AQ52:AS53" si="51">AK52+AN52</f>
        <v>192226</v>
      </c>
      <c r="AR52" s="953">
        <f t="shared" si="51"/>
        <v>7084</v>
      </c>
      <c r="AS52" s="954">
        <f t="shared" si="51"/>
        <v>199310</v>
      </c>
      <c r="AT52" s="953">
        <f t="shared" ref="AT52:AV53" si="52">N52+AA52+AH52+AQ52</f>
        <v>192226</v>
      </c>
      <c r="AU52" s="954">
        <f t="shared" si="52"/>
        <v>9950</v>
      </c>
      <c r="AV52" s="953">
        <f t="shared" si="52"/>
        <v>202176</v>
      </c>
    </row>
    <row r="53" spans="1:48" ht="49.5" customHeight="1" thickBot="1" x14ac:dyDescent="0.65">
      <c r="A53" s="955" t="s">
        <v>10</v>
      </c>
      <c r="B53" s="942">
        <f>[4]int.bevételek2017!B52</f>
        <v>16090</v>
      </c>
      <c r="C53" s="942"/>
      <c r="D53" s="942">
        <f>SUM(B53:C53)</f>
        <v>16090</v>
      </c>
      <c r="E53" s="942">
        <f>[4]int.bevételek2017!C52</f>
        <v>0</v>
      </c>
      <c r="F53" s="942"/>
      <c r="G53" s="898">
        <f>SUM(E53:F53)</f>
        <v>0</v>
      </c>
      <c r="H53" s="942">
        <f>[4]int.bevételek2017!D52</f>
        <v>0</v>
      </c>
      <c r="J53" s="942">
        <f>SUM(H53:I53)</f>
        <v>0</v>
      </c>
      <c r="K53" s="954">
        <f>[4]int.bevételek2017!E52</f>
        <v>700</v>
      </c>
      <c r="L53" s="942"/>
      <c r="M53" s="898">
        <f>SUM(K53:L53)</f>
        <v>700</v>
      </c>
      <c r="N53" s="942">
        <f t="shared" si="50"/>
        <v>16790</v>
      </c>
      <c r="O53" s="898">
        <f t="shared" si="50"/>
        <v>0</v>
      </c>
      <c r="P53" s="942">
        <f t="shared" si="50"/>
        <v>16790</v>
      </c>
      <c r="Q53" s="955" t="s">
        <v>10</v>
      </c>
      <c r="R53" s="942">
        <f>[4]int.bevételek2017!H52</f>
        <v>0</v>
      </c>
      <c r="T53" s="942">
        <f>SUM(R53:S53)</f>
        <v>0</v>
      </c>
      <c r="U53" s="898">
        <f>[4]int.bevételek2017!I52</f>
        <v>0</v>
      </c>
      <c r="V53" s="942"/>
      <c r="W53" s="898">
        <f>SUM(U53:V53)</f>
        <v>0</v>
      </c>
      <c r="X53" s="942">
        <f>[4]int.bevételek2017!J52</f>
        <v>0</v>
      </c>
      <c r="Z53" s="942">
        <f>SUM(X53:Y53)</f>
        <v>0</v>
      </c>
      <c r="AA53" s="898">
        <f>R53+U53+X53</f>
        <v>0</v>
      </c>
      <c r="AB53" s="942"/>
      <c r="AC53" s="942">
        <f>T53+W53+Z53</f>
        <v>0</v>
      </c>
      <c r="AD53" s="942">
        <f t="shared" si="12"/>
        <v>16790</v>
      </c>
      <c r="AE53" s="942">
        <f t="shared" si="12"/>
        <v>0</v>
      </c>
      <c r="AF53" s="942">
        <f t="shared" si="12"/>
        <v>16790</v>
      </c>
      <c r="AG53" s="955" t="s">
        <v>10</v>
      </c>
      <c r="AH53" s="898"/>
      <c r="AI53" s="942">
        <v>9476</v>
      </c>
      <c r="AJ53" s="931">
        <f>SUM(AH53:AI53)</f>
        <v>9476</v>
      </c>
      <c r="AK53" s="898">
        <f>[4]int.bevételek2017!L52</f>
        <v>1674024</v>
      </c>
      <c r="AL53" s="942">
        <f>256254+10025</f>
        <v>266279</v>
      </c>
      <c r="AM53" s="898">
        <f>SUM(AK53:AL53)</f>
        <v>1940303</v>
      </c>
      <c r="AN53" s="942">
        <f>[4]int.bevételek2017!M52</f>
        <v>20000</v>
      </c>
      <c r="AO53" s="898">
        <f>13450+2001</f>
        <v>15451</v>
      </c>
      <c r="AP53" s="942">
        <f>SUM(AN53:AO53)</f>
        <v>35451</v>
      </c>
      <c r="AQ53" s="898">
        <f t="shared" si="51"/>
        <v>1694024</v>
      </c>
      <c r="AR53" s="942">
        <f t="shared" si="51"/>
        <v>281730</v>
      </c>
      <c r="AS53" s="898">
        <f t="shared" si="51"/>
        <v>1975754</v>
      </c>
      <c r="AT53" s="942">
        <f t="shared" si="52"/>
        <v>1710814</v>
      </c>
      <c r="AU53" s="898">
        <f t="shared" si="52"/>
        <v>291206</v>
      </c>
      <c r="AV53" s="942">
        <f t="shared" si="52"/>
        <v>2002020</v>
      </c>
    </row>
    <row r="54" spans="1:48" ht="78" customHeight="1" thickBot="1" x14ac:dyDescent="0.65">
      <c r="A54" s="956" t="s">
        <v>455</v>
      </c>
      <c r="B54" s="924">
        <f t="shared" ref="B54:P54" si="53">SUM(B51:B53)</f>
        <v>1214594</v>
      </c>
      <c r="C54" s="924">
        <f t="shared" si="53"/>
        <v>0</v>
      </c>
      <c r="D54" s="924">
        <f t="shared" si="53"/>
        <v>1214594</v>
      </c>
      <c r="E54" s="957">
        <f t="shared" si="53"/>
        <v>220077</v>
      </c>
      <c r="F54" s="924">
        <f t="shared" si="53"/>
        <v>1395</v>
      </c>
      <c r="G54" s="924">
        <f t="shared" si="53"/>
        <v>221472</v>
      </c>
      <c r="H54" s="957">
        <f t="shared" si="53"/>
        <v>26000</v>
      </c>
      <c r="I54" s="924">
        <f t="shared" si="53"/>
        <v>0</v>
      </c>
      <c r="J54" s="957">
        <f t="shared" si="53"/>
        <v>26000</v>
      </c>
      <c r="K54" s="924">
        <f t="shared" si="53"/>
        <v>700</v>
      </c>
      <c r="L54" s="957">
        <f t="shared" si="53"/>
        <v>0</v>
      </c>
      <c r="M54" s="924">
        <f t="shared" si="53"/>
        <v>700</v>
      </c>
      <c r="N54" s="957">
        <f t="shared" si="53"/>
        <v>1461371</v>
      </c>
      <c r="O54" s="924">
        <f t="shared" si="53"/>
        <v>1395</v>
      </c>
      <c r="P54" s="924">
        <f t="shared" si="53"/>
        <v>1462766</v>
      </c>
      <c r="Q54" s="958" t="s">
        <v>455</v>
      </c>
      <c r="R54" s="957">
        <f t="shared" ref="R54:AC54" si="54">SUM(R51:R53)</f>
        <v>0</v>
      </c>
      <c r="S54" s="924">
        <f t="shared" si="54"/>
        <v>34</v>
      </c>
      <c r="T54" s="957">
        <f t="shared" si="54"/>
        <v>34</v>
      </c>
      <c r="U54" s="924">
        <f t="shared" si="54"/>
        <v>1990</v>
      </c>
      <c r="V54" s="957">
        <f t="shared" si="54"/>
        <v>0</v>
      </c>
      <c r="W54" s="924">
        <f t="shared" si="54"/>
        <v>1990</v>
      </c>
      <c r="X54" s="957">
        <f t="shared" si="54"/>
        <v>0</v>
      </c>
      <c r="Y54" s="924">
        <f t="shared" si="54"/>
        <v>0</v>
      </c>
      <c r="Z54" s="957">
        <f t="shared" si="54"/>
        <v>0</v>
      </c>
      <c r="AA54" s="924">
        <f t="shared" si="54"/>
        <v>1990</v>
      </c>
      <c r="AB54" s="957">
        <f t="shared" si="54"/>
        <v>34</v>
      </c>
      <c r="AC54" s="924">
        <f t="shared" si="54"/>
        <v>2024</v>
      </c>
      <c r="AD54" s="942">
        <f t="shared" si="12"/>
        <v>1463361</v>
      </c>
      <c r="AE54" s="957">
        <f t="shared" si="12"/>
        <v>1429</v>
      </c>
      <c r="AF54" s="924">
        <f t="shared" si="12"/>
        <v>1464790</v>
      </c>
      <c r="AG54" s="956" t="s">
        <v>455</v>
      </c>
      <c r="AH54" s="924">
        <f>SUM(AH51:AH53)</f>
        <v>0</v>
      </c>
      <c r="AI54" s="957">
        <f>SUM(AI51:AI53)</f>
        <v>161407</v>
      </c>
      <c r="AJ54" s="924">
        <f>SUM(AJ51:AJ53)</f>
        <v>161407</v>
      </c>
      <c r="AK54" s="924">
        <f t="shared" ref="AK54:AV54" si="55">SUM(AK51:AK53)</f>
        <v>6944587</v>
      </c>
      <c r="AL54" s="957">
        <f t="shared" si="55"/>
        <v>817056</v>
      </c>
      <c r="AM54" s="924">
        <f t="shared" si="55"/>
        <v>7761643</v>
      </c>
      <c r="AN54" s="957">
        <f t="shared" si="55"/>
        <v>46597</v>
      </c>
      <c r="AO54" s="924">
        <f t="shared" si="55"/>
        <v>198166</v>
      </c>
      <c r="AP54" s="957">
        <f t="shared" si="55"/>
        <v>244763</v>
      </c>
      <c r="AQ54" s="924">
        <f t="shared" si="55"/>
        <v>6991184</v>
      </c>
      <c r="AR54" s="957">
        <f t="shared" si="55"/>
        <v>1015222</v>
      </c>
      <c r="AS54" s="924">
        <f t="shared" si="55"/>
        <v>8006406</v>
      </c>
      <c r="AT54" s="957">
        <f t="shared" si="55"/>
        <v>8454545</v>
      </c>
      <c r="AU54" s="924">
        <f t="shared" si="55"/>
        <v>1178058</v>
      </c>
      <c r="AV54" s="924">
        <f t="shared" si="55"/>
        <v>9632603</v>
      </c>
    </row>
  </sheetData>
  <mergeCells count="30">
    <mergeCell ref="AH3:AV3"/>
    <mergeCell ref="B4:P4"/>
    <mergeCell ref="R4:AF4"/>
    <mergeCell ref="AH4:AV4"/>
    <mergeCell ref="H6:J6"/>
    <mergeCell ref="K6:M6"/>
    <mergeCell ref="N6:P6"/>
    <mergeCell ref="R6:T6"/>
    <mergeCell ref="B3:P3"/>
    <mergeCell ref="R3:AF3"/>
    <mergeCell ref="B6:D6"/>
    <mergeCell ref="E6:G6"/>
    <mergeCell ref="U6:W6"/>
    <mergeCell ref="X6:Z6"/>
    <mergeCell ref="AA6:AC6"/>
    <mergeCell ref="AD6:AF6"/>
    <mergeCell ref="AQ7:AS7"/>
    <mergeCell ref="AT7:AV7"/>
    <mergeCell ref="AQ6:AS6"/>
    <mergeCell ref="AT6:AV6"/>
    <mergeCell ref="B7:D7"/>
    <mergeCell ref="N7:P7"/>
    <mergeCell ref="R7:T7"/>
    <mergeCell ref="X7:Z7"/>
    <mergeCell ref="AA7:AC7"/>
    <mergeCell ref="AD7:AF7"/>
    <mergeCell ref="AK7:AM7"/>
    <mergeCell ref="AK6:AP6"/>
    <mergeCell ref="AN7:AP7"/>
    <mergeCell ref="AH6:AJ6"/>
  </mergeCells>
  <printOptions horizontalCentered="1" verticalCentered="1"/>
  <pageMargins left="0" right="0" top="0" bottom="0" header="0" footer="0"/>
  <pageSetup paperSize="9" scale="18" orientation="landscape" r:id="rId1"/>
  <headerFooter alignWithMargins="0">
    <oddHeader>&amp;L&amp;14
&amp;F &amp;A&amp;R&amp;"Arial CE,Félkövér"&amp;36
4. melléklet a  12/2017. (V.3.) önkormányzati rendelethez
"4. melléklet a 4/2017.(III.7.) önkormányzati rendelethez"</oddHeader>
    <oddFooter xml:space="preserve">&amp;C &amp;R
&amp;36 &amp;10
</oddFooter>
  </headerFooter>
  <colBreaks count="2" manualBreakCount="2">
    <brk id="16" max="53" man="1"/>
    <brk id="32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view="pageLayout" zoomScaleNormal="100" workbookViewId="0">
      <selection sqref="A1:D1"/>
    </sheetView>
  </sheetViews>
  <sheetFormatPr defaultColWidth="9.33203125" defaultRowHeight="15" x14ac:dyDescent="0.2"/>
  <cols>
    <col min="1" max="1" width="116" style="1118" customWidth="1"/>
    <col min="2" max="3" width="24.6640625" style="1117" customWidth="1"/>
    <col min="4" max="4" width="24.6640625" style="1115" customWidth="1"/>
    <col min="5" max="5" width="14.6640625" style="1115" bestFit="1" customWidth="1"/>
    <col min="6" max="6" width="11.5" style="1115" bestFit="1" customWidth="1"/>
    <col min="7" max="16384" width="9.33203125" style="1115"/>
  </cols>
  <sheetData>
    <row r="1" spans="1:5" ht="15.75" x14ac:dyDescent="0.25">
      <c r="A1" s="1202" t="s">
        <v>432</v>
      </c>
      <c r="B1" s="1202"/>
      <c r="C1" s="1202"/>
      <c r="D1" s="1202"/>
    </row>
    <row r="2" spans="1:5" ht="15.75" x14ac:dyDescent="0.25">
      <c r="A2" s="1202" t="s">
        <v>847</v>
      </c>
      <c r="B2" s="1202"/>
      <c r="C2" s="1202"/>
      <c r="D2" s="1202"/>
    </row>
    <row r="3" spans="1:5" x14ac:dyDescent="0.2">
      <c r="A3" s="1116"/>
    </row>
    <row r="4" spans="1:5" x14ac:dyDescent="0.2">
      <c r="A4" s="1116"/>
    </row>
    <row r="5" spans="1:5" ht="12.95" customHeight="1" thickBot="1" x14ac:dyDescent="0.25">
      <c r="D5" s="1119" t="s">
        <v>419</v>
      </c>
    </row>
    <row r="6" spans="1:5" ht="15.75" x14ac:dyDescent="0.25">
      <c r="A6" s="1120" t="s">
        <v>848</v>
      </c>
      <c r="B6" s="1121"/>
      <c r="C6" s="1121"/>
      <c r="D6" s="1122"/>
    </row>
    <row r="7" spans="1:5" ht="15.75" x14ac:dyDescent="0.25">
      <c r="A7" s="1123"/>
      <c r="B7" s="1124" t="s">
        <v>542</v>
      </c>
      <c r="C7" s="1124" t="s">
        <v>849</v>
      </c>
      <c r="D7" s="1125" t="s">
        <v>850</v>
      </c>
    </row>
    <row r="8" spans="1:5" ht="15.75" x14ac:dyDescent="0.25">
      <c r="A8" s="1123"/>
      <c r="B8" s="1124" t="s">
        <v>159</v>
      </c>
      <c r="C8" s="1124" t="s">
        <v>678</v>
      </c>
      <c r="D8" s="1125" t="s">
        <v>851</v>
      </c>
    </row>
    <row r="9" spans="1:5" ht="16.5" thickBot="1" x14ac:dyDescent="0.3">
      <c r="A9" s="1126"/>
      <c r="B9" s="1127"/>
      <c r="C9" s="1127"/>
      <c r="D9" s="1128" t="s">
        <v>541</v>
      </c>
    </row>
    <row r="10" spans="1:5" ht="20.25" x14ac:dyDescent="0.3">
      <c r="A10" s="1129" t="s">
        <v>852</v>
      </c>
      <c r="B10" s="1130"/>
      <c r="C10" s="1130"/>
      <c r="D10" s="1131"/>
    </row>
    <row r="11" spans="1:5" ht="20.25" x14ac:dyDescent="0.3">
      <c r="A11" s="1132" t="s">
        <v>853</v>
      </c>
      <c r="B11" s="1133">
        <v>60</v>
      </c>
      <c r="C11" s="1133"/>
      <c r="D11" s="1133">
        <f>SUM(B11:C11)</f>
        <v>60</v>
      </c>
    </row>
    <row r="12" spans="1:5" ht="21" thickBot="1" x14ac:dyDescent="0.35">
      <c r="A12" s="1134" t="s">
        <v>854</v>
      </c>
      <c r="B12" s="1135"/>
      <c r="C12" s="1135">
        <v>5264</v>
      </c>
      <c r="D12" s="1133">
        <f>SUM(B12:C12)</f>
        <v>5264</v>
      </c>
    </row>
    <row r="13" spans="1:5" s="1139" customFormat="1" ht="21" thickBot="1" x14ac:dyDescent="0.35">
      <c r="A13" s="1136" t="s">
        <v>855</v>
      </c>
      <c r="B13" s="1137">
        <f>SUM(B11:B11)</f>
        <v>60</v>
      </c>
      <c r="C13" s="1137">
        <f>SUM(C11:C12)</f>
        <v>5264</v>
      </c>
      <c r="D13" s="1137">
        <f>SUM(D11:D12)</f>
        <v>5324</v>
      </c>
      <c r="E13" s="1138"/>
    </row>
    <row r="14" spans="1:5" ht="20.25" x14ac:dyDescent="0.3">
      <c r="A14" s="1140" t="s">
        <v>856</v>
      </c>
      <c r="B14" s="1141"/>
      <c r="C14" s="1141"/>
      <c r="D14" s="1141"/>
    </row>
    <row r="15" spans="1:5" ht="31.5" x14ac:dyDescent="0.3">
      <c r="A15" s="1142" t="s">
        <v>857</v>
      </c>
      <c r="B15" s="1143"/>
      <c r="C15" s="1143"/>
      <c r="D15" s="1143"/>
    </row>
    <row r="16" spans="1:5" ht="20.25" x14ac:dyDescent="0.3">
      <c r="A16" s="1144" t="s">
        <v>858</v>
      </c>
      <c r="B16" s="1145">
        <v>967882</v>
      </c>
      <c r="C16" s="1145"/>
      <c r="D16" s="1145">
        <f t="shared" ref="D16:D22" si="0">SUM(B16:C16)</f>
        <v>967882</v>
      </c>
    </row>
    <row r="17" spans="1:5" ht="20.25" x14ac:dyDescent="0.3">
      <c r="A17" s="1146" t="s">
        <v>859</v>
      </c>
      <c r="B17" s="1145">
        <v>8274</v>
      </c>
      <c r="C17" s="1145"/>
      <c r="D17" s="1145">
        <f t="shared" si="0"/>
        <v>8274</v>
      </c>
    </row>
    <row r="18" spans="1:5" ht="32.25" customHeight="1" x14ac:dyDescent="0.3">
      <c r="A18" s="1147" t="s">
        <v>860</v>
      </c>
      <c r="B18" s="1145">
        <v>344</v>
      </c>
      <c r="C18" s="1145"/>
      <c r="D18" s="1145">
        <f t="shared" si="0"/>
        <v>344</v>
      </c>
    </row>
    <row r="19" spans="1:5" ht="20.25" x14ac:dyDescent="0.3">
      <c r="A19" s="1146" t="s">
        <v>861</v>
      </c>
      <c r="B19" s="1145">
        <v>285049</v>
      </c>
      <c r="C19" s="1145"/>
      <c r="D19" s="1145">
        <f t="shared" si="0"/>
        <v>285049</v>
      </c>
    </row>
    <row r="20" spans="1:5" ht="20.25" x14ac:dyDescent="0.3">
      <c r="A20" s="1148" t="s">
        <v>862</v>
      </c>
      <c r="B20" s="1145">
        <v>194174</v>
      </c>
      <c r="C20" s="1145"/>
      <c r="D20" s="1145">
        <f t="shared" si="0"/>
        <v>194174</v>
      </c>
    </row>
    <row r="21" spans="1:5" ht="20.25" x14ac:dyDescent="0.3">
      <c r="A21" s="1148" t="s">
        <v>863</v>
      </c>
      <c r="B21" s="1145"/>
      <c r="C21" s="1145"/>
      <c r="D21" s="1145">
        <f t="shared" si="0"/>
        <v>0</v>
      </c>
    </row>
    <row r="22" spans="1:5" ht="22.5" customHeight="1" thickBot="1" x14ac:dyDescent="0.35">
      <c r="A22" s="1149" t="s">
        <v>864</v>
      </c>
      <c r="B22" s="1145">
        <v>37233</v>
      </c>
      <c r="C22" s="1145"/>
      <c r="D22" s="1145">
        <f t="shared" si="0"/>
        <v>37233</v>
      </c>
    </row>
    <row r="23" spans="1:5" s="1139" customFormat="1" ht="21" thickBot="1" x14ac:dyDescent="0.35">
      <c r="A23" s="1150" t="s">
        <v>865</v>
      </c>
      <c r="B23" s="1151">
        <f>SUM(B16:B22)</f>
        <v>1492956</v>
      </c>
      <c r="C23" s="1151">
        <f>SUM(C16:C22)</f>
        <v>0</v>
      </c>
      <c r="D23" s="1151">
        <f>SUM(D16:D22)</f>
        <v>1492956</v>
      </c>
      <c r="E23" s="1138"/>
    </row>
    <row r="24" spans="1:5" s="1139" customFormat="1" ht="31.5" x14ac:dyDescent="0.3">
      <c r="A24" s="1152" t="s">
        <v>866</v>
      </c>
      <c r="B24" s="1153"/>
      <c r="C24" s="1153"/>
      <c r="D24" s="1153"/>
    </row>
    <row r="25" spans="1:5" s="1139" customFormat="1" ht="20.25" x14ac:dyDescent="0.3">
      <c r="A25" s="1154" t="s">
        <v>867</v>
      </c>
      <c r="B25" s="1155"/>
      <c r="C25" s="1156">
        <v>30105</v>
      </c>
      <c r="D25" s="1155">
        <f>SUM(B25:C25)</f>
        <v>30105</v>
      </c>
    </row>
    <row r="26" spans="1:5" s="1139" customFormat="1" ht="20.25" x14ac:dyDescent="0.3">
      <c r="A26" s="1157" t="s">
        <v>868</v>
      </c>
      <c r="B26" s="1158"/>
      <c r="C26" s="1158"/>
      <c r="D26" s="1158"/>
    </row>
    <row r="27" spans="1:5" s="1117" customFormat="1" ht="20.25" x14ac:dyDescent="0.3">
      <c r="A27" s="1159" t="s">
        <v>869</v>
      </c>
      <c r="B27" s="1145">
        <v>50100</v>
      </c>
      <c r="C27" s="1145"/>
      <c r="D27" s="1145">
        <f t="shared" ref="D27:D38" si="1">SUM(B27:C27)</f>
        <v>50100</v>
      </c>
    </row>
    <row r="28" spans="1:5" s="1117" customFormat="1" ht="20.25" x14ac:dyDescent="0.3">
      <c r="A28" s="1146" t="s">
        <v>870</v>
      </c>
      <c r="B28" s="1145">
        <v>54600</v>
      </c>
      <c r="C28" s="1145"/>
      <c r="D28" s="1145">
        <f t="shared" si="1"/>
        <v>54600</v>
      </c>
    </row>
    <row r="29" spans="1:5" s="1117" customFormat="1" ht="20.25" x14ac:dyDescent="0.3">
      <c r="A29" s="1146" t="s">
        <v>871</v>
      </c>
      <c r="B29" s="1145">
        <v>42461</v>
      </c>
      <c r="C29" s="1145"/>
      <c r="D29" s="1145">
        <f t="shared" si="1"/>
        <v>42461</v>
      </c>
    </row>
    <row r="30" spans="1:5" s="1117" customFormat="1" ht="20.25" x14ac:dyDescent="0.3">
      <c r="A30" s="1160" t="s">
        <v>872</v>
      </c>
      <c r="B30" s="1145"/>
      <c r="C30" s="1145"/>
      <c r="D30" s="1145">
        <f t="shared" si="1"/>
        <v>0</v>
      </c>
    </row>
    <row r="31" spans="1:5" s="1117" customFormat="1" ht="20.25" x14ac:dyDescent="0.3">
      <c r="A31" s="1160" t="s">
        <v>873</v>
      </c>
      <c r="B31" s="1145">
        <v>1050</v>
      </c>
      <c r="C31" s="1145"/>
      <c r="D31" s="1145">
        <f t="shared" si="1"/>
        <v>1050</v>
      </c>
    </row>
    <row r="32" spans="1:5" s="1117" customFormat="1" ht="20.25" x14ac:dyDescent="0.3">
      <c r="A32" s="1160" t="s">
        <v>874</v>
      </c>
      <c r="B32" s="1145">
        <v>18900</v>
      </c>
      <c r="C32" s="1145"/>
      <c r="D32" s="1145">
        <f t="shared" si="1"/>
        <v>18900</v>
      </c>
    </row>
    <row r="33" spans="1:6" s="1117" customFormat="1" ht="20.25" x14ac:dyDescent="0.3">
      <c r="A33" s="1160" t="s">
        <v>875</v>
      </c>
      <c r="B33" s="1145">
        <v>17985</v>
      </c>
      <c r="C33" s="1145"/>
      <c r="D33" s="1145">
        <f t="shared" si="1"/>
        <v>17985</v>
      </c>
    </row>
    <row r="34" spans="1:6" s="1117" customFormat="1" ht="20.25" x14ac:dyDescent="0.3">
      <c r="A34" s="1160" t="s">
        <v>876</v>
      </c>
      <c r="B34" s="1145">
        <v>7000</v>
      </c>
      <c r="C34" s="1145"/>
      <c r="D34" s="1145">
        <f t="shared" si="1"/>
        <v>7000</v>
      </c>
    </row>
    <row r="35" spans="1:6" s="1117" customFormat="1" ht="20.25" x14ac:dyDescent="0.3">
      <c r="A35" s="1160" t="s">
        <v>877</v>
      </c>
      <c r="B35" s="1145">
        <v>183805</v>
      </c>
      <c r="C35" s="1145"/>
      <c r="D35" s="1145">
        <f t="shared" si="1"/>
        <v>183805</v>
      </c>
    </row>
    <row r="36" spans="1:6" s="1117" customFormat="1" ht="20.25" x14ac:dyDescent="0.3">
      <c r="A36" s="1160" t="s">
        <v>878</v>
      </c>
      <c r="B36" s="1145">
        <v>5188</v>
      </c>
      <c r="C36" s="1145"/>
      <c r="D36" s="1145">
        <f t="shared" si="1"/>
        <v>5188</v>
      </c>
    </row>
    <row r="37" spans="1:6" s="1117" customFormat="1" ht="20.25" x14ac:dyDescent="0.3">
      <c r="A37" s="1160" t="s">
        <v>879</v>
      </c>
      <c r="B37" s="1145">
        <v>5707</v>
      </c>
      <c r="C37" s="1145"/>
      <c r="D37" s="1145">
        <f t="shared" si="1"/>
        <v>5707</v>
      </c>
    </row>
    <row r="38" spans="1:6" s="1117" customFormat="1" ht="20.25" x14ac:dyDescent="0.3">
      <c r="A38" s="1160" t="s">
        <v>880</v>
      </c>
      <c r="B38" s="1145">
        <v>544</v>
      </c>
      <c r="C38" s="1145"/>
      <c r="D38" s="1145">
        <f t="shared" si="1"/>
        <v>544</v>
      </c>
      <c r="F38" s="1161"/>
    </row>
    <row r="39" spans="1:6" s="1117" customFormat="1" ht="20.25" x14ac:dyDescent="0.3">
      <c r="A39" s="1160" t="s">
        <v>881</v>
      </c>
      <c r="B39" s="1145"/>
      <c r="C39" s="1145"/>
      <c r="D39" s="1145"/>
    </row>
    <row r="40" spans="1:6" s="1117" customFormat="1" ht="20.25" x14ac:dyDescent="0.3">
      <c r="A40" s="1162" t="s">
        <v>882</v>
      </c>
      <c r="B40" s="1163">
        <f>SUM(B27:B39)</f>
        <v>387340</v>
      </c>
      <c r="C40" s="1163">
        <f>SUM(C27:C39)</f>
        <v>0</v>
      </c>
      <c r="D40" s="1163">
        <f>SUM(D27:D39)</f>
        <v>387340</v>
      </c>
      <c r="E40" s="1161"/>
    </row>
    <row r="41" spans="1:6" s="1117" customFormat="1" ht="31.5" x14ac:dyDescent="0.3">
      <c r="A41" s="1164" t="s">
        <v>883</v>
      </c>
      <c r="B41" s="1143"/>
      <c r="C41" s="1143"/>
      <c r="D41" s="1143"/>
    </row>
    <row r="42" spans="1:6" s="1117" customFormat="1" ht="32.25" customHeight="1" x14ac:dyDescent="0.3">
      <c r="A42" s="1146" t="s">
        <v>884</v>
      </c>
      <c r="B42" s="1145">
        <v>36485</v>
      </c>
      <c r="C42" s="1145"/>
      <c r="D42" s="1145">
        <f t="shared" ref="D42:D43" si="2">SUM(B42:C42)</f>
        <v>36485</v>
      </c>
    </row>
    <row r="43" spans="1:6" s="1117" customFormat="1" ht="36" customHeight="1" x14ac:dyDescent="0.3">
      <c r="A43" s="1160" t="s">
        <v>885</v>
      </c>
      <c r="B43" s="1165">
        <v>10360</v>
      </c>
      <c r="C43" s="1165"/>
      <c r="D43" s="1145">
        <f t="shared" si="2"/>
        <v>10360</v>
      </c>
    </row>
    <row r="44" spans="1:6" s="1117" customFormat="1" ht="36" customHeight="1" x14ac:dyDescent="0.3">
      <c r="A44" s="1162" t="s">
        <v>886</v>
      </c>
      <c r="B44" s="1163">
        <f>B42+B43</f>
        <v>46845</v>
      </c>
      <c r="C44" s="1163">
        <f>C42+C43</f>
        <v>0</v>
      </c>
      <c r="D44" s="1163">
        <f>D42+D43</f>
        <v>46845</v>
      </c>
      <c r="E44" s="1161"/>
    </row>
    <row r="45" spans="1:6" s="1117" customFormat="1" ht="36" customHeight="1" x14ac:dyDescent="0.3">
      <c r="A45" s="1166" t="s">
        <v>887</v>
      </c>
      <c r="B45" s="1143"/>
      <c r="C45" s="1143"/>
      <c r="D45" s="1143"/>
    </row>
    <row r="46" spans="1:6" s="1117" customFormat="1" ht="31.5" x14ac:dyDescent="0.3">
      <c r="A46" s="1146" t="s">
        <v>888</v>
      </c>
      <c r="B46" s="1145">
        <v>157798</v>
      </c>
      <c r="C46" s="1145"/>
      <c r="D46" s="1145">
        <f t="shared" ref="D46:D48" si="3">SUM(B46:C46)</f>
        <v>157798</v>
      </c>
    </row>
    <row r="47" spans="1:6" s="1117" customFormat="1" ht="20.25" x14ac:dyDescent="0.3">
      <c r="A47" s="1160" t="s">
        <v>889</v>
      </c>
      <c r="B47" s="1165">
        <v>119392</v>
      </c>
      <c r="C47" s="1165"/>
      <c r="D47" s="1145">
        <f t="shared" si="3"/>
        <v>119392</v>
      </c>
    </row>
    <row r="48" spans="1:6" s="1117" customFormat="1" ht="20.25" x14ac:dyDescent="0.3">
      <c r="A48" s="1167" t="s">
        <v>890</v>
      </c>
      <c r="B48" s="1145">
        <v>1982</v>
      </c>
      <c r="C48" s="1145"/>
      <c r="D48" s="1145">
        <f t="shared" si="3"/>
        <v>1982</v>
      </c>
    </row>
    <row r="49" spans="1:5" s="1117" customFormat="1" ht="20.25" x14ac:dyDescent="0.3">
      <c r="A49" s="1162" t="s">
        <v>891</v>
      </c>
      <c r="B49" s="1156">
        <f>B47+B48+B46</f>
        <v>279172</v>
      </c>
      <c r="C49" s="1168">
        <f>C47+C48+C46</f>
        <v>0</v>
      </c>
      <c r="D49" s="1156">
        <f>SUM(D46:D48)</f>
        <v>279172</v>
      </c>
      <c r="E49" s="1161"/>
    </row>
    <row r="50" spans="1:5" s="1117" customFormat="1" ht="48.75" thickBot="1" x14ac:dyDescent="0.35">
      <c r="A50" s="1169" t="s">
        <v>892</v>
      </c>
      <c r="B50" s="1170">
        <v>57936</v>
      </c>
      <c r="C50" s="1171"/>
      <c r="D50" s="1170">
        <f>SUM(B50:C50)</f>
        <v>57936</v>
      </c>
    </row>
    <row r="51" spans="1:5" s="1117" customFormat="1" ht="33" thickBot="1" x14ac:dyDescent="0.35">
      <c r="A51" s="1172" t="s">
        <v>893</v>
      </c>
      <c r="B51" s="1171"/>
      <c r="C51" s="1171">
        <v>6909</v>
      </c>
      <c r="D51" s="1171">
        <f>SUM(B51:C51)</f>
        <v>6909</v>
      </c>
    </row>
    <row r="52" spans="1:5" s="1117" customFormat="1" ht="21" thickBot="1" x14ac:dyDescent="0.35">
      <c r="A52" s="1172" t="s">
        <v>894</v>
      </c>
      <c r="B52" s="1171"/>
      <c r="C52" s="1171">
        <v>1738</v>
      </c>
      <c r="D52" s="1171">
        <f>SUM(B52:C52)</f>
        <v>1738</v>
      </c>
    </row>
    <row r="53" spans="1:5" ht="21" thickBot="1" x14ac:dyDescent="0.35">
      <c r="A53" s="1173" t="s">
        <v>895</v>
      </c>
      <c r="B53" s="1174">
        <f>B40+B44+B49+B50+B25+B52</f>
        <v>771293</v>
      </c>
      <c r="C53" s="1174">
        <f>C40+C44+C49+C50+C25+C52+C51</f>
        <v>38752</v>
      </c>
      <c r="D53" s="1174">
        <f>D40+D44+D49+D50+D25+D52+D51</f>
        <v>810045</v>
      </c>
      <c r="E53" s="1138"/>
    </row>
    <row r="54" spans="1:5" s="1139" customFormat="1" ht="41.25" customHeight="1" thickBot="1" x14ac:dyDescent="0.35">
      <c r="A54" s="1175" t="s">
        <v>455</v>
      </c>
      <c r="B54" s="1176">
        <f>B13+B23+B53</f>
        <v>2264309</v>
      </c>
      <c r="C54" s="1176">
        <f>C13+C23+C53</f>
        <v>44016</v>
      </c>
      <c r="D54" s="1176">
        <f>D13+D23+D53</f>
        <v>2308325</v>
      </c>
      <c r="E54" s="1138"/>
    </row>
    <row r="55" spans="1:5" s="1117" customFormat="1" ht="12.95" customHeight="1" x14ac:dyDescent="0.2">
      <c r="A55" s="1178"/>
    </row>
    <row r="56" spans="1:5" s="1117" customFormat="1" ht="36.75" customHeight="1" x14ac:dyDescent="0.2">
      <c r="A56" s="1179"/>
      <c r="B56" s="1161"/>
      <c r="C56" s="1161"/>
    </row>
    <row r="57" spans="1:5" s="1117" customFormat="1" ht="28.5" customHeight="1" x14ac:dyDescent="0.2">
      <c r="A57" s="1179"/>
      <c r="B57" s="1161"/>
      <c r="C57" s="1161"/>
    </row>
    <row r="58" spans="1:5" s="1117" customFormat="1" ht="30" customHeight="1" x14ac:dyDescent="0.2">
      <c r="A58" s="1179"/>
      <c r="B58" s="1161"/>
      <c r="C58" s="1161"/>
    </row>
    <row r="59" spans="1:5" s="1117" customFormat="1" ht="30.75" customHeight="1" x14ac:dyDescent="0.2">
      <c r="A59" s="1179"/>
      <c r="B59" s="1161"/>
      <c r="C59" s="1161"/>
    </row>
    <row r="60" spans="1:5" s="1117" customFormat="1" ht="12.95" customHeight="1" x14ac:dyDescent="0.2">
      <c r="A60" s="1178"/>
      <c r="B60" s="1161"/>
      <c r="C60" s="1161"/>
    </row>
    <row r="61" spans="1:5" s="1117" customFormat="1" ht="12.95" customHeight="1" x14ac:dyDescent="0.2">
      <c r="A61" s="1178"/>
      <c r="B61" s="1161"/>
      <c r="C61" s="1161"/>
    </row>
    <row r="62" spans="1:5" s="1117" customFormat="1" ht="12.95" customHeight="1" x14ac:dyDescent="0.2">
      <c r="A62" s="1178"/>
      <c r="B62" s="1161"/>
      <c r="C62" s="1161"/>
    </row>
    <row r="63" spans="1:5" s="1117" customFormat="1" ht="12.95" customHeight="1" x14ac:dyDescent="0.2">
      <c r="A63" s="1178"/>
      <c r="B63" s="1161"/>
      <c r="C63" s="1161"/>
    </row>
    <row r="64" spans="1:5" s="1117" customFormat="1" ht="12.95" customHeight="1" x14ac:dyDescent="0.2">
      <c r="A64" s="1178"/>
      <c r="B64" s="1161"/>
      <c r="C64" s="1161"/>
    </row>
    <row r="65" spans="1:4" s="1117" customFormat="1" ht="36" customHeight="1" x14ac:dyDescent="0.2">
      <c r="A65" s="1179"/>
      <c r="B65" s="1161"/>
      <c r="C65" s="1161"/>
    </row>
    <row r="66" spans="1:4" s="1117" customFormat="1" ht="17.25" customHeight="1" x14ac:dyDescent="0.2">
      <c r="A66" s="1178"/>
      <c r="B66" s="1161"/>
      <c r="C66" s="1161"/>
    </row>
    <row r="67" spans="1:4" s="1117" customFormat="1" ht="12.75" customHeight="1" x14ac:dyDescent="0.2">
      <c r="A67" s="1178"/>
      <c r="B67" s="1161"/>
      <c r="C67" s="1161"/>
    </row>
    <row r="68" spans="1:4" s="1117" customFormat="1" ht="12.95" customHeight="1" x14ac:dyDescent="0.2">
      <c r="A68" s="1178"/>
      <c r="B68" s="1161"/>
      <c r="C68" s="1161"/>
    </row>
    <row r="69" spans="1:4" s="1117" customFormat="1" ht="12.95" customHeight="1" x14ac:dyDescent="0.2">
      <c r="A69" s="1178"/>
      <c r="B69" s="1161"/>
      <c r="C69" s="1161"/>
    </row>
    <row r="70" spans="1:4" s="1117" customFormat="1" ht="12.95" customHeight="1" x14ac:dyDescent="0.2">
      <c r="A70" s="1178"/>
    </row>
    <row r="71" spans="1:4" s="1117" customFormat="1" ht="12.95" customHeight="1" x14ac:dyDescent="0.2">
      <c r="A71" s="1178"/>
    </row>
    <row r="72" spans="1:4" s="1117" customFormat="1" ht="12.95" customHeight="1" x14ac:dyDescent="0.2">
      <c r="A72" s="1178"/>
    </row>
    <row r="73" spans="1:4" s="1117" customFormat="1" ht="12.95" customHeight="1" x14ac:dyDescent="0.2">
      <c r="A73" s="1178"/>
    </row>
    <row r="74" spans="1:4" s="1117" customFormat="1" ht="18" x14ac:dyDescent="0.25">
      <c r="A74" s="1180"/>
      <c r="B74" s="1177"/>
      <c r="C74" s="1177"/>
      <c r="D74" s="1181"/>
    </row>
    <row r="75" spans="1:4" s="1117" customFormat="1" ht="18" x14ac:dyDescent="0.25">
      <c r="A75" s="1180"/>
      <c r="B75" s="1177"/>
      <c r="C75" s="1177"/>
      <c r="D75" s="1181"/>
    </row>
    <row r="76" spans="1:4" s="1117" customFormat="1" ht="18" x14ac:dyDescent="0.25">
      <c r="A76" s="1180"/>
      <c r="B76" s="1177"/>
      <c r="C76" s="1177"/>
      <c r="D76" s="1181"/>
    </row>
    <row r="77" spans="1:4" s="1117" customFormat="1" ht="18" x14ac:dyDescent="0.25">
      <c r="A77" s="1180"/>
      <c r="B77" s="1177"/>
      <c r="C77" s="1177"/>
      <c r="D77" s="1181"/>
    </row>
    <row r="78" spans="1:4" s="1117" customFormat="1" ht="18" x14ac:dyDescent="0.25">
      <c r="A78" s="1180"/>
      <c r="B78" s="1177"/>
      <c r="C78" s="1177"/>
      <c r="D78" s="1182"/>
    </row>
    <row r="79" spans="1:4" s="1117" customFormat="1" ht="12.95" customHeight="1" x14ac:dyDescent="0.2">
      <c r="A79" s="1178"/>
    </row>
    <row r="80" spans="1:4" s="1117" customFormat="1" ht="12.95" customHeight="1" x14ac:dyDescent="0.25">
      <c r="A80" s="1178"/>
      <c r="D80" s="1183"/>
    </row>
    <row r="81" spans="1:1" s="1117" customFormat="1" x14ac:dyDescent="0.2">
      <c r="A81" s="1178"/>
    </row>
    <row r="82" spans="1:1" s="1117" customFormat="1" x14ac:dyDescent="0.2">
      <c r="A82" s="1178"/>
    </row>
    <row r="83" spans="1:1" s="1117" customFormat="1" x14ac:dyDescent="0.2">
      <c r="A83" s="1178"/>
    </row>
    <row r="84" spans="1:1" s="1117" customFormat="1" x14ac:dyDescent="0.2">
      <c r="A84" s="1178"/>
    </row>
    <row r="85" spans="1:1" s="1117" customFormat="1" x14ac:dyDescent="0.2">
      <c r="A85" s="1178"/>
    </row>
    <row r="86" spans="1:1" s="1117" customFormat="1" x14ac:dyDescent="0.2">
      <c r="A86" s="1178"/>
    </row>
    <row r="87" spans="1:1" s="1117" customFormat="1" x14ac:dyDescent="0.2">
      <c r="A87" s="1178"/>
    </row>
    <row r="88" spans="1:1" s="1117" customFormat="1" x14ac:dyDescent="0.2">
      <c r="A88" s="1178"/>
    </row>
    <row r="89" spans="1:1" s="1117" customFormat="1" x14ac:dyDescent="0.2">
      <c r="A89" s="1178"/>
    </row>
    <row r="90" spans="1:1" s="1117" customFormat="1" x14ac:dyDescent="0.2">
      <c r="A90" s="1178"/>
    </row>
    <row r="91" spans="1:1" s="1117" customFormat="1" x14ac:dyDescent="0.2">
      <c r="A91" s="1178"/>
    </row>
    <row r="92" spans="1:1" s="1117" customFormat="1" x14ac:dyDescent="0.2">
      <c r="A92" s="1178"/>
    </row>
    <row r="93" spans="1:1" s="1117" customFormat="1" x14ac:dyDescent="0.2">
      <c r="A93" s="1178"/>
    </row>
    <row r="94" spans="1:1" s="1117" customFormat="1" x14ac:dyDescent="0.2">
      <c r="A94" s="1178"/>
    </row>
    <row r="95" spans="1:1" s="1117" customFormat="1" x14ac:dyDescent="0.2">
      <c r="A95" s="1178"/>
    </row>
    <row r="96" spans="1:1" s="1117" customFormat="1" x14ac:dyDescent="0.2">
      <c r="A96" s="1178"/>
    </row>
    <row r="97" spans="1:1" s="1117" customFormat="1" x14ac:dyDescent="0.2">
      <c r="A97" s="1178"/>
    </row>
    <row r="98" spans="1:1" s="1117" customFormat="1" x14ac:dyDescent="0.2">
      <c r="A98" s="1178"/>
    </row>
    <row r="99" spans="1:1" s="1117" customFormat="1" x14ac:dyDescent="0.2">
      <c r="A99" s="1178"/>
    </row>
    <row r="100" spans="1:1" s="1117" customFormat="1" x14ac:dyDescent="0.2">
      <c r="A100" s="1178"/>
    </row>
    <row r="101" spans="1:1" s="1117" customFormat="1" x14ac:dyDescent="0.2">
      <c r="A101" s="1178"/>
    </row>
    <row r="102" spans="1:1" s="1117" customFormat="1" x14ac:dyDescent="0.2">
      <c r="A102" s="1178"/>
    </row>
    <row r="103" spans="1:1" s="1117" customFormat="1" x14ac:dyDescent="0.2">
      <c r="A103" s="1178"/>
    </row>
    <row r="104" spans="1:1" s="1117" customFormat="1" x14ac:dyDescent="0.2">
      <c r="A104" s="1178"/>
    </row>
    <row r="105" spans="1:1" s="1117" customFormat="1" x14ac:dyDescent="0.2">
      <c r="A105" s="1178"/>
    </row>
    <row r="106" spans="1:1" s="1117" customFormat="1" x14ac:dyDescent="0.2">
      <c r="A106" s="1178"/>
    </row>
    <row r="107" spans="1:1" s="1117" customFormat="1" x14ac:dyDescent="0.2">
      <c r="A107" s="1178"/>
    </row>
    <row r="108" spans="1:1" s="1117" customFormat="1" x14ac:dyDescent="0.2">
      <c r="A108" s="1178"/>
    </row>
    <row r="109" spans="1:1" s="1117" customFormat="1" x14ac:dyDescent="0.2">
      <c r="A109" s="1178"/>
    </row>
  </sheetData>
  <mergeCells count="2">
    <mergeCell ref="A1:D1"/>
    <mergeCell ref="A2:D2"/>
  </mergeCells>
  <pageMargins left="0.7" right="0.7" top="0.75" bottom="0.75" header="0.3" footer="0.3"/>
  <pageSetup paperSize="9" scale="63" orientation="portrait" r:id="rId1"/>
  <headerFooter>
    <oddHeader>&amp;R&amp;"Times New Roman CE,Félkövér"&amp;12 5. melléklet a 12/2017. (V.3.) önkormányzati rendelethez
"5. melléklet a 4/2017. (III.7.) önkormányzati rendelethez"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zoomScale="50" zoomScaleNormal="50" zoomScaleSheetLayoutView="50" workbookViewId="0">
      <pane xSplit="1" ySplit="9" topLeftCell="B10" activePane="bottomRight" state="frozen"/>
      <selection activeCell="AL36" sqref="AL36"/>
      <selection pane="topRight" activeCell="AL36" sqref="AL36"/>
      <selection pane="bottomLeft" activeCell="AL36" sqref="AL36"/>
      <selection pane="bottomRight" activeCell="C15" sqref="C15"/>
    </sheetView>
  </sheetViews>
  <sheetFormatPr defaultRowHeight="26.45" customHeight="1" x14ac:dyDescent="0.6"/>
  <cols>
    <col min="1" max="1" width="186.33203125" style="897" customWidth="1"/>
    <col min="2" max="10" width="50" style="963" customWidth="1"/>
    <col min="11" max="11" width="186.33203125" style="897" customWidth="1"/>
    <col min="12" max="20" width="50" style="963" customWidth="1"/>
    <col min="21" max="21" width="186.33203125" style="897" customWidth="1"/>
    <col min="22" max="23" width="44.83203125" style="964" customWidth="1"/>
    <col min="24" max="24" width="49.83203125" style="964" customWidth="1"/>
    <col min="25" max="26" width="45" style="964" customWidth="1"/>
    <col min="27" max="27" width="50" style="964" customWidth="1"/>
    <col min="28" max="29" width="45" style="964" customWidth="1"/>
    <col min="30" max="30" width="50" style="964" customWidth="1"/>
    <col min="31" max="36" width="49.83203125" style="964" customWidth="1"/>
    <col min="37" max="37" width="34.1640625" style="965" customWidth="1"/>
    <col min="38" max="38" width="28.1640625" style="965" customWidth="1"/>
    <col min="39" max="39" width="40.83203125" style="965" customWidth="1"/>
    <col min="40" max="40" width="186.33203125" style="897" customWidth="1"/>
    <col min="41" max="16384" width="9.33203125" style="966"/>
  </cols>
  <sheetData>
    <row r="1" spans="1:40" ht="38.25" customHeight="1" x14ac:dyDescent="0.6"/>
    <row r="2" spans="1:40" ht="54" customHeight="1" x14ac:dyDescent="0.6">
      <c r="B2" s="1223" t="s">
        <v>432</v>
      </c>
      <c r="C2" s="1223"/>
      <c r="D2" s="1223"/>
      <c r="E2" s="1223"/>
      <c r="F2" s="1223"/>
      <c r="G2" s="1223"/>
      <c r="H2" s="1223"/>
      <c r="I2" s="1223"/>
      <c r="J2" s="1223"/>
      <c r="L2" s="1223" t="s">
        <v>432</v>
      </c>
      <c r="M2" s="1223"/>
      <c r="N2" s="1223"/>
      <c r="O2" s="1223"/>
      <c r="P2" s="1223"/>
      <c r="Q2" s="1223"/>
      <c r="R2" s="1223"/>
      <c r="S2" s="1223"/>
      <c r="T2" s="1223"/>
      <c r="V2" s="1223" t="s">
        <v>432</v>
      </c>
      <c r="W2" s="1223"/>
      <c r="X2" s="1223"/>
      <c r="Y2" s="1223"/>
      <c r="Z2" s="1223"/>
      <c r="AA2" s="1223"/>
      <c r="AB2" s="1223"/>
      <c r="AC2" s="1223"/>
      <c r="AD2" s="1223"/>
      <c r="AE2" s="1223"/>
      <c r="AF2" s="1223"/>
      <c r="AG2" s="1223"/>
      <c r="AH2" s="1223"/>
      <c r="AI2" s="1223"/>
      <c r="AJ2" s="1223"/>
      <c r="AK2" s="967"/>
      <c r="AL2" s="967"/>
      <c r="AM2" s="967"/>
    </row>
    <row r="3" spans="1:40" ht="54" customHeight="1" x14ac:dyDescent="0.6">
      <c r="A3" s="968"/>
      <c r="B3" s="1223" t="s">
        <v>811</v>
      </c>
      <c r="C3" s="1223"/>
      <c r="D3" s="1223"/>
      <c r="E3" s="1223"/>
      <c r="F3" s="1223"/>
      <c r="G3" s="1223"/>
      <c r="H3" s="1223"/>
      <c r="I3" s="1223"/>
      <c r="J3" s="1223"/>
      <c r="K3" s="968"/>
      <c r="L3" s="1223" t="s">
        <v>811</v>
      </c>
      <c r="M3" s="1223"/>
      <c r="N3" s="1223"/>
      <c r="O3" s="1223"/>
      <c r="P3" s="1223"/>
      <c r="Q3" s="1223"/>
      <c r="R3" s="1223"/>
      <c r="S3" s="1223"/>
      <c r="T3" s="1223"/>
      <c r="U3" s="968"/>
      <c r="V3" s="1223" t="s">
        <v>811</v>
      </c>
      <c r="W3" s="1223"/>
      <c r="X3" s="1223"/>
      <c r="Y3" s="1223"/>
      <c r="Z3" s="1223"/>
      <c r="AA3" s="1223"/>
      <c r="AB3" s="1223"/>
      <c r="AC3" s="1223"/>
      <c r="AD3" s="1223"/>
      <c r="AE3" s="1223"/>
      <c r="AF3" s="1223"/>
      <c r="AG3" s="1223"/>
      <c r="AH3" s="1223"/>
      <c r="AI3" s="1223"/>
      <c r="AJ3" s="1223"/>
      <c r="AK3" s="967"/>
      <c r="AL3" s="967"/>
      <c r="AM3" s="967"/>
      <c r="AN3" s="968"/>
    </row>
    <row r="4" spans="1:40" ht="62.25" customHeight="1" thickBot="1" x14ac:dyDescent="0.65">
      <c r="A4" s="964"/>
      <c r="K4" s="964"/>
      <c r="U4" s="964"/>
      <c r="AN4" s="964"/>
    </row>
    <row r="5" spans="1:40" s="970" customFormat="1" ht="55.5" customHeight="1" x14ac:dyDescent="0.6">
      <c r="A5" s="1203" t="s">
        <v>812</v>
      </c>
      <c r="B5" s="1205" t="s">
        <v>494</v>
      </c>
      <c r="C5" s="1206"/>
      <c r="D5" s="1207"/>
      <c r="E5" s="1205" t="s">
        <v>497</v>
      </c>
      <c r="F5" s="1206"/>
      <c r="G5" s="1207"/>
      <c r="H5" s="1205" t="s">
        <v>501</v>
      </c>
      <c r="I5" s="1206"/>
      <c r="J5" s="1207"/>
      <c r="K5" s="1203" t="s">
        <v>812</v>
      </c>
      <c r="L5" s="1205" t="s">
        <v>504</v>
      </c>
      <c r="M5" s="1206"/>
      <c r="N5" s="1207"/>
      <c r="O5" s="1205" t="s">
        <v>506</v>
      </c>
      <c r="P5" s="1206"/>
      <c r="Q5" s="1207"/>
      <c r="R5" s="1205" t="s">
        <v>465</v>
      </c>
      <c r="S5" s="1206"/>
      <c r="T5" s="1207"/>
      <c r="U5" s="1203" t="s">
        <v>812</v>
      </c>
      <c r="V5" s="1214" t="s">
        <v>813</v>
      </c>
      <c r="W5" s="1215"/>
      <c r="X5" s="1216"/>
      <c r="Y5" s="1214" t="s">
        <v>814</v>
      </c>
      <c r="Z5" s="1215"/>
      <c r="AA5" s="1216"/>
      <c r="AB5" s="1214" t="s">
        <v>515</v>
      </c>
      <c r="AC5" s="1215"/>
      <c r="AD5" s="1216"/>
      <c r="AE5" s="1214" t="s">
        <v>466</v>
      </c>
      <c r="AF5" s="1215"/>
      <c r="AG5" s="1216"/>
      <c r="AH5" s="1214" t="s">
        <v>815</v>
      </c>
      <c r="AI5" s="1215"/>
      <c r="AJ5" s="1216"/>
      <c r="AK5" s="969"/>
      <c r="AL5" s="969"/>
      <c r="AM5" s="969"/>
      <c r="AN5" s="1203" t="s">
        <v>812</v>
      </c>
    </row>
    <row r="6" spans="1:40" s="970" customFormat="1" ht="54" customHeight="1" x14ac:dyDescent="0.6">
      <c r="A6" s="1204"/>
      <c r="B6" s="1208"/>
      <c r="C6" s="1209"/>
      <c r="D6" s="1210"/>
      <c r="E6" s="1208"/>
      <c r="F6" s="1209"/>
      <c r="G6" s="1210"/>
      <c r="H6" s="1208"/>
      <c r="I6" s="1209"/>
      <c r="J6" s="1210"/>
      <c r="K6" s="1204"/>
      <c r="L6" s="1208"/>
      <c r="M6" s="1209"/>
      <c r="N6" s="1210"/>
      <c r="O6" s="1208"/>
      <c r="P6" s="1209"/>
      <c r="Q6" s="1210"/>
      <c r="R6" s="1208"/>
      <c r="S6" s="1209"/>
      <c r="T6" s="1210"/>
      <c r="U6" s="1204"/>
      <c r="V6" s="1217"/>
      <c r="W6" s="1218"/>
      <c r="X6" s="1219"/>
      <c r="Y6" s="1217"/>
      <c r="Z6" s="1218"/>
      <c r="AA6" s="1219"/>
      <c r="AB6" s="1217"/>
      <c r="AC6" s="1218"/>
      <c r="AD6" s="1219"/>
      <c r="AE6" s="1217"/>
      <c r="AF6" s="1218"/>
      <c r="AG6" s="1219"/>
      <c r="AH6" s="1217"/>
      <c r="AI6" s="1218"/>
      <c r="AJ6" s="1219"/>
      <c r="AK6" s="971"/>
      <c r="AL6" s="971"/>
      <c r="AM6" s="971"/>
      <c r="AN6" s="1204"/>
    </row>
    <row r="7" spans="1:40" s="973" customFormat="1" ht="94.5" customHeight="1" thickBot="1" x14ac:dyDescent="0.65">
      <c r="A7" s="972" t="s">
        <v>762</v>
      </c>
      <c r="B7" s="1211"/>
      <c r="C7" s="1212"/>
      <c r="D7" s="1213"/>
      <c r="E7" s="1211"/>
      <c r="F7" s="1212"/>
      <c r="G7" s="1213"/>
      <c r="H7" s="1211"/>
      <c r="I7" s="1212"/>
      <c r="J7" s="1213"/>
      <c r="K7" s="972" t="s">
        <v>762</v>
      </c>
      <c r="L7" s="1211"/>
      <c r="M7" s="1212"/>
      <c r="N7" s="1213"/>
      <c r="O7" s="1211"/>
      <c r="P7" s="1212"/>
      <c r="Q7" s="1213"/>
      <c r="R7" s="1211"/>
      <c r="S7" s="1212"/>
      <c r="T7" s="1213"/>
      <c r="U7" s="972" t="s">
        <v>762</v>
      </c>
      <c r="V7" s="1220"/>
      <c r="W7" s="1221"/>
      <c r="X7" s="1222"/>
      <c r="Y7" s="1220"/>
      <c r="Z7" s="1221"/>
      <c r="AA7" s="1222"/>
      <c r="AB7" s="1220"/>
      <c r="AC7" s="1221"/>
      <c r="AD7" s="1222"/>
      <c r="AE7" s="1220"/>
      <c r="AF7" s="1221"/>
      <c r="AG7" s="1222"/>
      <c r="AH7" s="1220"/>
      <c r="AI7" s="1221"/>
      <c r="AJ7" s="1222"/>
      <c r="AK7" s="971" t="s">
        <v>816</v>
      </c>
      <c r="AL7" s="971" t="s">
        <v>817</v>
      </c>
      <c r="AM7" s="971" t="s">
        <v>818</v>
      </c>
      <c r="AN7" s="972" t="s">
        <v>819</v>
      </c>
    </row>
    <row r="8" spans="1:40" s="973" customFormat="1" ht="148.5" customHeight="1" thickBot="1" x14ac:dyDescent="0.65">
      <c r="A8" s="974"/>
      <c r="B8" s="912" t="s">
        <v>765</v>
      </c>
      <c r="C8" s="912" t="s">
        <v>766</v>
      </c>
      <c r="D8" s="912" t="s">
        <v>767</v>
      </c>
      <c r="E8" s="912" t="s">
        <v>765</v>
      </c>
      <c r="F8" s="912" t="s">
        <v>766</v>
      </c>
      <c r="G8" s="912" t="s">
        <v>767</v>
      </c>
      <c r="H8" s="912" t="s">
        <v>765</v>
      </c>
      <c r="I8" s="912" t="s">
        <v>766</v>
      </c>
      <c r="J8" s="912" t="s">
        <v>767</v>
      </c>
      <c r="K8" s="974"/>
      <c r="L8" s="912" t="s">
        <v>765</v>
      </c>
      <c r="M8" s="912" t="s">
        <v>766</v>
      </c>
      <c r="N8" s="912" t="s">
        <v>767</v>
      </c>
      <c r="O8" s="912" t="s">
        <v>765</v>
      </c>
      <c r="P8" s="912" t="s">
        <v>766</v>
      </c>
      <c r="Q8" s="912" t="s">
        <v>767</v>
      </c>
      <c r="R8" s="912" t="s">
        <v>765</v>
      </c>
      <c r="S8" s="912" t="s">
        <v>766</v>
      </c>
      <c r="T8" s="912" t="s">
        <v>767</v>
      </c>
      <c r="U8" s="974"/>
      <c r="V8" s="912" t="s">
        <v>765</v>
      </c>
      <c r="W8" s="912" t="s">
        <v>766</v>
      </c>
      <c r="X8" s="912" t="s">
        <v>767</v>
      </c>
      <c r="Y8" s="912" t="s">
        <v>765</v>
      </c>
      <c r="Z8" s="912" t="s">
        <v>766</v>
      </c>
      <c r="AA8" s="912" t="s">
        <v>767</v>
      </c>
      <c r="AB8" s="912" t="s">
        <v>765</v>
      </c>
      <c r="AC8" s="912" t="s">
        <v>766</v>
      </c>
      <c r="AD8" s="912" t="s">
        <v>767</v>
      </c>
      <c r="AE8" s="912" t="s">
        <v>765</v>
      </c>
      <c r="AF8" s="912" t="s">
        <v>766</v>
      </c>
      <c r="AG8" s="912" t="s">
        <v>767</v>
      </c>
      <c r="AH8" s="912" t="s">
        <v>765</v>
      </c>
      <c r="AI8" s="912" t="s">
        <v>766</v>
      </c>
      <c r="AJ8" s="912" t="s">
        <v>767</v>
      </c>
      <c r="AK8" s="975" t="s">
        <v>820</v>
      </c>
      <c r="AL8" s="975" t="s">
        <v>821</v>
      </c>
      <c r="AM8" s="975"/>
      <c r="AN8" s="974"/>
    </row>
    <row r="9" spans="1:40" s="968" customFormat="1" ht="45.75" customHeight="1" x14ac:dyDescent="0.6">
      <c r="A9" s="913" t="s">
        <v>768</v>
      </c>
      <c r="B9" s="976"/>
      <c r="C9" s="976"/>
      <c r="D9" s="976"/>
      <c r="E9" s="976"/>
      <c r="F9" s="976"/>
      <c r="G9" s="976"/>
      <c r="H9" s="976"/>
      <c r="I9" s="976"/>
      <c r="J9" s="976"/>
      <c r="K9" s="913" t="s">
        <v>768</v>
      </c>
      <c r="L9" s="976"/>
      <c r="M9" s="976"/>
      <c r="N9" s="976"/>
      <c r="O9" s="976"/>
      <c r="P9" s="976"/>
      <c r="Q9" s="976"/>
      <c r="R9" s="976"/>
      <c r="S9" s="976"/>
      <c r="T9" s="976"/>
      <c r="U9" s="913" t="s">
        <v>768</v>
      </c>
      <c r="V9" s="977"/>
      <c r="W9" s="977"/>
      <c r="X9" s="977"/>
      <c r="Y9" s="977"/>
      <c r="Z9" s="977"/>
      <c r="AA9" s="977"/>
      <c r="AB9" s="976"/>
      <c r="AC9" s="976"/>
      <c r="AD9" s="976"/>
      <c r="AE9" s="977"/>
      <c r="AF9" s="977"/>
      <c r="AG9" s="977"/>
      <c r="AH9" s="977"/>
      <c r="AI9" s="977"/>
      <c r="AJ9" s="977"/>
      <c r="AK9" s="978"/>
      <c r="AL9" s="978"/>
      <c r="AM9" s="978"/>
      <c r="AN9" s="913" t="s">
        <v>768</v>
      </c>
    </row>
    <row r="10" spans="1:40" s="968" customFormat="1" ht="48.75" customHeight="1" x14ac:dyDescent="0.6">
      <c r="A10" s="916" t="s">
        <v>769</v>
      </c>
      <c r="B10" s="979">
        <f>[4]int.kiadások2017!B9</f>
        <v>116367</v>
      </c>
      <c r="C10" s="980">
        <f>2707+49</f>
        <v>2756</v>
      </c>
      <c r="D10" s="979">
        <f>SUM(B10:C10)</f>
        <v>119123</v>
      </c>
      <c r="E10" s="979">
        <f>[4]int.kiadások2017!C9</f>
        <v>27858</v>
      </c>
      <c r="F10" s="979">
        <f>601+9</f>
        <v>610</v>
      </c>
      <c r="G10" s="979">
        <f t="shared" ref="G10:G27" si="0">SUM(E10:F10)</f>
        <v>28468</v>
      </c>
      <c r="H10" s="979">
        <f>[4]int.kiadások2017!D9</f>
        <v>3834</v>
      </c>
      <c r="I10" s="979">
        <v>1372</v>
      </c>
      <c r="J10" s="979">
        <f>SUM(H10:I10)</f>
        <v>5206</v>
      </c>
      <c r="K10" s="916" t="s">
        <v>769</v>
      </c>
      <c r="L10" s="979">
        <f>[4]int.kiadások2017!E9</f>
        <v>0</v>
      </c>
      <c r="M10" s="979"/>
      <c r="N10" s="979">
        <f>SUM(L10:M10)</f>
        <v>0</v>
      </c>
      <c r="O10" s="979">
        <f>[4]int.kiadások2017!F9</f>
        <v>0</v>
      </c>
      <c r="P10" s="979"/>
      <c r="Q10" s="979">
        <f>SUM(O10:P10)</f>
        <v>0</v>
      </c>
      <c r="R10" s="979">
        <f>B10+E10+H10+L10+O10</f>
        <v>148059</v>
      </c>
      <c r="S10" s="979">
        <f>C10+F10+I10+M10+P10</f>
        <v>4738</v>
      </c>
      <c r="T10" s="979">
        <f>D10+G10+J10+N10+Q10</f>
        <v>152797</v>
      </c>
      <c r="U10" s="916" t="s">
        <v>769</v>
      </c>
      <c r="V10" s="979">
        <f>[4]int.kiadások2017!I9</f>
        <v>0</v>
      </c>
      <c r="W10" s="979">
        <f>1069</f>
        <v>1069</v>
      </c>
      <c r="X10" s="979">
        <f>SUM(V10:W10)</f>
        <v>1069</v>
      </c>
      <c r="Y10" s="979">
        <f>[4]int.kiadások2017!J9</f>
        <v>0</v>
      </c>
      <c r="Z10" s="979"/>
      <c r="AA10" s="979">
        <f>SUM(Y10:Z10)</f>
        <v>0</v>
      </c>
      <c r="AB10" s="979">
        <f>[4]int.kiadások2017!K9</f>
        <v>0</v>
      </c>
      <c r="AC10" s="979"/>
      <c r="AD10" s="979">
        <f>SUM(AB10:AC10)</f>
        <v>0</v>
      </c>
      <c r="AE10" s="979">
        <f>V10+Y10+AB10</f>
        <v>0</v>
      </c>
      <c r="AF10" s="979">
        <f>W10+Z10+AC10</f>
        <v>1069</v>
      </c>
      <c r="AG10" s="979">
        <f>X10+AA10+AD10</f>
        <v>1069</v>
      </c>
      <c r="AH10" s="979">
        <f t="shared" ref="AH10:AJ29" si="1">R10+AE10</f>
        <v>148059</v>
      </c>
      <c r="AI10" s="979">
        <f t="shared" si="1"/>
        <v>5807</v>
      </c>
      <c r="AJ10" s="979">
        <f t="shared" si="1"/>
        <v>153866</v>
      </c>
      <c r="AK10" s="981">
        <f>'4 intézményi bevétel'!AT10-AH10</f>
        <v>0</v>
      </c>
      <c r="AL10" s="981">
        <f>'4 intézményi bevétel'!AU10-'6 intézményi kiadás'!AI10</f>
        <v>0</v>
      </c>
      <c r="AM10" s="981">
        <f>'4 intézményi bevétel'!AV10-'6 intézményi kiadás'!AJ10</f>
        <v>0</v>
      </c>
      <c r="AN10" s="916" t="s">
        <v>769</v>
      </c>
    </row>
    <row r="11" spans="1:40" s="968" customFormat="1" ht="48.75" customHeight="1" x14ac:dyDescent="0.6">
      <c r="A11" s="918" t="s">
        <v>770</v>
      </c>
      <c r="B11" s="979">
        <f>[4]int.kiadások2017!B10</f>
        <v>76466</v>
      </c>
      <c r="C11" s="979">
        <f>3079+51</f>
        <v>3130</v>
      </c>
      <c r="D11" s="979">
        <f t="shared" ref="D11:D47" si="2">SUM(B11:C11)</f>
        <v>79596</v>
      </c>
      <c r="E11" s="979">
        <f>[4]int.kiadások2017!C10</f>
        <v>17273</v>
      </c>
      <c r="F11" s="979">
        <f>794+10</f>
        <v>804</v>
      </c>
      <c r="G11" s="979">
        <f t="shared" si="0"/>
        <v>18077</v>
      </c>
      <c r="H11" s="979">
        <f>[4]int.kiadások2017!D10</f>
        <v>2817</v>
      </c>
      <c r="I11" s="979">
        <f>211-7</f>
        <v>204</v>
      </c>
      <c r="J11" s="979">
        <f t="shared" ref="J11:J27" si="3">SUM(H11:I11)</f>
        <v>3021</v>
      </c>
      <c r="K11" s="918" t="s">
        <v>770</v>
      </c>
      <c r="L11" s="979">
        <f>[4]int.kiadások2017!E10</f>
        <v>0</v>
      </c>
      <c r="M11" s="979"/>
      <c r="N11" s="979">
        <f t="shared" ref="N11:N27" si="4">SUM(L11:M11)</f>
        <v>0</v>
      </c>
      <c r="O11" s="979">
        <f>[4]int.kiadások2017!F10</f>
        <v>0</v>
      </c>
      <c r="P11" s="979"/>
      <c r="Q11" s="979">
        <f t="shared" ref="Q11:Q27" si="5">SUM(O11:P11)</f>
        <v>0</v>
      </c>
      <c r="R11" s="979">
        <f t="shared" ref="R11:T27" si="6">B11+E11+H11+L11+O11</f>
        <v>96556</v>
      </c>
      <c r="S11" s="979">
        <f t="shared" si="6"/>
        <v>4138</v>
      </c>
      <c r="T11" s="979">
        <f t="shared" si="6"/>
        <v>100694</v>
      </c>
      <c r="U11" s="918" t="s">
        <v>770</v>
      </c>
      <c r="V11" s="979">
        <f>[4]int.kiadások2017!I10</f>
        <v>0</v>
      </c>
      <c r="W11" s="979">
        <f>10+7</f>
        <v>17</v>
      </c>
      <c r="X11" s="979">
        <f t="shared" ref="X11:X29" si="7">SUM(V11:W11)</f>
        <v>17</v>
      </c>
      <c r="Y11" s="979">
        <f>[4]int.kiadások2017!J10</f>
        <v>0</v>
      </c>
      <c r="Z11" s="979"/>
      <c r="AA11" s="979">
        <f t="shared" ref="AA11:AA27" si="8">SUM(Y11:Z11)</f>
        <v>0</v>
      </c>
      <c r="AB11" s="979">
        <f>[4]int.kiadások2017!K10</f>
        <v>0</v>
      </c>
      <c r="AC11" s="979"/>
      <c r="AD11" s="979">
        <f t="shared" ref="AD11:AD27" si="9">SUM(AB11:AC11)</f>
        <v>0</v>
      </c>
      <c r="AE11" s="979">
        <f t="shared" ref="AE11:AG27" si="10">V11+Y11+AB11</f>
        <v>0</v>
      </c>
      <c r="AF11" s="979">
        <f t="shared" si="10"/>
        <v>17</v>
      </c>
      <c r="AG11" s="979">
        <f t="shared" si="10"/>
        <v>17</v>
      </c>
      <c r="AH11" s="979">
        <f t="shared" si="1"/>
        <v>96556</v>
      </c>
      <c r="AI11" s="979">
        <f t="shared" si="1"/>
        <v>4155</v>
      </c>
      <c r="AJ11" s="979">
        <f t="shared" si="1"/>
        <v>100711</v>
      </c>
      <c r="AK11" s="981">
        <f>'4 intézményi bevétel'!AT11-'6 intézményi kiadás'!AH11</f>
        <v>0</v>
      </c>
      <c r="AL11" s="981">
        <f>'4 intézményi bevétel'!AU11-'6 intézményi kiadás'!AI11</f>
        <v>0</v>
      </c>
      <c r="AM11" s="981">
        <f>'4 intézményi bevétel'!AV11-'6 intézményi kiadás'!AJ11</f>
        <v>0</v>
      </c>
      <c r="AN11" s="918" t="s">
        <v>770</v>
      </c>
    </row>
    <row r="12" spans="1:40" s="968" customFormat="1" ht="48.75" customHeight="1" x14ac:dyDescent="0.6">
      <c r="A12" s="918" t="s">
        <v>771</v>
      </c>
      <c r="B12" s="979">
        <f>[4]int.kiadások2017!B11</f>
        <v>72889</v>
      </c>
      <c r="C12" s="979">
        <f>1451+43</f>
        <v>1494</v>
      </c>
      <c r="D12" s="979">
        <f t="shared" si="2"/>
        <v>74383</v>
      </c>
      <c r="E12" s="979">
        <f>[4]int.kiadások2017!C11</f>
        <v>16267</v>
      </c>
      <c r="F12" s="979">
        <f>324+9</f>
        <v>333</v>
      </c>
      <c r="G12" s="979">
        <f t="shared" si="0"/>
        <v>16600</v>
      </c>
      <c r="H12" s="979">
        <f>[4]int.kiadások2017!D11</f>
        <v>3334</v>
      </c>
      <c r="I12" s="979">
        <v>1013</v>
      </c>
      <c r="J12" s="979">
        <f t="shared" si="3"/>
        <v>4347</v>
      </c>
      <c r="K12" s="918" t="s">
        <v>771</v>
      </c>
      <c r="L12" s="979">
        <f>[4]int.kiadások2017!E11</f>
        <v>0</v>
      </c>
      <c r="M12" s="979"/>
      <c r="N12" s="979">
        <f t="shared" si="4"/>
        <v>0</v>
      </c>
      <c r="O12" s="979">
        <f>[4]int.kiadások2017!F11</f>
        <v>0</v>
      </c>
      <c r="P12" s="979"/>
      <c r="Q12" s="979">
        <f t="shared" si="5"/>
        <v>0</v>
      </c>
      <c r="R12" s="979">
        <f t="shared" si="6"/>
        <v>92490</v>
      </c>
      <c r="S12" s="979">
        <f t="shared" si="6"/>
        <v>2840</v>
      </c>
      <c r="T12" s="979">
        <f t="shared" si="6"/>
        <v>95330</v>
      </c>
      <c r="U12" s="918" t="s">
        <v>771</v>
      </c>
      <c r="V12" s="979">
        <f>[4]int.kiadások2017!I11</f>
        <v>0</v>
      </c>
      <c r="W12" s="979">
        <v>8</v>
      </c>
      <c r="X12" s="979">
        <f t="shared" si="7"/>
        <v>8</v>
      </c>
      <c r="Y12" s="979">
        <f>[4]int.kiadások2017!J11</f>
        <v>0</v>
      </c>
      <c r="Z12" s="979"/>
      <c r="AA12" s="979">
        <f t="shared" si="8"/>
        <v>0</v>
      </c>
      <c r="AB12" s="979">
        <f>[4]int.kiadások2017!K11</f>
        <v>0</v>
      </c>
      <c r="AC12" s="979"/>
      <c r="AD12" s="979">
        <f t="shared" si="9"/>
        <v>0</v>
      </c>
      <c r="AE12" s="979">
        <f t="shared" si="10"/>
        <v>0</v>
      </c>
      <c r="AF12" s="979">
        <f t="shared" si="10"/>
        <v>8</v>
      </c>
      <c r="AG12" s="979">
        <f t="shared" si="10"/>
        <v>8</v>
      </c>
      <c r="AH12" s="979">
        <f t="shared" si="1"/>
        <v>92490</v>
      </c>
      <c r="AI12" s="979">
        <f t="shared" si="1"/>
        <v>2848</v>
      </c>
      <c r="AJ12" s="979">
        <f t="shared" si="1"/>
        <v>95338</v>
      </c>
      <c r="AK12" s="981">
        <f>'4 intézményi bevétel'!AT12-'6 intézményi kiadás'!AH12</f>
        <v>0</v>
      </c>
      <c r="AL12" s="981">
        <f>'4 intézményi bevétel'!AU12-'6 intézményi kiadás'!AI12</f>
        <v>0</v>
      </c>
      <c r="AM12" s="981">
        <f>'4 intézményi bevétel'!AV12-'6 intézményi kiadás'!AJ12</f>
        <v>0</v>
      </c>
      <c r="AN12" s="918" t="s">
        <v>771</v>
      </c>
    </row>
    <row r="13" spans="1:40" s="968" customFormat="1" ht="48.75" customHeight="1" x14ac:dyDescent="0.6">
      <c r="A13" s="918" t="s">
        <v>772</v>
      </c>
      <c r="B13" s="979">
        <f>[4]int.kiadások2017!B12</f>
        <v>96734</v>
      </c>
      <c r="C13" s="979">
        <f>871+193</f>
        <v>1064</v>
      </c>
      <c r="D13" s="979">
        <f t="shared" si="2"/>
        <v>97798</v>
      </c>
      <c r="E13" s="979">
        <f>[4]int.kiadások2017!C12</f>
        <v>23093</v>
      </c>
      <c r="F13" s="979">
        <f>222+37</f>
        <v>259</v>
      </c>
      <c r="G13" s="979">
        <f t="shared" si="0"/>
        <v>23352</v>
      </c>
      <c r="H13" s="979">
        <f>[4]int.kiadások2017!D12</f>
        <v>3327</v>
      </c>
      <c r="I13" s="979">
        <f>1500-69</f>
        <v>1431</v>
      </c>
      <c r="J13" s="979">
        <f t="shared" si="3"/>
        <v>4758</v>
      </c>
      <c r="K13" s="918" t="s">
        <v>772</v>
      </c>
      <c r="L13" s="979">
        <f>[4]int.kiadások2017!E12</f>
        <v>0</v>
      </c>
      <c r="M13" s="979"/>
      <c r="N13" s="979">
        <f t="shared" si="4"/>
        <v>0</v>
      </c>
      <c r="O13" s="979">
        <f>[4]int.kiadások2017!F12</f>
        <v>0</v>
      </c>
      <c r="P13" s="979"/>
      <c r="Q13" s="979">
        <f t="shared" si="5"/>
        <v>0</v>
      </c>
      <c r="R13" s="979">
        <f t="shared" si="6"/>
        <v>123154</v>
      </c>
      <c r="S13" s="979">
        <f t="shared" si="6"/>
        <v>2754</v>
      </c>
      <c r="T13" s="979">
        <f t="shared" si="6"/>
        <v>125908</v>
      </c>
      <c r="U13" s="918" t="s">
        <v>772</v>
      </c>
      <c r="V13" s="979">
        <f>[4]int.kiadások2017!I12</f>
        <v>0</v>
      </c>
      <c r="W13" s="979">
        <v>69</v>
      </c>
      <c r="X13" s="979">
        <f t="shared" si="7"/>
        <v>69</v>
      </c>
      <c r="Y13" s="979">
        <f>[4]int.kiadások2017!J12</f>
        <v>0</v>
      </c>
      <c r="Z13" s="979"/>
      <c r="AA13" s="979">
        <f t="shared" si="8"/>
        <v>0</v>
      </c>
      <c r="AB13" s="979">
        <f>[4]int.kiadások2017!K12</f>
        <v>0</v>
      </c>
      <c r="AC13" s="979"/>
      <c r="AD13" s="979">
        <f t="shared" si="9"/>
        <v>0</v>
      </c>
      <c r="AE13" s="979">
        <f t="shared" si="10"/>
        <v>0</v>
      </c>
      <c r="AF13" s="979">
        <f t="shared" si="10"/>
        <v>69</v>
      </c>
      <c r="AG13" s="979">
        <f t="shared" si="10"/>
        <v>69</v>
      </c>
      <c r="AH13" s="979">
        <f t="shared" si="1"/>
        <v>123154</v>
      </c>
      <c r="AI13" s="979">
        <f t="shared" si="1"/>
        <v>2823</v>
      </c>
      <c r="AJ13" s="979">
        <f t="shared" si="1"/>
        <v>125977</v>
      </c>
      <c r="AK13" s="981">
        <f>'4 intézményi bevétel'!AT13-'6 intézményi kiadás'!AH13</f>
        <v>0</v>
      </c>
      <c r="AL13" s="981">
        <f>'4 intézményi bevétel'!AU13-'6 intézményi kiadás'!AI13</f>
        <v>0</v>
      </c>
      <c r="AM13" s="981">
        <f>'4 intézményi bevétel'!AV13-'6 intézményi kiadás'!AJ13</f>
        <v>0</v>
      </c>
      <c r="AN13" s="918" t="s">
        <v>772</v>
      </c>
    </row>
    <row r="14" spans="1:40" s="968" customFormat="1" ht="48.75" customHeight="1" x14ac:dyDescent="0.6">
      <c r="A14" s="918" t="s">
        <v>773</v>
      </c>
      <c r="B14" s="979">
        <f>[4]int.kiadások2017!B13</f>
        <v>83150</v>
      </c>
      <c r="C14" s="979">
        <f>2765+311</f>
        <v>3076</v>
      </c>
      <c r="D14" s="979">
        <f t="shared" si="2"/>
        <v>86226</v>
      </c>
      <c r="E14" s="979">
        <f>[4]int.kiadások2017!C13</f>
        <v>20020</v>
      </c>
      <c r="F14" s="979">
        <f>698+66</f>
        <v>764</v>
      </c>
      <c r="G14" s="979">
        <f t="shared" si="0"/>
        <v>20784</v>
      </c>
      <c r="H14" s="979">
        <f>[4]int.kiadások2017!D13</f>
        <v>3145</v>
      </c>
      <c r="I14" s="979">
        <f>286-6</f>
        <v>280</v>
      </c>
      <c r="J14" s="979">
        <f t="shared" si="3"/>
        <v>3425</v>
      </c>
      <c r="K14" s="918" t="s">
        <v>773</v>
      </c>
      <c r="L14" s="979">
        <f>[4]int.kiadások2017!E13</f>
        <v>0</v>
      </c>
      <c r="M14" s="979"/>
      <c r="N14" s="979">
        <f t="shared" si="4"/>
        <v>0</v>
      </c>
      <c r="O14" s="979">
        <f>[4]int.kiadások2017!F13</f>
        <v>0</v>
      </c>
      <c r="P14" s="979"/>
      <c r="Q14" s="979">
        <f t="shared" si="5"/>
        <v>0</v>
      </c>
      <c r="R14" s="979">
        <f t="shared" si="6"/>
        <v>106315</v>
      </c>
      <c r="S14" s="979">
        <f t="shared" si="6"/>
        <v>4120</v>
      </c>
      <c r="T14" s="979">
        <f t="shared" si="6"/>
        <v>110435</v>
      </c>
      <c r="U14" s="918" t="s">
        <v>773</v>
      </c>
      <c r="V14" s="979">
        <f>[4]int.kiadások2017!I13</f>
        <v>0</v>
      </c>
      <c r="W14" s="979">
        <f>9+6</f>
        <v>15</v>
      </c>
      <c r="X14" s="979">
        <f t="shared" si="7"/>
        <v>15</v>
      </c>
      <c r="Y14" s="979">
        <f>[4]int.kiadások2017!J13</f>
        <v>0</v>
      </c>
      <c r="Z14" s="979"/>
      <c r="AA14" s="979">
        <f t="shared" si="8"/>
        <v>0</v>
      </c>
      <c r="AB14" s="979">
        <f>[4]int.kiadások2017!K13</f>
        <v>0</v>
      </c>
      <c r="AC14" s="979"/>
      <c r="AD14" s="979">
        <f t="shared" si="9"/>
        <v>0</v>
      </c>
      <c r="AE14" s="979">
        <f t="shared" si="10"/>
        <v>0</v>
      </c>
      <c r="AF14" s="979">
        <f t="shared" si="10"/>
        <v>15</v>
      </c>
      <c r="AG14" s="979">
        <f t="shared" si="10"/>
        <v>15</v>
      </c>
      <c r="AH14" s="979">
        <f t="shared" si="1"/>
        <v>106315</v>
      </c>
      <c r="AI14" s="979">
        <f t="shared" si="1"/>
        <v>4135</v>
      </c>
      <c r="AJ14" s="979">
        <f t="shared" si="1"/>
        <v>110450</v>
      </c>
      <c r="AK14" s="981">
        <f>'4 intézményi bevétel'!AT14-'6 intézményi kiadás'!AH14</f>
        <v>0</v>
      </c>
      <c r="AL14" s="981">
        <f>'4 intézményi bevétel'!AU14-'6 intézményi kiadás'!AI14</f>
        <v>0</v>
      </c>
      <c r="AM14" s="981">
        <f>'4 intézményi bevétel'!AV14-'6 intézményi kiadás'!AJ14</f>
        <v>0</v>
      </c>
      <c r="AN14" s="918" t="s">
        <v>773</v>
      </c>
    </row>
    <row r="15" spans="1:40" s="968" customFormat="1" ht="48.75" customHeight="1" x14ac:dyDescent="0.6">
      <c r="A15" s="918" t="s">
        <v>774</v>
      </c>
      <c r="B15" s="979">
        <f>[4]int.kiadások2017!B14</f>
        <v>73918</v>
      </c>
      <c r="C15" s="979">
        <f>2483+201</f>
        <v>2684</v>
      </c>
      <c r="D15" s="979">
        <f t="shared" si="2"/>
        <v>76602</v>
      </c>
      <c r="E15" s="979">
        <f>[4]int.kiadások2017!C14</f>
        <v>16691</v>
      </c>
      <c r="F15" s="979">
        <f>588+38</f>
        <v>626</v>
      </c>
      <c r="G15" s="979">
        <f t="shared" si="0"/>
        <v>17317</v>
      </c>
      <c r="H15" s="979">
        <f>[4]int.kiadások2017!D14</f>
        <v>2950</v>
      </c>
      <c r="I15" s="979">
        <f>2903-827</f>
        <v>2076</v>
      </c>
      <c r="J15" s="979">
        <f t="shared" si="3"/>
        <v>5026</v>
      </c>
      <c r="K15" s="918" t="s">
        <v>774</v>
      </c>
      <c r="L15" s="979">
        <f>[4]int.kiadások2017!E14</f>
        <v>0</v>
      </c>
      <c r="M15" s="979"/>
      <c r="N15" s="979">
        <f t="shared" si="4"/>
        <v>0</v>
      </c>
      <c r="O15" s="979">
        <f>[4]int.kiadások2017!F14</f>
        <v>0</v>
      </c>
      <c r="P15" s="979"/>
      <c r="Q15" s="979">
        <f t="shared" si="5"/>
        <v>0</v>
      </c>
      <c r="R15" s="979">
        <f t="shared" si="6"/>
        <v>93559</v>
      </c>
      <c r="S15" s="979">
        <f t="shared" si="6"/>
        <v>5386</v>
      </c>
      <c r="T15" s="979">
        <f t="shared" si="6"/>
        <v>98945</v>
      </c>
      <c r="U15" s="918" t="s">
        <v>774</v>
      </c>
      <c r="V15" s="979">
        <f>[4]int.kiadások2017!I14</f>
        <v>0</v>
      </c>
      <c r="W15" s="979">
        <v>16</v>
      </c>
      <c r="X15" s="979">
        <f t="shared" si="7"/>
        <v>16</v>
      </c>
      <c r="Y15" s="979">
        <f>[4]int.kiadások2017!J14</f>
        <v>0</v>
      </c>
      <c r="Z15" s="979">
        <v>827</v>
      </c>
      <c r="AA15" s="979">
        <f t="shared" si="8"/>
        <v>827</v>
      </c>
      <c r="AB15" s="979">
        <f>[4]int.kiadások2017!K14</f>
        <v>0</v>
      </c>
      <c r="AC15" s="979"/>
      <c r="AD15" s="979">
        <f t="shared" si="9"/>
        <v>0</v>
      </c>
      <c r="AE15" s="979">
        <f t="shared" si="10"/>
        <v>0</v>
      </c>
      <c r="AF15" s="979">
        <f t="shared" si="10"/>
        <v>843</v>
      </c>
      <c r="AG15" s="979">
        <f t="shared" si="10"/>
        <v>843</v>
      </c>
      <c r="AH15" s="979">
        <f t="shared" si="1"/>
        <v>93559</v>
      </c>
      <c r="AI15" s="979">
        <f t="shared" si="1"/>
        <v>6229</v>
      </c>
      <c r="AJ15" s="979">
        <f t="shared" si="1"/>
        <v>99788</v>
      </c>
      <c r="AK15" s="981">
        <f>'4 intézményi bevétel'!AT15-'6 intézményi kiadás'!AH15</f>
        <v>0</v>
      </c>
      <c r="AL15" s="981">
        <f>'4 intézményi bevétel'!AU15-'6 intézményi kiadás'!AI15</f>
        <v>0</v>
      </c>
      <c r="AM15" s="981">
        <f>'4 intézményi bevétel'!AV15-'6 intézményi kiadás'!AJ15</f>
        <v>0</v>
      </c>
      <c r="AN15" s="918" t="s">
        <v>774</v>
      </c>
    </row>
    <row r="16" spans="1:40" s="968" customFormat="1" ht="48.75" customHeight="1" x14ac:dyDescent="0.6">
      <c r="A16" s="918" t="s">
        <v>776</v>
      </c>
      <c r="B16" s="979">
        <f>[4]int.kiadások2017!B15</f>
        <v>61689</v>
      </c>
      <c r="C16" s="979">
        <f>874+5</f>
        <v>879</v>
      </c>
      <c r="D16" s="979">
        <f t="shared" si="2"/>
        <v>62568</v>
      </c>
      <c r="E16" s="979">
        <f>[4]int.kiadások2017!C15</f>
        <v>13914</v>
      </c>
      <c r="F16" s="979">
        <v>228</v>
      </c>
      <c r="G16" s="979">
        <f t="shared" si="0"/>
        <v>14142</v>
      </c>
      <c r="H16" s="979">
        <f>[4]int.kiadások2017!D15</f>
        <v>2367</v>
      </c>
      <c r="I16" s="979">
        <f>304-268</f>
        <v>36</v>
      </c>
      <c r="J16" s="979">
        <f t="shared" si="3"/>
        <v>2403</v>
      </c>
      <c r="K16" s="918" t="s">
        <v>776</v>
      </c>
      <c r="L16" s="979">
        <f>[4]int.kiadások2017!E15</f>
        <v>0</v>
      </c>
      <c r="M16" s="979"/>
      <c r="N16" s="979">
        <f t="shared" si="4"/>
        <v>0</v>
      </c>
      <c r="O16" s="979">
        <f>[4]int.kiadások2017!F15</f>
        <v>0</v>
      </c>
      <c r="P16" s="979"/>
      <c r="Q16" s="979">
        <f t="shared" si="5"/>
        <v>0</v>
      </c>
      <c r="R16" s="979">
        <f t="shared" si="6"/>
        <v>77970</v>
      </c>
      <c r="S16" s="979">
        <f t="shared" si="6"/>
        <v>1143</v>
      </c>
      <c r="T16" s="979">
        <f t="shared" si="6"/>
        <v>79113</v>
      </c>
      <c r="U16" s="918" t="s">
        <v>776</v>
      </c>
      <c r="V16" s="979">
        <f>[4]int.kiadások2017!I15</f>
        <v>0</v>
      </c>
      <c r="W16" s="979">
        <f>245+88</f>
        <v>333</v>
      </c>
      <c r="X16" s="979">
        <f t="shared" si="7"/>
        <v>333</v>
      </c>
      <c r="Y16" s="979">
        <f>[4]int.kiadások2017!J15</f>
        <v>0</v>
      </c>
      <c r="Z16" s="979">
        <v>180</v>
      </c>
      <c r="AA16" s="979">
        <f t="shared" si="8"/>
        <v>180</v>
      </c>
      <c r="AB16" s="979">
        <f>[4]int.kiadások2017!K15</f>
        <v>0</v>
      </c>
      <c r="AC16" s="979"/>
      <c r="AD16" s="979">
        <f t="shared" si="9"/>
        <v>0</v>
      </c>
      <c r="AE16" s="979">
        <f t="shared" si="10"/>
        <v>0</v>
      </c>
      <c r="AF16" s="979">
        <f t="shared" si="10"/>
        <v>513</v>
      </c>
      <c r="AG16" s="979">
        <f t="shared" si="10"/>
        <v>513</v>
      </c>
      <c r="AH16" s="979">
        <f t="shared" si="1"/>
        <v>77970</v>
      </c>
      <c r="AI16" s="979">
        <f t="shared" si="1"/>
        <v>1656</v>
      </c>
      <c r="AJ16" s="979">
        <f t="shared" si="1"/>
        <v>79626</v>
      </c>
      <c r="AK16" s="981">
        <f>'4 intézményi bevétel'!AT16-'6 intézményi kiadás'!AH16</f>
        <v>0</v>
      </c>
      <c r="AL16" s="981">
        <f>'4 intézményi bevétel'!AU16-'6 intézményi kiadás'!AI16</f>
        <v>0</v>
      </c>
      <c r="AM16" s="981">
        <f>'4 intézményi bevétel'!AV16-'6 intézményi kiadás'!AJ16</f>
        <v>0</v>
      </c>
      <c r="AN16" s="918" t="s">
        <v>776</v>
      </c>
    </row>
    <row r="17" spans="1:43" s="968" customFormat="1" ht="48.75" customHeight="1" x14ac:dyDescent="0.6">
      <c r="A17" s="918" t="s">
        <v>777</v>
      </c>
      <c r="B17" s="979">
        <f>[4]int.kiadások2017!B16</f>
        <v>62905</v>
      </c>
      <c r="C17" s="979">
        <f>536+18</f>
        <v>554</v>
      </c>
      <c r="D17" s="979">
        <f t="shared" si="2"/>
        <v>63459</v>
      </c>
      <c r="E17" s="979">
        <f>[4]int.kiadások2017!C16</f>
        <v>14175</v>
      </c>
      <c r="F17" s="979">
        <f>133+3</f>
        <v>136</v>
      </c>
      <c r="G17" s="979">
        <f t="shared" si="0"/>
        <v>14311</v>
      </c>
      <c r="H17" s="979">
        <f>[4]int.kiadások2017!D16</f>
        <v>2509</v>
      </c>
      <c r="I17" s="979">
        <v>386</v>
      </c>
      <c r="J17" s="979">
        <f t="shared" si="3"/>
        <v>2895</v>
      </c>
      <c r="K17" s="918" t="s">
        <v>777</v>
      </c>
      <c r="L17" s="979">
        <f>[4]int.kiadások2017!E16</f>
        <v>0</v>
      </c>
      <c r="M17" s="979"/>
      <c r="N17" s="979">
        <f t="shared" si="4"/>
        <v>0</v>
      </c>
      <c r="O17" s="979">
        <f>[4]int.kiadások2017!F16</f>
        <v>0</v>
      </c>
      <c r="P17" s="979"/>
      <c r="Q17" s="979">
        <f t="shared" si="5"/>
        <v>0</v>
      </c>
      <c r="R17" s="979">
        <f t="shared" si="6"/>
        <v>79589</v>
      </c>
      <c r="S17" s="979">
        <f t="shared" si="6"/>
        <v>1076</v>
      </c>
      <c r="T17" s="979">
        <f t="shared" si="6"/>
        <v>80665</v>
      </c>
      <c r="U17" s="918" t="s">
        <v>777</v>
      </c>
      <c r="V17" s="979">
        <f>[4]int.kiadások2017!I16</f>
        <v>0</v>
      </c>
      <c r="W17" s="979">
        <v>3000</v>
      </c>
      <c r="X17" s="979">
        <f t="shared" si="7"/>
        <v>3000</v>
      </c>
      <c r="Y17" s="979">
        <f>[4]int.kiadások2017!J16</f>
        <v>0</v>
      </c>
      <c r="Z17" s="979">
        <v>1523</v>
      </c>
      <c r="AA17" s="979">
        <f t="shared" si="8"/>
        <v>1523</v>
      </c>
      <c r="AB17" s="979">
        <f>[4]int.kiadások2017!K16</f>
        <v>0</v>
      </c>
      <c r="AC17" s="979"/>
      <c r="AD17" s="979">
        <f t="shared" si="9"/>
        <v>0</v>
      </c>
      <c r="AE17" s="979">
        <f t="shared" si="10"/>
        <v>0</v>
      </c>
      <c r="AF17" s="979">
        <f t="shared" si="10"/>
        <v>4523</v>
      </c>
      <c r="AG17" s="979">
        <f t="shared" si="10"/>
        <v>4523</v>
      </c>
      <c r="AH17" s="979">
        <f t="shared" si="1"/>
        <v>79589</v>
      </c>
      <c r="AI17" s="979">
        <f t="shared" si="1"/>
        <v>5599</v>
      </c>
      <c r="AJ17" s="979">
        <f t="shared" si="1"/>
        <v>85188</v>
      </c>
      <c r="AK17" s="981">
        <f>'4 intézményi bevétel'!AT17-'6 intézményi kiadás'!AH17</f>
        <v>0</v>
      </c>
      <c r="AL17" s="981">
        <f>'4 intézményi bevétel'!AU17-'6 intézményi kiadás'!AI17</f>
        <v>0</v>
      </c>
      <c r="AM17" s="981">
        <f>'4 intézményi bevétel'!AV17-'6 intézményi kiadás'!AJ17</f>
        <v>0</v>
      </c>
      <c r="AN17" s="918" t="s">
        <v>777</v>
      </c>
    </row>
    <row r="18" spans="1:43" s="968" customFormat="1" ht="48.75" customHeight="1" x14ac:dyDescent="0.6">
      <c r="A18" s="918" t="s">
        <v>778</v>
      </c>
      <c r="B18" s="979">
        <f>[4]int.kiadások2017!B17</f>
        <v>89964</v>
      </c>
      <c r="C18" s="979">
        <f>2903+99</f>
        <v>3002</v>
      </c>
      <c r="D18" s="979">
        <f t="shared" si="2"/>
        <v>92966</v>
      </c>
      <c r="E18" s="979">
        <f>[4]int.kiadások2017!C17</f>
        <v>21447</v>
      </c>
      <c r="F18" s="979">
        <f>686+19</f>
        <v>705</v>
      </c>
      <c r="G18" s="979">
        <f t="shared" si="0"/>
        <v>22152</v>
      </c>
      <c r="H18" s="979">
        <f>[4]int.kiadások2017!D17</f>
        <v>3262</v>
      </c>
      <c r="I18" s="979">
        <f>609-37</f>
        <v>572</v>
      </c>
      <c r="J18" s="979">
        <f t="shared" si="3"/>
        <v>3834</v>
      </c>
      <c r="K18" s="918" t="s">
        <v>778</v>
      </c>
      <c r="L18" s="979">
        <f>[4]int.kiadások2017!E17</f>
        <v>0</v>
      </c>
      <c r="M18" s="979"/>
      <c r="N18" s="979">
        <f t="shared" si="4"/>
        <v>0</v>
      </c>
      <c r="O18" s="979">
        <f>[4]int.kiadások2017!F17</f>
        <v>0</v>
      </c>
      <c r="P18" s="979"/>
      <c r="Q18" s="979">
        <f t="shared" si="5"/>
        <v>0</v>
      </c>
      <c r="R18" s="979">
        <f t="shared" si="6"/>
        <v>114673</v>
      </c>
      <c r="S18" s="979">
        <f t="shared" si="6"/>
        <v>4279</v>
      </c>
      <c r="T18" s="979">
        <f t="shared" si="6"/>
        <v>118952</v>
      </c>
      <c r="U18" s="918" t="s">
        <v>778</v>
      </c>
      <c r="V18" s="979">
        <f>[4]int.kiadások2017!I17</f>
        <v>0</v>
      </c>
      <c r="W18" s="979">
        <f>25+37</f>
        <v>62</v>
      </c>
      <c r="X18" s="979">
        <f t="shared" si="7"/>
        <v>62</v>
      </c>
      <c r="Y18" s="979">
        <f>[4]int.kiadások2017!J17</f>
        <v>0</v>
      </c>
      <c r="Z18" s="979"/>
      <c r="AA18" s="979">
        <f t="shared" si="8"/>
        <v>0</v>
      </c>
      <c r="AB18" s="979">
        <f>[4]int.kiadások2017!K17</f>
        <v>0</v>
      </c>
      <c r="AC18" s="979"/>
      <c r="AD18" s="979">
        <f t="shared" si="9"/>
        <v>0</v>
      </c>
      <c r="AE18" s="979">
        <f t="shared" si="10"/>
        <v>0</v>
      </c>
      <c r="AF18" s="979">
        <f t="shared" si="10"/>
        <v>62</v>
      </c>
      <c r="AG18" s="979">
        <f t="shared" si="10"/>
        <v>62</v>
      </c>
      <c r="AH18" s="979">
        <f t="shared" si="1"/>
        <v>114673</v>
      </c>
      <c r="AI18" s="979">
        <f t="shared" si="1"/>
        <v>4341</v>
      </c>
      <c r="AJ18" s="979">
        <f t="shared" si="1"/>
        <v>119014</v>
      </c>
      <c r="AK18" s="981">
        <f>'4 intézményi bevétel'!AT18-'6 intézményi kiadás'!AH18</f>
        <v>0</v>
      </c>
      <c r="AL18" s="981">
        <f>'4 intézményi bevétel'!AU18-'6 intézményi kiadás'!AI18</f>
        <v>0</v>
      </c>
      <c r="AM18" s="981">
        <f>'4 intézményi bevétel'!AV18-'6 intézményi kiadás'!AJ18</f>
        <v>0</v>
      </c>
      <c r="AN18" s="918" t="s">
        <v>778</v>
      </c>
    </row>
    <row r="19" spans="1:43" s="968" customFormat="1" ht="48.75" customHeight="1" x14ac:dyDescent="0.6">
      <c r="A19" s="918" t="s">
        <v>779</v>
      </c>
      <c r="B19" s="979">
        <f>[4]int.kiadások2017!B18</f>
        <v>102087</v>
      </c>
      <c r="C19" s="979">
        <f>1884+66</f>
        <v>1950</v>
      </c>
      <c r="D19" s="979">
        <f t="shared" si="2"/>
        <v>104037</v>
      </c>
      <c r="E19" s="979">
        <f>[4]int.kiadások2017!C18</f>
        <v>24340</v>
      </c>
      <c r="F19" s="979">
        <f>438+12</f>
        <v>450</v>
      </c>
      <c r="G19" s="979">
        <f t="shared" si="0"/>
        <v>24790</v>
      </c>
      <c r="H19" s="979">
        <f>[4]int.kiadások2017!D18</f>
        <v>3491</v>
      </c>
      <c r="I19" s="979">
        <f>865-199</f>
        <v>666</v>
      </c>
      <c r="J19" s="979">
        <f t="shared" si="3"/>
        <v>4157</v>
      </c>
      <c r="K19" s="918" t="s">
        <v>779</v>
      </c>
      <c r="L19" s="979">
        <f>[4]int.kiadások2017!E18</f>
        <v>0</v>
      </c>
      <c r="M19" s="979"/>
      <c r="N19" s="979">
        <f t="shared" si="4"/>
        <v>0</v>
      </c>
      <c r="O19" s="979">
        <f>[4]int.kiadások2017!F18</f>
        <v>0</v>
      </c>
      <c r="P19" s="979"/>
      <c r="Q19" s="979">
        <f t="shared" si="5"/>
        <v>0</v>
      </c>
      <c r="R19" s="979">
        <f t="shared" si="6"/>
        <v>129918</v>
      </c>
      <c r="S19" s="979">
        <f t="shared" si="6"/>
        <v>3066</v>
      </c>
      <c r="T19" s="979">
        <f t="shared" si="6"/>
        <v>132984</v>
      </c>
      <c r="U19" s="918" t="s">
        <v>779</v>
      </c>
      <c r="V19" s="979">
        <f>[4]int.kiadások2017!I18</f>
        <v>0</v>
      </c>
      <c r="W19" s="979">
        <f>859+1282+194</f>
        <v>2335</v>
      </c>
      <c r="X19" s="979">
        <f t="shared" si="7"/>
        <v>2335</v>
      </c>
      <c r="Y19" s="979">
        <f>[4]int.kiadások2017!J18</f>
        <v>0</v>
      </c>
      <c r="Z19" s="979">
        <v>5</v>
      </c>
      <c r="AA19" s="979">
        <f t="shared" si="8"/>
        <v>5</v>
      </c>
      <c r="AB19" s="979">
        <f>[4]int.kiadások2017!K18</f>
        <v>0</v>
      </c>
      <c r="AC19" s="979"/>
      <c r="AD19" s="979">
        <f t="shared" si="9"/>
        <v>0</v>
      </c>
      <c r="AE19" s="979">
        <f t="shared" si="10"/>
        <v>0</v>
      </c>
      <c r="AF19" s="979">
        <f t="shared" si="10"/>
        <v>2340</v>
      </c>
      <c r="AG19" s="979">
        <f t="shared" si="10"/>
        <v>2340</v>
      </c>
      <c r="AH19" s="979">
        <f t="shared" si="1"/>
        <v>129918</v>
      </c>
      <c r="AI19" s="979">
        <f t="shared" si="1"/>
        <v>5406</v>
      </c>
      <c r="AJ19" s="979">
        <f t="shared" si="1"/>
        <v>135324</v>
      </c>
      <c r="AK19" s="981">
        <f>'4 intézményi bevétel'!AT19-'6 intézményi kiadás'!AH19</f>
        <v>0</v>
      </c>
      <c r="AL19" s="981">
        <f>'4 intézményi bevétel'!AU19-'6 intézményi kiadás'!AI19</f>
        <v>0</v>
      </c>
      <c r="AM19" s="981">
        <f>'4 intézményi bevétel'!AV19-'6 intézményi kiadás'!AJ19</f>
        <v>0</v>
      </c>
      <c r="AN19" s="918" t="s">
        <v>779</v>
      </c>
    </row>
    <row r="20" spans="1:43" s="968" customFormat="1" ht="48.75" customHeight="1" x14ac:dyDescent="0.6">
      <c r="A20" s="918" t="s">
        <v>780</v>
      </c>
      <c r="B20" s="979">
        <f>[4]int.kiadások2017!B19</f>
        <v>49767</v>
      </c>
      <c r="C20" s="979">
        <f>1450+63</f>
        <v>1513</v>
      </c>
      <c r="D20" s="979">
        <f t="shared" si="2"/>
        <v>51280</v>
      </c>
      <c r="E20" s="979">
        <f>[4]int.kiadások2017!C19</f>
        <v>11213</v>
      </c>
      <c r="F20" s="979">
        <f>342+11</f>
        <v>353</v>
      </c>
      <c r="G20" s="979">
        <f t="shared" si="0"/>
        <v>11566</v>
      </c>
      <c r="H20" s="979">
        <f>[4]int.kiadások2017!D19</f>
        <v>2244</v>
      </c>
      <c r="I20" s="979">
        <f>356-24</f>
        <v>332</v>
      </c>
      <c r="J20" s="979">
        <f t="shared" si="3"/>
        <v>2576</v>
      </c>
      <c r="K20" s="918" t="s">
        <v>780</v>
      </c>
      <c r="L20" s="979">
        <f>[4]int.kiadások2017!E19</f>
        <v>0</v>
      </c>
      <c r="M20" s="979"/>
      <c r="N20" s="979">
        <f t="shared" si="4"/>
        <v>0</v>
      </c>
      <c r="O20" s="979">
        <f>[4]int.kiadások2017!F19</f>
        <v>0</v>
      </c>
      <c r="P20" s="979"/>
      <c r="Q20" s="979">
        <f t="shared" si="5"/>
        <v>0</v>
      </c>
      <c r="R20" s="979">
        <f t="shared" si="6"/>
        <v>63224</v>
      </c>
      <c r="S20" s="979">
        <f t="shared" si="6"/>
        <v>2198</v>
      </c>
      <c r="T20" s="979">
        <f t="shared" si="6"/>
        <v>65422</v>
      </c>
      <c r="U20" s="918" t="s">
        <v>780</v>
      </c>
      <c r="V20" s="979">
        <f>[4]int.kiadások2017!I19</f>
        <v>0</v>
      </c>
      <c r="W20" s="979">
        <v>24</v>
      </c>
      <c r="X20" s="979">
        <f t="shared" si="7"/>
        <v>24</v>
      </c>
      <c r="Y20" s="979">
        <f>[4]int.kiadások2017!J19</f>
        <v>0</v>
      </c>
      <c r="Z20" s="979"/>
      <c r="AA20" s="979">
        <f t="shared" si="8"/>
        <v>0</v>
      </c>
      <c r="AB20" s="979">
        <f>[4]int.kiadások2017!K19</f>
        <v>0</v>
      </c>
      <c r="AC20" s="979"/>
      <c r="AD20" s="979">
        <f t="shared" si="9"/>
        <v>0</v>
      </c>
      <c r="AE20" s="979">
        <f t="shared" si="10"/>
        <v>0</v>
      </c>
      <c r="AF20" s="979">
        <f t="shared" si="10"/>
        <v>24</v>
      </c>
      <c r="AG20" s="979">
        <f t="shared" si="10"/>
        <v>24</v>
      </c>
      <c r="AH20" s="979">
        <f t="shared" si="1"/>
        <v>63224</v>
      </c>
      <c r="AI20" s="979">
        <f t="shared" si="1"/>
        <v>2222</v>
      </c>
      <c r="AJ20" s="979">
        <f t="shared" si="1"/>
        <v>65446</v>
      </c>
      <c r="AK20" s="981">
        <f>'4 intézményi bevétel'!AT20-'6 intézményi kiadás'!AH20</f>
        <v>0</v>
      </c>
      <c r="AL20" s="981">
        <f>'4 intézményi bevétel'!AU20-'6 intézményi kiadás'!AI20</f>
        <v>0</v>
      </c>
      <c r="AM20" s="981">
        <f>'4 intézményi bevétel'!AV20-'6 intézményi kiadás'!AJ20</f>
        <v>0</v>
      </c>
      <c r="AN20" s="918" t="s">
        <v>780</v>
      </c>
    </row>
    <row r="21" spans="1:43" s="968" customFormat="1" ht="48.75" customHeight="1" x14ac:dyDescent="0.6">
      <c r="A21" s="918" t="s">
        <v>781</v>
      </c>
      <c r="B21" s="979">
        <f>[4]int.kiadások2017!B20</f>
        <v>42773</v>
      </c>
      <c r="C21" s="979">
        <f>1126+205</f>
        <v>1331</v>
      </c>
      <c r="D21" s="979">
        <f t="shared" si="2"/>
        <v>44104</v>
      </c>
      <c r="E21" s="979">
        <f>[4]int.kiadások2017!C20</f>
        <v>9568</v>
      </c>
      <c r="F21" s="979">
        <f>266+45</f>
        <v>311</v>
      </c>
      <c r="G21" s="979">
        <f t="shared" si="0"/>
        <v>9879</v>
      </c>
      <c r="H21" s="979">
        <f>[4]int.kiadások2017!D20</f>
        <v>2156</v>
      </c>
      <c r="I21" s="979">
        <f>861-30</f>
        <v>831</v>
      </c>
      <c r="J21" s="979">
        <f t="shared" si="3"/>
        <v>2987</v>
      </c>
      <c r="K21" s="918" t="s">
        <v>781</v>
      </c>
      <c r="L21" s="979">
        <f>[4]int.kiadások2017!E20</f>
        <v>0</v>
      </c>
      <c r="M21" s="979"/>
      <c r="N21" s="979">
        <f t="shared" si="4"/>
        <v>0</v>
      </c>
      <c r="O21" s="979">
        <f>[4]int.kiadások2017!F20</f>
        <v>0</v>
      </c>
      <c r="P21" s="979"/>
      <c r="Q21" s="979">
        <f t="shared" si="5"/>
        <v>0</v>
      </c>
      <c r="R21" s="979">
        <f t="shared" si="6"/>
        <v>54497</v>
      </c>
      <c r="S21" s="979">
        <f t="shared" si="6"/>
        <v>2473</v>
      </c>
      <c r="T21" s="979">
        <f t="shared" si="6"/>
        <v>56970</v>
      </c>
      <c r="U21" s="918" t="s">
        <v>781</v>
      </c>
      <c r="V21" s="979">
        <f>[4]int.kiadások2017!I20</f>
        <v>0</v>
      </c>
      <c r="W21" s="979">
        <v>30</v>
      </c>
      <c r="X21" s="979">
        <f t="shared" si="7"/>
        <v>30</v>
      </c>
      <c r="Y21" s="979">
        <f>[4]int.kiadások2017!J20</f>
        <v>0</v>
      </c>
      <c r="Z21" s="979">
        <v>2455</v>
      </c>
      <c r="AA21" s="979">
        <f t="shared" si="8"/>
        <v>2455</v>
      </c>
      <c r="AB21" s="979">
        <f>[4]int.kiadások2017!K20</f>
        <v>0</v>
      </c>
      <c r="AC21" s="979"/>
      <c r="AD21" s="979">
        <f t="shared" si="9"/>
        <v>0</v>
      </c>
      <c r="AE21" s="979">
        <f t="shared" si="10"/>
        <v>0</v>
      </c>
      <c r="AF21" s="979">
        <f t="shared" si="10"/>
        <v>2485</v>
      </c>
      <c r="AG21" s="979">
        <f t="shared" si="10"/>
        <v>2485</v>
      </c>
      <c r="AH21" s="979">
        <f t="shared" si="1"/>
        <v>54497</v>
      </c>
      <c r="AI21" s="979">
        <f t="shared" si="1"/>
        <v>4958</v>
      </c>
      <c r="AJ21" s="979">
        <f t="shared" si="1"/>
        <v>59455</v>
      </c>
      <c r="AK21" s="981">
        <f>'4 intézményi bevétel'!AT21-'6 intézményi kiadás'!AH21</f>
        <v>0</v>
      </c>
      <c r="AL21" s="981">
        <f>'4 intézményi bevétel'!AU21-'6 intézményi kiadás'!AI21</f>
        <v>0</v>
      </c>
      <c r="AM21" s="981">
        <f>'4 intézményi bevétel'!AV21-'6 intézményi kiadás'!AJ21</f>
        <v>0</v>
      </c>
      <c r="AN21" s="918" t="s">
        <v>781</v>
      </c>
    </row>
    <row r="22" spans="1:43" s="968" customFormat="1" ht="48.75" customHeight="1" x14ac:dyDescent="0.6">
      <c r="A22" s="918" t="s">
        <v>782</v>
      </c>
      <c r="B22" s="979">
        <f>[4]int.kiadások2017!B21</f>
        <v>51294</v>
      </c>
      <c r="C22" s="979">
        <f>363+50</f>
        <v>413</v>
      </c>
      <c r="D22" s="979">
        <f t="shared" si="2"/>
        <v>51707</v>
      </c>
      <c r="E22" s="979">
        <f>[4]int.kiadások2017!C21</f>
        <v>11612</v>
      </c>
      <c r="F22" s="979">
        <f>88+10</f>
        <v>98</v>
      </c>
      <c r="G22" s="979">
        <f t="shared" si="0"/>
        <v>11710</v>
      </c>
      <c r="H22" s="979">
        <f>[4]int.kiadások2017!D21</f>
        <v>2645</v>
      </c>
      <c r="I22" s="979">
        <f>956-141</f>
        <v>815</v>
      </c>
      <c r="J22" s="979">
        <f t="shared" si="3"/>
        <v>3460</v>
      </c>
      <c r="K22" s="918" t="s">
        <v>782</v>
      </c>
      <c r="L22" s="979">
        <f>[4]int.kiadások2017!E21</f>
        <v>0</v>
      </c>
      <c r="M22" s="979"/>
      <c r="N22" s="979">
        <f t="shared" si="4"/>
        <v>0</v>
      </c>
      <c r="O22" s="979">
        <f>[4]int.kiadások2017!F21</f>
        <v>0</v>
      </c>
      <c r="P22" s="979"/>
      <c r="Q22" s="979">
        <f t="shared" si="5"/>
        <v>0</v>
      </c>
      <c r="R22" s="979">
        <f t="shared" si="6"/>
        <v>65551</v>
      </c>
      <c r="S22" s="979">
        <f t="shared" si="6"/>
        <v>1326</v>
      </c>
      <c r="T22" s="979">
        <f t="shared" si="6"/>
        <v>66877</v>
      </c>
      <c r="U22" s="918" t="s">
        <v>782</v>
      </c>
      <c r="V22" s="979">
        <f>[4]int.kiadások2017!I21</f>
        <v>0</v>
      </c>
      <c r="W22" s="979">
        <f>502+140</f>
        <v>642</v>
      </c>
      <c r="X22" s="979">
        <f t="shared" si="7"/>
        <v>642</v>
      </c>
      <c r="Y22" s="979">
        <f>[4]int.kiadások2017!J21</f>
        <v>0</v>
      </c>
      <c r="Z22" s="979">
        <v>1</v>
      </c>
      <c r="AA22" s="979">
        <f t="shared" si="8"/>
        <v>1</v>
      </c>
      <c r="AB22" s="979">
        <f>[4]int.kiadások2017!K21</f>
        <v>0</v>
      </c>
      <c r="AC22" s="979"/>
      <c r="AD22" s="979">
        <f t="shared" si="9"/>
        <v>0</v>
      </c>
      <c r="AE22" s="979">
        <f t="shared" si="10"/>
        <v>0</v>
      </c>
      <c r="AF22" s="979">
        <f t="shared" si="10"/>
        <v>643</v>
      </c>
      <c r="AG22" s="979">
        <f t="shared" si="10"/>
        <v>643</v>
      </c>
      <c r="AH22" s="979">
        <f t="shared" si="1"/>
        <v>65551</v>
      </c>
      <c r="AI22" s="979">
        <f t="shared" si="1"/>
        <v>1969</v>
      </c>
      <c r="AJ22" s="979">
        <f t="shared" si="1"/>
        <v>67520</v>
      </c>
      <c r="AK22" s="981">
        <f>'4 intézményi bevétel'!AT22-'6 intézményi kiadás'!AH22</f>
        <v>0</v>
      </c>
      <c r="AL22" s="981">
        <f>'4 intézményi bevétel'!AU22-'6 intézményi kiadás'!AI22</f>
        <v>0</v>
      </c>
      <c r="AM22" s="981">
        <f>'4 intézményi bevétel'!AV22-'6 intézményi kiadás'!AJ22</f>
        <v>0</v>
      </c>
      <c r="AN22" s="918" t="s">
        <v>782</v>
      </c>
    </row>
    <row r="23" spans="1:43" s="968" customFormat="1" ht="48.75" customHeight="1" x14ac:dyDescent="0.6">
      <c r="A23" s="918" t="s">
        <v>783</v>
      </c>
      <c r="B23" s="979">
        <f>[4]int.kiadások2017!B22</f>
        <v>69694</v>
      </c>
      <c r="C23" s="979">
        <f>1082+126</f>
        <v>1208</v>
      </c>
      <c r="D23" s="979">
        <f t="shared" si="2"/>
        <v>70902</v>
      </c>
      <c r="E23" s="979">
        <f>[4]int.kiadások2017!C22</f>
        <v>15584</v>
      </c>
      <c r="F23" s="979">
        <f>226+24</f>
        <v>250</v>
      </c>
      <c r="G23" s="979">
        <f t="shared" si="0"/>
        <v>15834</v>
      </c>
      <c r="H23" s="979">
        <f>[4]int.kiadások2017!D22</f>
        <v>2806</v>
      </c>
      <c r="I23" s="979">
        <v>963</v>
      </c>
      <c r="J23" s="979">
        <f t="shared" si="3"/>
        <v>3769</v>
      </c>
      <c r="K23" s="918" t="s">
        <v>783</v>
      </c>
      <c r="L23" s="979">
        <f>[4]int.kiadások2017!E22</f>
        <v>0</v>
      </c>
      <c r="M23" s="979"/>
      <c r="N23" s="979">
        <f t="shared" si="4"/>
        <v>0</v>
      </c>
      <c r="O23" s="979">
        <f>[4]int.kiadások2017!F22</f>
        <v>0</v>
      </c>
      <c r="P23" s="979"/>
      <c r="Q23" s="979">
        <f t="shared" si="5"/>
        <v>0</v>
      </c>
      <c r="R23" s="979">
        <f t="shared" si="6"/>
        <v>88084</v>
      </c>
      <c r="S23" s="979">
        <f t="shared" si="6"/>
        <v>2421</v>
      </c>
      <c r="T23" s="979">
        <f t="shared" si="6"/>
        <v>90505</v>
      </c>
      <c r="U23" s="918" t="s">
        <v>783</v>
      </c>
      <c r="V23" s="979">
        <f>[4]int.kiadások2017!I22</f>
        <v>0</v>
      </c>
      <c r="W23" s="979"/>
      <c r="X23" s="979">
        <f t="shared" si="7"/>
        <v>0</v>
      </c>
      <c r="Y23" s="979">
        <f>[4]int.kiadások2017!J22</f>
        <v>0</v>
      </c>
      <c r="Z23" s="979"/>
      <c r="AA23" s="979">
        <f t="shared" si="8"/>
        <v>0</v>
      </c>
      <c r="AB23" s="979">
        <f>[4]int.kiadások2017!K22</f>
        <v>0</v>
      </c>
      <c r="AC23" s="979"/>
      <c r="AD23" s="979">
        <f t="shared" si="9"/>
        <v>0</v>
      </c>
      <c r="AE23" s="979">
        <f t="shared" si="10"/>
        <v>0</v>
      </c>
      <c r="AF23" s="979">
        <f t="shared" si="10"/>
        <v>0</v>
      </c>
      <c r="AG23" s="979">
        <f t="shared" si="10"/>
        <v>0</v>
      </c>
      <c r="AH23" s="979">
        <f t="shared" si="1"/>
        <v>88084</v>
      </c>
      <c r="AI23" s="979">
        <f t="shared" si="1"/>
        <v>2421</v>
      </c>
      <c r="AJ23" s="979">
        <f t="shared" si="1"/>
        <v>90505</v>
      </c>
      <c r="AK23" s="981">
        <f>'4 intézményi bevétel'!AT23-'6 intézményi kiadás'!AH23</f>
        <v>0</v>
      </c>
      <c r="AL23" s="981">
        <f>'4 intézményi bevétel'!AU23-'6 intézményi kiadás'!AI23</f>
        <v>0</v>
      </c>
      <c r="AM23" s="981">
        <f>'4 intézményi bevétel'!AV23-'6 intézményi kiadás'!AJ23</f>
        <v>0</v>
      </c>
      <c r="AN23" s="918" t="s">
        <v>783</v>
      </c>
    </row>
    <row r="24" spans="1:43" s="968" customFormat="1" ht="48.75" customHeight="1" x14ac:dyDescent="0.6">
      <c r="A24" s="918" t="s">
        <v>784</v>
      </c>
      <c r="B24" s="979">
        <f>[4]int.kiadások2017!B23</f>
        <v>97643</v>
      </c>
      <c r="C24" s="979">
        <f>1701+48</f>
        <v>1749</v>
      </c>
      <c r="D24" s="979">
        <f t="shared" si="2"/>
        <v>99392</v>
      </c>
      <c r="E24" s="979">
        <f>[4]int.kiadások2017!C23</f>
        <v>23620</v>
      </c>
      <c r="F24" s="979">
        <f>401+9</f>
        <v>410</v>
      </c>
      <c r="G24" s="979">
        <f t="shared" si="0"/>
        <v>24030</v>
      </c>
      <c r="H24" s="979">
        <f>[4]int.kiadások2017!D23</f>
        <v>3272</v>
      </c>
      <c r="I24" s="979">
        <f>2242-82</f>
        <v>2160</v>
      </c>
      <c r="J24" s="979">
        <f t="shared" si="3"/>
        <v>5432</v>
      </c>
      <c r="K24" s="918" t="s">
        <v>784</v>
      </c>
      <c r="L24" s="979">
        <f>[4]int.kiadások2017!E23</f>
        <v>0</v>
      </c>
      <c r="M24" s="979"/>
      <c r="N24" s="979">
        <f t="shared" si="4"/>
        <v>0</v>
      </c>
      <c r="O24" s="979">
        <f>[4]int.kiadások2017!F23</f>
        <v>0</v>
      </c>
      <c r="P24" s="979"/>
      <c r="Q24" s="979">
        <f t="shared" si="5"/>
        <v>0</v>
      </c>
      <c r="R24" s="979">
        <f t="shared" si="6"/>
        <v>124535</v>
      </c>
      <c r="S24" s="979">
        <f t="shared" si="6"/>
        <v>4319</v>
      </c>
      <c r="T24" s="979">
        <f t="shared" si="6"/>
        <v>128854</v>
      </c>
      <c r="U24" s="918" t="s">
        <v>784</v>
      </c>
      <c r="V24" s="979">
        <f>[4]int.kiadások2017!I23</f>
        <v>0</v>
      </c>
      <c r="W24" s="979">
        <f>58+82</f>
        <v>140</v>
      </c>
      <c r="X24" s="979">
        <f t="shared" si="7"/>
        <v>140</v>
      </c>
      <c r="Y24" s="979">
        <f>[4]int.kiadások2017!J23</f>
        <v>0</v>
      </c>
      <c r="Z24" s="979"/>
      <c r="AA24" s="979">
        <f t="shared" si="8"/>
        <v>0</v>
      </c>
      <c r="AB24" s="979">
        <f>[4]int.kiadások2017!K23</f>
        <v>0</v>
      </c>
      <c r="AC24" s="979"/>
      <c r="AD24" s="979">
        <f t="shared" si="9"/>
        <v>0</v>
      </c>
      <c r="AE24" s="979">
        <f t="shared" si="10"/>
        <v>0</v>
      </c>
      <c r="AF24" s="979">
        <f t="shared" si="10"/>
        <v>140</v>
      </c>
      <c r="AG24" s="979">
        <f t="shared" si="10"/>
        <v>140</v>
      </c>
      <c r="AH24" s="979">
        <f t="shared" si="1"/>
        <v>124535</v>
      </c>
      <c r="AI24" s="979">
        <f t="shared" si="1"/>
        <v>4459</v>
      </c>
      <c r="AJ24" s="979">
        <f t="shared" si="1"/>
        <v>128994</v>
      </c>
      <c r="AK24" s="981">
        <f>'4 intézményi bevétel'!AT24-'6 intézményi kiadás'!AH24</f>
        <v>0</v>
      </c>
      <c r="AL24" s="981">
        <f>'4 intézményi bevétel'!AU24-'6 intézményi kiadás'!AI24</f>
        <v>0</v>
      </c>
      <c r="AM24" s="981">
        <f>'4 intézményi bevétel'!AV24-'6 intézményi kiadás'!AJ24</f>
        <v>0</v>
      </c>
      <c r="AN24" s="918" t="s">
        <v>784</v>
      </c>
    </row>
    <row r="25" spans="1:43" s="968" customFormat="1" ht="48.75" customHeight="1" x14ac:dyDescent="0.6">
      <c r="A25" s="918" t="s">
        <v>785</v>
      </c>
      <c r="B25" s="979">
        <f>[4]int.kiadások2017!B24</f>
        <v>75411</v>
      </c>
      <c r="C25" s="979">
        <f>3148+219</f>
        <v>3367</v>
      </c>
      <c r="D25" s="979">
        <f t="shared" si="2"/>
        <v>78778</v>
      </c>
      <c r="E25" s="979">
        <f>[4]int.kiadások2017!C24</f>
        <v>17003</v>
      </c>
      <c r="F25" s="979">
        <f>672+42</f>
        <v>714</v>
      </c>
      <c r="G25" s="979">
        <f t="shared" si="0"/>
        <v>17717</v>
      </c>
      <c r="H25" s="979">
        <f>[4]int.kiadások2017!D24</f>
        <v>2799</v>
      </c>
      <c r="I25" s="979">
        <f>1046-19</f>
        <v>1027</v>
      </c>
      <c r="J25" s="979">
        <f t="shared" si="3"/>
        <v>3826</v>
      </c>
      <c r="K25" s="918" t="s">
        <v>785</v>
      </c>
      <c r="L25" s="979">
        <f>[4]int.kiadások2017!E24</f>
        <v>0</v>
      </c>
      <c r="M25" s="979"/>
      <c r="N25" s="979">
        <f t="shared" si="4"/>
        <v>0</v>
      </c>
      <c r="O25" s="979">
        <f>[4]int.kiadások2017!F24</f>
        <v>0</v>
      </c>
      <c r="P25" s="979"/>
      <c r="Q25" s="979">
        <f t="shared" si="5"/>
        <v>0</v>
      </c>
      <c r="R25" s="979">
        <f t="shared" si="6"/>
        <v>95213</v>
      </c>
      <c r="S25" s="979">
        <f t="shared" si="6"/>
        <v>5108</v>
      </c>
      <c r="T25" s="979">
        <f t="shared" si="6"/>
        <v>100321</v>
      </c>
      <c r="U25" s="918" t="s">
        <v>785</v>
      </c>
      <c r="V25" s="979">
        <f>[4]int.kiadások2017!I24</f>
        <v>0</v>
      </c>
      <c r="W25" s="979">
        <f>24+19</f>
        <v>43</v>
      </c>
      <c r="X25" s="979">
        <f t="shared" si="7"/>
        <v>43</v>
      </c>
      <c r="Y25" s="979">
        <f>[4]int.kiadások2017!J24</f>
        <v>0</v>
      </c>
      <c r="Z25" s="979"/>
      <c r="AA25" s="979">
        <f t="shared" si="8"/>
        <v>0</v>
      </c>
      <c r="AB25" s="979">
        <f>[4]int.kiadások2017!K24</f>
        <v>0</v>
      </c>
      <c r="AC25" s="979"/>
      <c r="AD25" s="979">
        <f t="shared" si="9"/>
        <v>0</v>
      </c>
      <c r="AE25" s="979">
        <f t="shared" si="10"/>
        <v>0</v>
      </c>
      <c r="AF25" s="979">
        <f t="shared" si="10"/>
        <v>43</v>
      </c>
      <c r="AG25" s="979">
        <f t="shared" si="10"/>
        <v>43</v>
      </c>
      <c r="AH25" s="979">
        <f t="shared" si="1"/>
        <v>95213</v>
      </c>
      <c r="AI25" s="979">
        <f t="shared" si="1"/>
        <v>5151</v>
      </c>
      <c r="AJ25" s="979">
        <f t="shared" si="1"/>
        <v>100364</v>
      </c>
      <c r="AK25" s="981">
        <f>'4 intézményi bevétel'!AT25-'6 intézményi kiadás'!AH25</f>
        <v>0</v>
      </c>
      <c r="AL25" s="981">
        <f>'4 intézményi bevétel'!AU25-'6 intézményi kiadás'!AI25</f>
        <v>0</v>
      </c>
      <c r="AM25" s="981">
        <f>'4 intézményi bevétel'!AV25-'6 intézményi kiadás'!AJ25</f>
        <v>0</v>
      </c>
      <c r="AN25" s="918" t="s">
        <v>785</v>
      </c>
    </row>
    <row r="26" spans="1:43" s="968" customFormat="1" ht="48.75" customHeight="1" x14ac:dyDescent="0.6">
      <c r="A26" s="916" t="s">
        <v>786</v>
      </c>
      <c r="B26" s="979">
        <f>[4]int.kiadások2017!B25</f>
        <v>56249</v>
      </c>
      <c r="C26" s="979">
        <f>353+37</f>
        <v>390</v>
      </c>
      <c r="D26" s="979">
        <f t="shared" si="2"/>
        <v>56639</v>
      </c>
      <c r="E26" s="979">
        <f>[4]int.kiadások2017!C25</f>
        <v>12593</v>
      </c>
      <c r="F26" s="979">
        <f>75+7</f>
        <v>82</v>
      </c>
      <c r="G26" s="979">
        <f t="shared" si="0"/>
        <v>12675</v>
      </c>
      <c r="H26" s="979">
        <f>[4]int.kiadások2017!D25</f>
        <v>2315</v>
      </c>
      <c r="I26" s="979">
        <f>800-53</f>
        <v>747</v>
      </c>
      <c r="J26" s="979">
        <f t="shared" si="3"/>
        <v>3062</v>
      </c>
      <c r="K26" s="916" t="s">
        <v>786</v>
      </c>
      <c r="L26" s="979">
        <f>[4]int.kiadások2017!E25</f>
        <v>0</v>
      </c>
      <c r="M26" s="979"/>
      <c r="N26" s="979">
        <f t="shared" si="4"/>
        <v>0</v>
      </c>
      <c r="O26" s="979">
        <f>[4]int.kiadások2017!F25</f>
        <v>0</v>
      </c>
      <c r="P26" s="979"/>
      <c r="Q26" s="979">
        <f t="shared" si="5"/>
        <v>0</v>
      </c>
      <c r="R26" s="979">
        <f t="shared" si="6"/>
        <v>71157</v>
      </c>
      <c r="S26" s="979">
        <f t="shared" si="6"/>
        <v>1219</v>
      </c>
      <c r="T26" s="979">
        <f t="shared" si="6"/>
        <v>72376</v>
      </c>
      <c r="U26" s="916" t="s">
        <v>786</v>
      </c>
      <c r="V26" s="979">
        <f>[4]int.kiadások2017!I25</f>
        <v>0</v>
      </c>
      <c r="W26" s="979">
        <f>288+53</f>
        <v>341</v>
      </c>
      <c r="X26" s="979">
        <f t="shared" si="7"/>
        <v>341</v>
      </c>
      <c r="Y26" s="979">
        <f>[4]int.kiadások2017!J25</f>
        <v>0</v>
      </c>
      <c r="Z26" s="979"/>
      <c r="AA26" s="979">
        <f t="shared" si="8"/>
        <v>0</v>
      </c>
      <c r="AB26" s="979">
        <f>[4]int.kiadások2017!K25</f>
        <v>0</v>
      </c>
      <c r="AC26" s="979"/>
      <c r="AD26" s="979">
        <f t="shared" si="9"/>
        <v>0</v>
      </c>
      <c r="AE26" s="979">
        <f t="shared" si="10"/>
        <v>0</v>
      </c>
      <c r="AF26" s="979">
        <f t="shared" si="10"/>
        <v>341</v>
      </c>
      <c r="AG26" s="979">
        <f t="shared" si="10"/>
        <v>341</v>
      </c>
      <c r="AH26" s="979">
        <f t="shared" si="1"/>
        <v>71157</v>
      </c>
      <c r="AI26" s="979">
        <f t="shared" si="1"/>
        <v>1560</v>
      </c>
      <c r="AJ26" s="979">
        <f t="shared" si="1"/>
        <v>72717</v>
      </c>
      <c r="AK26" s="981">
        <f>'4 intézményi bevétel'!AT26-'6 intézményi kiadás'!AH26</f>
        <v>0</v>
      </c>
      <c r="AL26" s="981">
        <f>'4 intézményi bevétel'!AU26-'6 intézményi kiadás'!AI26</f>
        <v>0</v>
      </c>
      <c r="AM26" s="981">
        <f>'4 intézményi bevétel'!AV26-'6 intézményi kiadás'!AJ26</f>
        <v>0</v>
      </c>
      <c r="AN26" s="916" t="s">
        <v>786</v>
      </c>
    </row>
    <row r="27" spans="1:43" s="968" customFormat="1" ht="48.75" customHeight="1" thickBot="1" x14ac:dyDescent="0.65">
      <c r="A27" s="919" t="s">
        <v>787</v>
      </c>
      <c r="B27" s="979">
        <f>[4]int.kiadások2017!B26</f>
        <v>40242</v>
      </c>
      <c r="C27" s="979">
        <f>520+207</f>
        <v>727</v>
      </c>
      <c r="D27" s="982">
        <f>SUM(B27:C27)</f>
        <v>40969</v>
      </c>
      <c r="E27" s="979">
        <f>[4]int.kiadások2017!C26</f>
        <v>9103</v>
      </c>
      <c r="F27" s="982">
        <f>137+40</f>
        <v>177</v>
      </c>
      <c r="G27" s="982">
        <f t="shared" si="0"/>
        <v>9280</v>
      </c>
      <c r="H27" s="979">
        <f>[4]int.kiadások2017!D26</f>
        <v>2189</v>
      </c>
      <c r="I27" s="982">
        <f>338-12</f>
        <v>326</v>
      </c>
      <c r="J27" s="982">
        <f t="shared" si="3"/>
        <v>2515</v>
      </c>
      <c r="K27" s="919" t="s">
        <v>787</v>
      </c>
      <c r="L27" s="982">
        <f>[4]int.kiadások2017!E26</f>
        <v>0</v>
      </c>
      <c r="M27" s="982"/>
      <c r="N27" s="982">
        <f t="shared" si="4"/>
        <v>0</v>
      </c>
      <c r="O27" s="982">
        <f>[4]int.kiadások2017!F26</f>
        <v>0</v>
      </c>
      <c r="P27" s="982"/>
      <c r="Q27" s="982">
        <f t="shared" si="5"/>
        <v>0</v>
      </c>
      <c r="R27" s="979">
        <f t="shared" si="6"/>
        <v>51534</v>
      </c>
      <c r="S27" s="979">
        <f t="shared" si="6"/>
        <v>1230</v>
      </c>
      <c r="T27" s="979">
        <f t="shared" si="6"/>
        <v>52764</v>
      </c>
      <c r="U27" s="919" t="s">
        <v>787</v>
      </c>
      <c r="V27" s="982">
        <f>[4]int.kiadások2017!I26</f>
        <v>0</v>
      </c>
      <c r="W27" s="982">
        <f>93+12</f>
        <v>105</v>
      </c>
      <c r="X27" s="979">
        <f t="shared" si="7"/>
        <v>105</v>
      </c>
      <c r="Y27" s="982">
        <f>[4]int.kiadások2017!J26</f>
        <v>0</v>
      </c>
      <c r="Z27" s="982"/>
      <c r="AA27" s="982">
        <f t="shared" si="8"/>
        <v>0</v>
      </c>
      <c r="AB27" s="982">
        <f>[4]int.kiadások2017!K26</f>
        <v>0</v>
      </c>
      <c r="AC27" s="982"/>
      <c r="AD27" s="982">
        <f t="shared" si="9"/>
        <v>0</v>
      </c>
      <c r="AE27" s="979">
        <f t="shared" si="10"/>
        <v>0</v>
      </c>
      <c r="AF27" s="979">
        <f t="shared" si="10"/>
        <v>105</v>
      </c>
      <c r="AG27" s="983">
        <f t="shared" si="10"/>
        <v>105</v>
      </c>
      <c r="AH27" s="979">
        <f t="shared" si="1"/>
        <v>51534</v>
      </c>
      <c r="AI27" s="979">
        <f t="shared" si="1"/>
        <v>1335</v>
      </c>
      <c r="AJ27" s="979">
        <f t="shared" si="1"/>
        <v>52869</v>
      </c>
      <c r="AK27" s="981">
        <f>'4 intézményi bevétel'!AT27-'6 intézményi kiadás'!AH27</f>
        <v>0</v>
      </c>
      <c r="AL27" s="981">
        <f>'4 intézményi bevétel'!AU27-'6 intézményi kiadás'!AI27</f>
        <v>0</v>
      </c>
      <c r="AM27" s="981">
        <f>'4 intézményi bevétel'!AV27-'6 intézményi kiadás'!AJ27</f>
        <v>0</v>
      </c>
      <c r="AN27" s="921" t="s">
        <v>787</v>
      </c>
      <c r="AQ27" s="984"/>
    </row>
    <row r="28" spans="1:43" s="968" customFormat="1" ht="57.75" customHeight="1" thickBot="1" x14ac:dyDescent="0.65">
      <c r="A28" s="923" t="s">
        <v>788</v>
      </c>
      <c r="B28" s="985">
        <f t="shared" ref="B28:J28" si="11">SUM(B10:B27)</f>
        <v>1319242</v>
      </c>
      <c r="C28" s="985">
        <f>SUM(C10:C27)</f>
        <v>31287</v>
      </c>
      <c r="D28" s="985">
        <f t="shared" si="11"/>
        <v>1350529</v>
      </c>
      <c r="E28" s="985">
        <f t="shared" si="11"/>
        <v>305374</v>
      </c>
      <c r="F28" s="985">
        <f t="shared" si="11"/>
        <v>7310</v>
      </c>
      <c r="G28" s="985">
        <f t="shared" si="11"/>
        <v>312684</v>
      </c>
      <c r="H28" s="985">
        <f t="shared" si="11"/>
        <v>51462</v>
      </c>
      <c r="I28" s="985">
        <f t="shared" si="11"/>
        <v>15237</v>
      </c>
      <c r="J28" s="985">
        <f t="shared" si="11"/>
        <v>66699</v>
      </c>
      <c r="K28" s="923" t="s">
        <v>788</v>
      </c>
      <c r="L28" s="985">
        <f t="shared" ref="L28:T28" si="12">SUM(L10:L27)</f>
        <v>0</v>
      </c>
      <c r="M28" s="985">
        <f t="shared" si="12"/>
        <v>0</v>
      </c>
      <c r="N28" s="985">
        <f t="shared" si="12"/>
        <v>0</v>
      </c>
      <c r="O28" s="985">
        <f t="shared" si="12"/>
        <v>0</v>
      </c>
      <c r="P28" s="985">
        <f t="shared" si="12"/>
        <v>0</v>
      </c>
      <c r="Q28" s="985">
        <f t="shared" si="12"/>
        <v>0</v>
      </c>
      <c r="R28" s="985">
        <f t="shared" si="12"/>
        <v>1676078</v>
      </c>
      <c r="S28" s="985">
        <f t="shared" si="12"/>
        <v>53834</v>
      </c>
      <c r="T28" s="985">
        <f t="shared" si="12"/>
        <v>1729912</v>
      </c>
      <c r="U28" s="923" t="s">
        <v>788</v>
      </c>
      <c r="V28" s="985">
        <f t="shared" ref="V28:AG28" si="13">SUM(V10:V27)</f>
        <v>0</v>
      </c>
      <c r="W28" s="985">
        <f t="shared" si="13"/>
        <v>8249</v>
      </c>
      <c r="X28" s="985">
        <f t="shared" si="13"/>
        <v>8249</v>
      </c>
      <c r="Y28" s="985">
        <f t="shared" si="13"/>
        <v>0</v>
      </c>
      <c r="Z28" s="985">
        <f t="shared" si="13"/>
        <v>4991</v>
      </c>
      <c r="AA28" s="985">
        <f t="shared" si="13"/>
        <v>4991</v>
      </c>
      <c r="AB28" s="985">
        <f>SUM(AB10:AB27)</f>
        <v>0</v>
      </c>
      <c r="AC28" s="985">
        <f>SUM(AC10:AC27)</f>
        <v>0</v>
      </c>
      <c r="AD28" s="985">
        <f>SUM(AD10:AD27)</f>
        <v>0</v>
      </c>
      <c r="AE28" s="985">
        <f t="shared" si="13"/>
        <v>0</v>
      </c>
      <c r="AF28" s="985">
        <f t="shared" si="13"/>
        <v>13240</v>
      </c>
      <c r="AG28" s="986">
        <f t="shared" si="13"/>
        <v>13240</v>
      </c>
      <c r="AH28" s="985">
        <f>SUM(AH10:AH27)</f>
        <v>1676078</v>
      </c>
      <c r="AI28" s="985">
        <f>SUM(AI10:AI27)</f>
        <v>67074</v>
      </c>
      <c r="AJ28" s="985">
        <f>SUM(AJ10:AJ27)</f>
        <v>1743152</v>
      </c>
      <c r="AK28" s="981">
        <f>'4 intézményi bevétel'!AT28-'6 intézményi kiadás'!AH28</f>
        <v>0</v>
      </c>
      <c r="AL28" s="981">
        <f>'4 intézményi bevétel'!AU28-'6 intézményi kiadás'!AI28</f>
        <v>0</v>
      </c>
      <c r="AM28" s="981">
        <f>'4 intézményi bevétel'!AV28-'6 intézményi kiadás'!AJ28</f>
        <v>0</v>
      </c>
      <c r="AN28" s="925" t="s">
        <v>788</v>
      </c>
    </row>
    <row r="29" spans="1:43" s="968" customFormat="1" ht="63.75" customHeight="1" thickBot="1" x14ac:dyDescent="0.65">
      <c r="A29" s="925" t="s">
        <v>724</v>
      </c>
      <c r="B29" s="979">
        <f>[4]int.kiadások2017!B28</f>
        <v>185979</v>
      </c>
      <c r="C29" s="985">
        <f>27523+984+318</f>
        <v>28825</v>
      </c>
      <c r="D29" s="979">
        <f t="shared" si="2"/>
        <v>214804</v>
      </c>
      <c r="E29" s="979">
        <f>[4]int.kiadások2017!C28</f>
        <v>46412</v>
      </c>
      <c r="F29" s="985">
        <f>5687+195+43</f>
        <v>5925</v>
      </c>
      <c r="G29" s="985">
        <f>SUM(E29:F29)</f>
        <v>52337</v>
      </c>
      <c r="H29" s="979">
        <f>[4]int.kiadások2017!D28</f>
        <v>1164233</v>
      </c>
      <c r="I29" s="985">
        <f>60719-1637</f>
        <v>59082</v>
      </c>
      <c r="J29" s="985">
        <f>SUM(H29:I29)</f>
        <v>1223315</v>
      </c>
      <c r="K29" s="925" t="s">
        <v>724</v>
      </c>
      <c r="L29" s="985">
        <f>[4]int.kiadások2017!E28</f>
        <v>0</v>
      </c>
      <c r="M29" s="985">
        <v>0</v>
      </c>
      <c r="N29" s="985">
        <f>SUM(L29:M29)</f>
        <v>0</v>
      </c>
      <c r="O29" s="985">
        <f>[4]int.kiadások2017!F28</f>
        <v>0</v>
      </c>
      <c r="P29" s="985">
        <v>0</v>
      </c>
      <c r="Q29" s="985">
        <f>SUM(O29:P29)</f>
        <v>0</v>
      </c>
      <c r="R29" s="979">
        <f>B29+E29+H29+L29+O29</f>
        <v>1396624</v>
      </c>
      <c r="S29" s="979">
        <f>C29+F29+I29+M29+P29</f>
        <v>93832</v>
      </c>
      <c r="T29" s="979">
        <f>D29+G29+J29+N29+Q29</f>
        <v>1490456</v>
      </c>
      <c r="U29" s="925" t="s">
        <v>724</v>
      </c>
      <c r="V29" s="985">
        <f>[4]int.kiadások2017!I28</f>
        <v>0</v>
      </c>
      <c r="W29" s="985">
        <f>5006+2264</f>
        <v>7270</v>
      </c>
      <c r="X29" s="985">
        <f t="shared" si="7"/>
        <v>7270</v>
      </c>
      <c r="Y29" s="985">
        <f>[4]int.kiadások2017!J28</f>
        <v>0</v>
      </c>
      <c r="Z29" s="985">
        <f>18797+441</f>
        <v>19238</v>
      </c>
      <c r="AA29" s="985">
        <f>SUM(Y29:Z29)</f>
        <v>19238</v>
      </c>
      <c r="AB29" s="985">
        <f>[4]int.kiadások2017!K28</f>
        <v>0</v>
      </c>
      <c r="AC29" s="985"/>
      <c r="AD29" s="985">
        <f>SUM(AB29:AC29)</f>
        <v>0</v>
      </c>
      <c r="AE29" s="979">
        <f>V29+Y29+AB29</f>
        <v>0</v>
      </c>
      <c r="AF29" s="979">
        <f>W29+Z29+AC29</f>
        <v>26508</v>
      </c>
      <c r="AG29" s="979">
        <f>X29+AA29+AD29</f>
        <v>26508</v>
      </c>
      <c r="AH29" s="979">
        <f t="shared" si="1"/>
        <v>1396624</v>
      </c>
      <c r="AI29" s="979">
        <f>S29+AF29</f>
        <v>120340</v>
      </c>
      <c r="AJ29" s="979">
        <f>T29+AG29</f>
        <v>1516964</v>
      </c>
      <c r="AK29" s="981">
        <f>'4 intézményi bevétel'!AT29-'6 intézményi kiadás'!AH29</f>
        <v>0</v>
      </c>
      <c r="AL29" s="981">
        <f>'4 intézményi bevétel'!AU29-'6 intézményi kiadás'!AI29</f>
        <v>0</v>
      </c>
      <c r="AM29" s="981">
        <f>'4 intézményi bevétel'!AV29-'6 intézményi kiadás'!AJ29</f>
        <v>0</v>
      </c>
      <c r="AN29" s="925" t="s">
        <v>724</v>
      </c>
    </row>
    <row r="30" spans="1:43" s="968" customFormat="1" ht="67.5" customHeight="1" thickBot="1" x14ac:dyDescent="0.65">
      <c r="A30" s="925" t="s">
        <v>789</v>
      </c>
      <c r="B30" s="985">
        <f>SUM(B28:B29)</f>
        <v>1505221</v>
      </c>
      <c r="C30" s="985">
        <f>SUM(C28:C29)</f>
        <v>60112</v>
      </c>
      <c r="D30" s="985">
        <f>SUM(D28:D29)</f>
        <v>1565333</v>
      </c>
      <c r="E30" s="985">
        <f t="shared" ref="E30:J30" si="14">SUM(E28:E29)</f>
        <v>351786</v>
      </c>
      <c r="F30" s="985">
        <f t="shared" si="14"/>
        <v>13235</v>
      </c>
      <c r="G30" s="985">
        <f t="shared" si="14"/>
        <v>365021</v>
      </c>
      <c r="H30" s="985">
        <f t="shared" si="14"/>
        <v>1215695</v>
      </c>
      <c r="I30" s="985">
        <f t="shared" si="14"/>
        <v>74319</v>
      </c>
      <c r="J30" s="985">
        <f t="shared" si="14"/>
        <v>1290014</v>
      </c>
      <c r="K30" s="925" t="s">
        <v>789</v>
      </c>
      <c r="L30" s="985">
        <f t="shared" ref="L30:T30" si="15">SUM(L28:L29)</f>
        <v>0</v>
      </c>
      <c r="M30" s="985">
        <f t="shared" si="15"/>
        <v>0</v>
      </c>
      <c r="N30" s="985">
        <f t="shared" si="15"/>
        <v>0</v>
      </c>
      <c r="O30" s="985">
        <f t="shared" si="15"/>
        <v>0</v>
      </c>
      <c r="P30" s="985">
        <f t="shared" si="15"/>
        <v>0</v>
      </c>
      <c r="Q30" s="985">
        <f t="shared" si="15"/>
        <v>0</v>
      </c>
      <c r="R30" s="985">
        <f t="shared" si="15"/>
        <v>3072702</v>
      </c>
      <c r="S30" s="985">
        <f t="shared" si="15"/>
        <v>147666</v>
      </c>
      <c r="T30" s="985">
        <f t="shared" si="15"/>
        <v>3220368</v>
      </c>
      <c r="U30" s="925" t="s">
        <v>789</v>
      </c>
      <c r="V30" s="985">
        <f t="shared" ref="V30:AA30" si="16">SUM(V28:V29)</f>
        <v>0</v>
      </c>
      <c r="W30" s="985">
        <f t="shared" si="16"/>
        <v>15519</v>
      </c>
      <c r="X30" s="985">
        <f t="shared" si="16"/>
        <v>15519</v>
      </c>
      <c r="Y30" s="985">
        <f t="shared" si="16"/>
        <v>0</v>
      </c>
      <c r="Z30" s="985">
        <f t="shared" si="16"/>
        <v>24229</v>
      </c>
      <c r="AA30" s="985">
        <f t="shared" si="16"/>
        <v>24229</v>
      </c>
      <c r="AB30" s="985">
        <f>SUM(AB28:AB29)</f>
        <v>0</v>
      </c>
      <c r="AC30" s="985">
        <f>SUM(AC28:AC29)</f>
        <v>0</v>
      </c>
      <c r="AD30" s="985">
        <f>SUM(AD28:AD29)</f>
        <v>0</v>
      </c>
      <c r="AE30" s="985">
        <f t="shared" ref="AE30:AJ30" si="17">SUM(AE28:AE29)</f>
        <v>0</v>
      </c>
      <c r="AF30" s="985">
        <f t="shared" si="17"/>
        <v>39748</v>
      </c>
      <c r="AG30" s="985">
        <f t="shared" si="17"/>
        <v>39748</v>
      </c>
      <c r="AH30" s="985">
        <f t="shared" si="17"/>
        <v>3072702</v>
      </c>
      <c r="AI30" s="985">
        <f t="shared" si="17"/>
        <v>187414</v>
      </c>
      <c r="AJ30" s="985">
        <f t="shared" si="17"/>
        <v>3260116</v>
      </c>
      <c r="AK30" s="981">
        <f>'4 intézményi bevétel'!AT30-'6 intézményi kiadás'!AH30</f>
        <v>0</v>
      </c>
      <c r="AL30" s="981">
        <f>'4 intézményi bevétel'!AU30-'6 intézményi kiadás'!AI30</f>
        <v>0</v>
      </c>
      <c r="AM30" s="981">
        <f>'4 intézményi bevétel'!AV30-'6 intézményi kiadás'!AJ30</f>
        <v>0</v>
      </c>
      <c r="AN30" s="925" t="s">
        <v>789</v>
      </c>
    </row>
    <row r="31" spans="1:43" s="968" customFormat="1" ht="48.75" customHeight="1" x14ac:dyDescent="0.6">
      <c r="A31" s="928" t="s">
        <v>790</v>
      </c>
      <c r="B31" s="982"/>
      <c r="C31" s="982"/>
      <c r="D31" s="982"/>
      <c r="E31" s="982"/>
      <c r="F31" s="982"/>
      <c r="G31" s="982"/>
      <c r="H31" s="982"/>
      <c r="I31" s="982"/>
      <c r="J31" s="982"/>
      <c r="K31" s="928" t="s">
        <v>790</v>
      </c>
      <c r="L31" s="982"/>
      <c r="M31" s="982"/>
      <c r="N31" s="982"/>
      <c r="O31" s="982"/>
      <c r="P31" s="982"/>
      <c r="Q31" s="982"/>
      <c r="R31" s="982"/>
      <c r="S31" s="982"/>
      <c r="T31" s="982"/>
      <c r="U31" s="928" t="s">
        <v>790</v>
      </c>
      <c r="V31" s="982"/>
      <c r="W31" s="982"/>
      <c r="X31" s="982"/>
      <c r="Y31" s="982"/>
      <c r="Z31" s="982"/>
      <c r="AA31" s="982"/>
      <c r="AB31" s="982"/>
      <c r="AC31" s="982"/>
      <c r="AD31" s="982"/>
      <c r="AE31" s="982"/>
      <c r="AF31" s="982"/>
      <c r="AG31" s="982"/>
      <c r="AH31" s="982"/>
      <c r="AI31" s="982"/>
      <c r="AJ31" s="982"/>
      <c r="AK31" s="981">
        <f>'4 intézményi bevétel'!AT31-'6 intézményi kiadás'!AH31</f>
        <v>0</v>
      </c>
      <c r="AL31" s="981">
        <f>'4 intézményi bevétel'!AU31-'6 intézményi kiadás'!AI31</f>
        <v>0</v>
      </c>
      <c r="AM31" s="981">
        <f>'4 intézményi bevétel'!AV31-'6 intézményi kiadás'!AJ31</f>
        <v>0</v>
      </c>
      <c r="AN31" s="928" t="s">
        <v>790</v>
      </c>
    </row>
    <row r="32" spans="1:43" s="968" customFormat="1" ht="48.75" customHeight="1" x14ac:dyDescent="0.6">
      <c r="A32" s="929" t="s">
        <v>791</v>
      </c>
      <c r="B32" s="982"/>
      <c r="C32" s="982"/>
      <c r="D32" s="982"/>
      <c r="E32" s="982"/>
      <c r="F32" s="982"/>
      <c r="G32" s="982"/>
      <c r="H32" s="982"/>
      <c r="I32" s="982"/>
      <c r="J32" s="982"/>
      <c r="K32" s="929" t="s">
        <v>791</v>
      </c>
      <c r="L32" s="982"/>
      <c r="M32" s="982"/>
      <c r="N32" s="982"/>
      <c r="O32" s="982"/>
      <c r="P32" s="982"/>
      <c r="Q32" s="982"/>
      <c r="R32" s="982"/>
      <c r="S32" s="982"/>
      <c r="T32" s="982"/>
      <c r="U32" s="929" t="s">
        <v>791</v>
      </c>
      <c r="V32" s="982"/>
      <c r="W32" s="982"/>
      <c r="X32" s="982"/>
      <c r="Y32" s="982"/>
      <c r="Z32" s="982"/>
      <c r="AA32" s="982"/>
      <c r="AB32" s="982"/>
      <c r="AC32" s="982"/>
      <c r="AD32" s="982"/>
      <c r="AE32" s="982"/>
      <c r="AF32" s="982"/>
      <c r="AG32" s="982"/>
      <c r="AH32" s="982"/>
      <c r="AI32" s="982"/>
      <c r="AJ32" s="982"/>
      <c r="AK32" s="981">
        <f>'4 intézményi bevétel'!AT32-'6 intézményi kiadás'!AH32</f>
        <v>0</v>
      </c>
      <c r="AL32" s="981">
        <f>'4 intézményi bevétel'!AU32-'6 intézményi kiadás'!AI32</f>
        <v>0</v>
      </c>
      <c r="AM32" s="981">
        <f>'4 intézményi bevétel'!AV32-'6 intézményi kiadás'!AJ32</f>
        <v>0</v>
      </c>
      <c r="AN32" s="929" t="s">
        <v>791</v>
      </c>
    </row>
    <row r="33" spans="1:40" s="968" customFormat="1" ht="48.75" customHeight="1" x14ac:dyDescent="0.6">
      <c r="A33" s="921" t="s">
        <v>792</v>
      </c>
      <c r="B33" s="979">
        <f>[4]int.kiadások2017!B32</f>
        <v>94410</v>
      </c>
      <c r="C33" s="982">
        <f>1639+2230</f>
        <v>3869</v>
      </c>
      <c r="D33" s="982">
        <f t="shared" si="2"/>
        <v>98279</v>
      </c>
      <c r="E33" s="979">
        <f>[4]int.kiadások2017!C32</f>
        <v>23170</v>
      </c>
      <c r="F33" s="982">
        <f>1396+474</f>
        <v>1870</v>
      </c>
      <c r="G33" s="982">
        <f>SUM(E33:F33)</f>
        <v>25040</v>
      </c>
      <c r="H33" s="979">
        <f>[4]int.kiadások2017!D32</f>
        <v>229868</v>
      </c>
      <c r="I33" s="982">
        <f>23656+14867-118</f>
        <v>38405</v>
      </c>
      <c r="J33" s="982">
        <f>SUM(H33:I33)</f>
        <v>268273</v>
      </c>
      <c r="K33" s="921" t="s">
        <v>792</v>
      </c>
      <c r="L33" s="982">
        <f>[4]int.kiadások2017!E32</f>
        <v>0</v>
      </c>
      <c r="M33" s="982"/>
      <c r="N33" s="982">
        <f>SUM(L33:M33)</f>
        <v>0</v>
      </c>
      <c r="O33" s="982">
        <f>[4]int.kiadások2017!F32</f>
        <v>0</v>
      </c>
      <c r="P33" s="982"/>
      <c r="Q33" s="982">
        <f>SUM(O33:P33)</f>
        <v>0</v>
      </c>
      <c r="R33" s="979">
        <f>B33+E33+H33+L33+O33</f>
        <v>347448</v>
      </c>
      <c r="S33" s="979">
        <f t="shared" ref="S33:T37" si="18">C33+F33+I33+M33+P33</f>
        <v>44144</v>
      </c>
      <c r="T33" s="979">
        <f t="shared" si="18"/>
        <v>391592</v>
      </c>
      <c r="U33" s="921" t="s">
        <v>792</v>
      </c>
      <c r="V33" s="982">
        <f>[4]int.kiadások2017!I32</f>
        <v>0</v>
      </c>
      <c r="W33" s="982">
        <f>7692+1300+118</f>
        <v>9110</v>
      </c>
      <c r="X33" s="982">
        <f>SUM(V33:W33)</f>
        <v>9110</v>
      </c>
      <c r="Y33" s="982">
        <f>[4]int.kiadások2017!J32</f>
        <v>0</v>
      </c>
      <c r="Z33" s="982">
        <v>1311</v>
      </c>
      <c r="AA33" s="982">
        <f>SUM(Y33:Z33)</f>
        <v>1311</v>
      </c>
      <c r="AB33" s="982">
        <f>[4]int.kiadások2017!K32</f>
        <v>0</v>
      </c>
      <c r="AC33" s="982"/>
      <c r="AD33" s="982">
        <f>SUM(AB33:AC33)</f>
        <v>0</v>
      </c>
      <c r="AE33" s="979">
        <f t="shared" ref="AE33:AG37" si="19">V33+Y33+AB33</f>
        <v>0</v>
      </c>
      <c r="AF33" s="979">
        <f t="shared" si="19"/>
        <v>10421</v>
      </c>
      <c r="AG33" s="979">
        <f t="shared" si="19"/>
        <v>10421</v>
      </c>
      <c r="AH33" s="979">
        <f>R33+AE33</f>
        <v>347448</v>
      </c>
      <c r="AI33" s="979">
        <f t="shared" ref="AI33:AJ37" si="20">S33+AF33</f>
        <v>54565</v>
      </c>
      <c r="AJ33" s="979">
        <f t="shared" si="20"/>
        <v>402013</v>
      </c>
      <c r="AK33" s="981">
        <f>'4 intézményi bevétel'!AT33-'6 intézményi kiadás'!AH33</f>
        <v>0</v>
      </c>
      <c r="AL33" s="981">
        <f>'4 intézményi bevétel'!AU33-'6 intézményi kiadás'!AI33</f>
        <v>0</v>
      </c>
      <c r="AM33" s="981">
        <f>'4 intézményi bevétel'!AV33-'6 intézményi kiadás'!AJ33</f>
        <v>0</v>
      </c>
      <c r="AN33" s="921" t="s">
        <v>792</v>
      </c>
    </row>
    <row r="34" spans="1:40" s="968" customFormat="1" ht="48.75" customHeight="1" x14ac:dyDescent="0.6">
      <c r="A34" s="918" t="s">
        <v>186</v>
      </c>
      <c r="B34" s="979">
        <f>[4]int.kiadások2017!B33</f>
        <v>63490</v>
      </c>
      <c r="C34" s="987">
        <f>2212+1097</f>
        <v>3309</v>
      </c>
      <c r="D34" s="987">
        <f t="shared" si="2"/>
        <v>66799</v>
      </c>
      <c r="E34" s="979">
        <f>[4]int.kiadások2017!C33</f>
        <v>13519</v>
      </c>
      <c r="F34" s="987">
        <f>2905+226</f>
        <v>3131</v>
      </c>
      <c r="G34" s="987">
        <f>SUM(E34:F34)</f>
        <v>16650</v>
      </c>
      <c r="H34" s="979">
        <f>[4]int.kiadások2017!D33</f>
        <v>36433</v>
      </c>
      <c r="I34" s="987">
        <v>22804</v>
      </c>
      <c r="J34" s="987">
        <f>SUM(H34:I34)</f>
        <v>59237</v>
      </c>
      <c r="K34" s="918" t="s">
        <v>186</v>
      </c>
      <c r="L34" s="987">
        <f>[4]int.kiadások2017!E33</f>
        <v>0</v>
      </c>
      <c r="M34" s="987"/>
      <c r="N34" s="987">
        <f>SUM(L34:M34)</f>
        <v>0</v>
      </c>
      <c r="O34" s="987">
        <f>[4]int.kiadások2017!F33</f>
        <v>0</v>
      </c>
      <c r="P34" s="987"/>
      <c r="Q34" s="987">
        <f>SUM(O34:P34)</f>
        <v>0</v>
      </c>
      <c r="R34" s="979">
        <f>B34+E34+H34+L34+O34</f>
        <v>113442</v>
      </c>
      <c r="S34" s="979">
        <f t="shared" si="18"/>
        <v>29244</v>
      </c>
      <c r="T34" s="979">
        <f t="shared" si="18"/>
        <v>142686</v>
      </c>
      <c r="U34" s="918" t="s">
        <v>186</v>
      </c>
      <c r="V34" s="987">
        <f>[4]int.kiadások2017!I33</f>
        <v>0</v>
      </c>
      <c r="W34" s="987">
        <v>103</v>
      </c>
      <c r="X34" s="987">
        <f>SUM(V34:W34)</f>
        <v>103</v>
      </c>
      <c r="Y34" s="987">
        <f>[4]int.kiadások2017!J33</f>
        <v>0</v>
      </c>
      <c r="Z34" s="987"/>
      <c r="AA34" s="987">
        <f>SUM(Y34:Z34)</f>
        <v>0</v>
      </c>
      <c r="AB34" s="987">
        <f>[4]int.kiadások2017!K33</f>
        <v>0</v>
      </c>
      <c r="AC34" s="987"/>
      <c r="AD34" s="987">
        <f>SUM(AB34:AC34)</f>
        <v>0</v>
      </c>
      <c r="AE34" s="979">
        <f t="shared" si="19"/>
        <v>0</v>
      </c>
      <c r="AF34" s="979">
        <f t="shared" si="19"/>
        <v>103</v>
      </c>
      <c r="AG34" s="979">
        <f t="shared" si="19"/>
        <v>103</v>
      </c>
      <c r="AH34" s="979">
        <f>R34+AE34</f>
        <v>113442</v>
      </c>
      <c r="AI34" s="979">
        <f t="shared" si="20"/>
        <v>29347</v>
      </c>
      <c r="AJ34" s="979">
        <f t="shared" si="20"/>
        <v>142789</v>
      </c>
      <c r="AK34" s="981">
        <f>'4 intézményi bevétel'!AT34-'6 intézményi kiadás'!AH34</f>
        <v>0</v>
      </c>
      <c r="AL34" s="981">
        <f>'4 intézményi bevétel'!AU34-'6 intézményi kiadás'!AI34</f>
        <v>0</v>
      </c>
      <c r="AM34" s="981">
        <f>'4 intézményi bevétel'!AV34-'6 intézményi kiadás'!AJ34</f>
        <v>0</v>
      </c>
      <c r="AN34" s="918" t="s">
        <v>186</v>
      </c>
    </row>
    <row r="35" spans="1:40" s="968" customFormat="1" ht="48.75" customHeight="1" x14ac:dyDescent="0.6">
      <c r="A35" s="918" t="s">
        <v>793</v>
      </c>
      <c r="B35" s="979">
        <f>[4]int.kiadások2017!B34</f>
        <v>227325</v>
      </c>
      <c r="C35" s="987">
        <f>17838+6841+31510</f>
        <v>56189</v>
      </c>
      <c r="D35" s="987">
        <f t="shared" si="2"/>
        <v>283514</v>
      </c>
      <c r="E35" s="979">
        <f>[4]int.kiadások2017!C34</f>
        <v>48412</v>
      </c>
      <c r="F35" s="987">
        <f>5271+1395+6932</f>
        <v>13598</v>
      </c>
      <c r="G35" s="987">
        <f>SUM(E35:F35)</f>
        <v>62010</v>
      </c>
      <c r="H35" s="979">
        <f>[4]int.kiadások2017!D34</f>
        <v>107416</v>
      </c>
      <c r="I35" s="987">
        <f>41699-38442+30000</f>
        <v>33257</v>
      </c>
      <c r="J35" s="987">
        <f>SUM(H35:I35)</f>
        <v>140673</v>
      </c>
      <c r="K35" s="918" t="s">
        <v>793</v>
      </c>
      <c r="L35" s="987">
        <f>[4]int.kiadások2017!E34</f>
        <v>0</v>
      </c>
      <c r="M35" s="987"/>
      <c r="N35" s="987">
        <f>SUM(L35:M35)</f>
        <v>0</v>
      </c>
      <c r="O35" s="987">
        <f>[4]int.kiadások2017!F34</f>
        <v>0</v>
      </c>
      <c r="P35" s="987"/>
      <c r="Q35" s="987">
        <f>SUM(O35:P35)</f>
        <v>0</v>
      </c>
      <c r="R35" s="979">
        <f>B35+E35+H35+L35+O35</f>
        <v>383153</v>
      </c>
      <c r="S35" s="979">
        <f t="shared" si="18"/>
        <v>103044</v>
      </c>
      <c r="T35" s="979">
        <f t="shared" si="18"/>
        <v>486197</v>
      </c>
      <c r="U35" s="918" t="s">
        <v>793</v>
      </c>
      <c r="V35" s="987">
        <f>[4]int.kiadások2017!I34</f>
        <v>10000</v>
      </c>
      <c r="W35" s="987">
        <v>8678</v>
      </c>
      <c r="X35" s="987">
        <f>SUM(V35:W35)</f>
        <v>18678</v>
      </c>
      <c r="Y35" s="987">
        <f>[4]int.kiadások2017!J34</f>
        <v>0</v>
      </c>
      <c r="Z35" s="987"/>
      <c r="AA35" s="987">
        <f>SUM(Y35:Z35)</f>
        <v>0</v>
      </c>
      <c r="AB35" s="987">
        <f>[4]int.kiadások2017!K34</f>
        <v>0</v>
      </c>
      <c r="AC35" s="987"/>
      <c r="AD35" s="987">
        <f>SUM(AB35:AC35)</f>
        <v>0</v>
      </c>
      <c r="AE35" s="979">
        <f t="shared" si="19"/>
        <v>10000</v>
      </c>
      <c r="AF35" s="979">
        <f t="shared" si="19"/>
        <v>8678</v>
      </c>
      <c r="AG35" s="979">
        <f t="shared" si="19"/>
        <v>18678</v>
      </c>
      <c r="AH35" s="979">
        <f>R35+AE35</f>
        <v>393153</v>
      </c>
      <c r="AI35" s="979">
        <f t="shared" si="20"/>
        <v>111722</v>
      </c>
      <c r="AJ35" s="979">
        <f t="shared" si="20"/>
        <v>504875</v>
      </c>
      <c r="AK35" s="981">
        <f>'4 intézményi bevétel'!AT35-'6 intézményi kiadás'!AH35</f>
        <v>0</v>
      </c>
      <c r="AL35" s="981">
        <f>'4 intézményi bevétel'!AU35-'6 intézményi kiadás'!AI35</f>
        <v>0</v>
      </c>
      <c r="AM35" s="981">
        <f>'4 intézményi bevétel'!AV35-'6 intézményi kiadás'!AJ35</f>
        <v>0</v>
      </c>
      <c r="AN35" s="918" t="s">
        <v>793</v>
      </c>
    </row>
    <row r="36" spans="1:40" s="968" customFormat="1" ht="48.75" customHeight="1" x14ac:dyDescent="0.6">
      <c r="A36" s="918" t="s">
        <v>794</v>
      </c>
      <c r="B36" s="979">
        <f>[4]int.kiadások2017!B35</f>
        <v>115284</v>
      </c>
      <c r="C36" s="987">
        <f>18977+37378</f>
        <v>56355</v>
      </c>
      <c r="D36" s="987">
        <f t="shared" si="2"/>
        <v>171639</v>
      </c>
      <c r="E36" s="979">
        <f>[4]int.kiadások2017!C35</f>
        <v>25320</v>
      </c>
      <c r="F36" s="987">
        <f>4532+7452</f>
        <v>11984</v>
      </c>
      <c r="G36" s="987">
        <f>SUM(E36:F36)</f>
        <v>37304</v>
      </c>
      <c r="H36" s="979">
        <f>[4]int.kiadások2017!D35</f>
        <v>62130</v>
      </c>
      <c r="I36" s="987">
        <f>17840+85069</f>
        <v>102909</v>
      </c>
      <c r="J36" s="987">
        <f>SUM(H36:I36)</f>
        <v>165039</v>
      </c>
      <c r="K36" s="918" t="s">
        <v>794</v>
      </c>
      <c r="L36" s="987">
        <f>[4]int.kiadások2017!E35</f>
        <v>0</v>
      </c>
      <c r="M36" s="987"/>
      <c r="N36" s="987">
        <f>SUM(L36:M36)</f>
        <v>0</v>
      </c>
      <c r="O36" s="987">
        <f>[4]int.kiadások2017!F35</f>
        <v>0</v>
      </c>
      <c r="P36" s="987"/>
      <c r="Q36" s="987">
        <f>SUM(O36:P36)</f>
        <v>0</v>
      </c>
      <c r="R36" s="979">
        <f>B36+E36+H36+L36+O36</f>
        <v>202734</v>
      </c>
      <c r="S36" s="979">
        <f t="shared" si="18"/>
        <v>171248</v>
      </c>
      <c r="T36" s="979">
        <f t="shared" si="18"/>
        <v>373982</v>
      </c>
      <c r="U36" s="918" t="s">
        <v>794</v>
      </c>
      <c r="V36" s="987">
        <f>[4]int.kiadások2017!I35</f>
        <v>0</v>
      </c>
      <c r="W36" s="987">
        <f>2007+15000</f>
        <v>17007</v>
      </c>
      <c r="X36" s="987">
        <f>SUM(V36:W36)</f>
        <v>17007</v>
      </c>
      <c r="Y36" s="987">
        <f>[4]int.kiadások2017!J35</f>
        <v>0</v>
      </c>
      <c r="Z36" s="987"/>
      <c r="AA36" s="987">
        <f>SUM(Y36:Z36)</f>
        <v>0</v>
      </c>
      <c r="AB36" s="987">
        <f>[4]int.kiadások2017!K35</f>
        <v>0</v>
      </c>
      <c r="AC36" s="987"/>
      <c r="AD36" s="987">
        <f>SUM(AB36:AC36)</f>
        <v>0</v>
      </c>
      <c r="AE36" s="979">
        <f t="shared" si="19"/>
        <v>0</v>
      </c>
      <c r="AF36" s="979">
        <f t="shared" si="19"/>
        <v>17007</v>
      </c>
      <c r="AG36" s="979">
        <f t="shared" si="19"/>
        <v>17007</v>
      </c>
      <c r="AH36" s="979">
        <f>R36+AE36</f>
        <v>202734</v>
      </c>
      <c r="AI36" s="979">
        <f t="shared" si="20"/>
        <v>188255</v>
      </c>
      <c r="AJ36" s="979">
        <f t="shared" si="20"/>
        <v>390989</v>
      </c>
      <c r="AK36" s="981">
        <f>'4 intézményi bevétel'!AT36-'6 intézményi kiadás'!AH36</f>
        <v>0</v>
      </c>
      <c r="AL36" s="981">
        <f>'4 intézményi bevétel'!AU36-'6 intézményi kiadás'!AI36</f>
        <v>0</v>
      </c>
      <c r="AM36" s="981">
        <f>'4 intézményi bevétel'!AV36-'6 intézményi kiadás'!AJ36</f>
        <v>0</v>
      </c>
      <c r="AN36" s="918" t="s">
        <v>794</v>
      </c>
    </row>
    <row r="37" spans="1:40" s="968" customFormat="1" ht="48.75" customHeight="1" thickBot="1" x14ac:dyDescent="0.65">
      <c r="A37" s="921" t="s">
        <v>795</v>
      </c>
      <c r="B37" s="979">
        <f>[4]int.kiadások2017!B36</f>
        <v>255426</v>
      </c>
      <c r="C37" s="987">
        <f>5207+6116</f>
        <v>11323</v>
      </c>
      <c r="D37" s="987">
        <f t="shared" si="2"/>
        <v>266749</v>
      </c>
      <c r="E37" s="979">
        <f>[4]int.kiadások2017!C36</f>
        <v>61256</v>
      </c>
      <c r="F37" s="987">
        <f>1276+1324</f>
        <v>2600</v>
      </c>
      <c r="G37" s="987">
        <f>SUM(E37:F37)</f>
        <v>63856</v>
      </c>
      <c r="H37" s="979">
        <f>[4]int.kiadások2017!D36</f>
        <v>118436</v>
      </c>
      <c r="I37" s="987">
        <f>28753-4152</f>
        <v>24601</v>
      </c>
      <c r="J37" s="987">
        <f>SUM(H37:I37)</f>
        <v>143037</v>
      </c>
      <c r="K37" s="921" t="s">
        <v>795</v>
      </c>
      <c r="L37" s="987">
        <f>[4]int.kiadások2017!E36</f>
        <v>0</v>
      </c>
      <c r="M37" s="987"/>
      <c r="N37" s="987">
        <f>SUM(L37:M37)</f>
        <v>0</v>
      </c>
      <c r="O37" s="987">
        <f>[4]int.kiadások2017!F36</f>
        <v>0</v>
      </c>
      <c r="P37" s="987">
        <v>1225</v>
      </c>
      <c r="Q37" s="987">
        <f>SUM(O37:P37)</f>
        <v>1225</v>
      </c>
      <c r="R37" s="979">
        <f>B37+E37+H37+L37+O37</f>
        <v>435118</v>
      </c>
      <c r="S37" s="979">
        <f t="shared" si="18"/>
        <v>39749</v>
      </c>
      <c r="T37" s="979">
        <f t="shared" si="18"/>
        <v>474867</v>
      </c>
      <c r="U37" s="921" t="s">
        <v>795</v>
      </c>
      <c r="V37" s="987">
        <f>[4]int.kiadások2017!I36</f>
        <v>0</v>
      </c>
      <c r="W37" s="987">
        <f>980+1548</f>
        <v>2528</v>
      </c>
      <c r="X37" s="987">
        <f>SUM(V37:W37)</f>
        <v>2528</v>
      </c>
      <c r="Y37" s="987">
        <f>[4]int.kiadások2017!J36</f>
        <v>3000</v>
      </c>
      <c r="Z37" s="987">
        <v>2604</v>
      </c>
      <c r="AA37" s="987">
        <f>SUM(Y37:Z37)</f>
        <v>5604</v>
      </c>
      <c r="AB37" s="987">
        <f>[4]int.kiadások2017!K36</f>
        <v>0</v>
      </c>
      <c r="AC37" s="987"/>
      <c r="AD37" s="987">
        <f>SUM(AB37:AC37)</f>
        <v>0</v>
      </c>
      <c r="AE37" s="979">
        <f t="shared" si="19"/>
        <v>3000</v>
      </c>
      <c r="AF37" s="979">
        <f t="shared" si="19"/>
        <v>5132</v>
      </c>
      <c r="AG37" s="979">
        <f t="shared" si="19"/>
        <v>8132</v>
      </c>
      <c r="AH37" s="979">
        <f>R37+AE37</f>
        <v>438118</v>
      </c>
      <c r="AI37" s="979">
        <f t="shared" si="20"/>
        <v>44881</v>
      </c>
      <c r="AJ37" s="979">
        <f t="shared" si="20"/>
        <v>482999</v>
      </c>
      <c r="AK37" s="981">
        <f>'4 intézményi bevétel'!AT37-'6 intézményi kiadás'!AH37</f>
        <v>0</v>
      </c>
      <c r="AL37" s="981">
        <f>'4 intézményi bevétel'!AU37-'6 intézményi kiadás'!AI37</f>
        <v>0</v>
      </c>
      <c r="AM37" s="981">
        <f>'4 intézményi bevétel'!AV37-'6 intézményi kiadás'!AJ37</f>
        <v>0</v>
      </c>
      <c r="AN37" s="921" t="s">
        <v>795</v>
      </c>
    </row>
    <row r="38" spans="1:40" s="968" customFormat="1" ht="61.5" customHeight="1" thickBot="1" x14ac:dyDescent="0.65">
      <c r="A38" s="932" t="s">
        <v>796</v>
      </c>
      <c r="B38" s="985">
        <f t="shared" ref="B38:J38" si="21">SUM(B33:B37)</f>
        <v>755935</v>
      </c>
      <c r="C38" s="985">
        <f t="shared" si="21"/>
        <v>131045</v>
      </c>
      <c r="D38" s="985">
        <f t="shared" si="21"/>
        <v>886980</v>
      </c>
      <c r="E38" s="985">
        <f t="shared" si="21"/>
        <v>171677</v>
      </c>
      <c r="F38" s="985">
        <f t="shared" si="21"/>
        <v>33183</v>
      </c>
      <c r="G38" s="985">
        <f t="shared" si="21"/>
        <v>204860</v>
      </c>
      <c r="H38" s="985">
        <f t="shared" si="21"/>
        <v>554283</v>
      </c>
      <c r="I38" s="985">
        <f t="shared" si="21"/>
        <v>221976</v>
      </c>
      <c r="J38" s="985">
        <f t="shared" si="21"/>
        <v>776259</v>
      </c>
      <c r="K38" s="932" t="s">
        <v>796</v>
      </c>
      <c r="L38" s="985">
        <f t="shared" ref="L38:T38" si="22">SUM(L33:L37)</f>
        <v>0</v>
      </c>
      <c r="M38" s="985">
        <f t="shared" si="22"/>
        <v>0</v>
      </c>
      <c r="N38" s="985">
        <f t="shared" si="22"/>
        <v>0</v>
      </c>
      <c r="O38" s="985">
        <f t="shared" si="22"/>
        <v>0</v>
      </c>
      <c r="P38" s="985">
        <f t="shared" si="22"/>
        <v>1225</v>
      </c>
      <c r="Q38" s="985">
        <f t="shared" si="22"/>
        <v>1225</v>
      </c>
      <c r="R38" s="985">
        <f t="shared" si="22"/>
        <v>1481895</v>
      </c>
      <c r="S38" s="985">
        <f t="shared" si="22"/>
        <v>387429</v>
      </c>
      <c r="T38" s="985">
        <f t="shared" si="22"/>
        <v>1869324</v>
      </c>
      <c r="U38" s="932" t="s">
        <v>796</v>
      </c>
      <c r="V38" s="985">
        <f t="shared" ref="V38:AA38" si="23">SUM(V33:V37)</f>
        <v>10000</v>
      </c>
      <c r="W38" s="985">
        <f t="shared" si="23"/>
        <v>37426</v>
      </c>
      <c r="X38" s="985">
        <f t="shared" si="23"/>
        <v>47426</v>
      </c>
      <c r="Y38" s="985">
        <f t="shared" si="23"/>
        <v>3000</v>
      </c>
      <c r="Z38" s="985">
        <f t="shared" si="23"/>
        <v>3915</v>
      </c>
      <c r="AA38" s="985">
        <f t="shared" si="23"/>
        <v>6915</v>
      </c>
      <c r="AB38" s="985">
        <f>SUM(AB33:AB37)</f>
        <v>0</v>
      </c>
      <c r="AC38" s="985">
        <f>SUM(AC33:AC37)</f>
        <v>0</v>
      </c>
      <c r="AD38" s="985">
        <f>SUM(AD33:AD37)</f>
        <v>0</v>
      </c>
      <c r="AE38" s="985">
        <f t="shared" ref="AE38:AJ38" si="24">SUM(AE33:AE37)</f>
        <v>13000</v>
      </c>
      <c r="AF38" s="985">
        <f t="shared" si="24"/>
        <v>41341</v>
      </c>
      <c r="AG38" s="985">
        <f t="shared" si="24"/>
        <v>54341</v>
      </c>
      <c r="AH38" s="985">
        <f t="shared" si="24"/>
        <v>1494895</v>
      </c>
      <c r="AI38" s="985">
        <f t="shared" si="24"/>
        <v>428770</v>
      </c>
      <c r="AJ38" s="985">
        <f t="shared" si="24"/>
        <v>1923665</v>
      </c>
      <c r="AK38" s="981">
        <f>'4 intézményi bevétel'!AT38-'6 intézményi kiadás'!AH38</f>
        <v>0</v>
      </c>
      <c r="AL38" s="981">
        <f>'4 intézményi bevétel'!AU38-'6 intézményi kiadás'!AI38</f>
        <v>0</v>
      </c>
      <c r="AM38" s="981">
        <f>'4 intézményi bevétel'!AV38-'6 intézményi kiadás'!AJ38</f>
        <v>0</v>
      </c>
      <c r="AN38" s="932" t="s">
        <v>796</v>
      </c>
    </row>
    <row r="39" spans="1:40" s="968" customFormat="1" ht="48" customHeight="1" x14ac:dyDescent="0.6">
      <c r="A39" s="933" t="s">
        <v>797</v>
      </c>
      <c r="B39" s="976"/>
      <c r="C39" s="976"/>
      <c r="D39" s="976"/>
      <c r="E39" s="976"/>
      <c r="F39" s="976"/>
      <c r="G39" s="976"/>
      <c r="H39" s="976"/>
      <c r="I39" s="976"/>
      <c r="J39" s="976"/>
      <c r="K39" s="933" t="s">
        <v>797</v>
      </c>
      <c r="L39" s="976"/>
      <c r="M39" s="976"/>
      <c r="N39" s="976"/>
      <c r="O39" s="976"/>
      <c r="P39" s="976"/>
      <c r="Q39" s="976"/>
      <c r="R39" s="976"/>
      <c r="S39" s="976"/>
      <c r="T39" s="976"/>
      <c r="U39" s="933" t="s">
        <v>797</v>
      </c>
      <c r="V39" s="976"/>
      <c r="W39" s="976"/>
      <c r="X39" s="976"/>
      <c r="Y39" s="976"/>
      <c r="Z39" s="976"/>
      <c r="AA39" s="976"/>
      <c r="AB39" s="976"/>
      <c r="AC39" s="976"/>
      <c r="AD39" s="976"/>
      <c r="AE39" s="976"/>
      <c r="AF39" s="976"/>
      <c r="AG39" s="976"/>
      <c r="AH39" s="976"/>
      <c r="AI39" s="976"/>
      <c r="AJ39" s="976"/>
      <c r="AK39" s="981">
        <f>'4 intézményi bevétel'!AT39-'6 intézményi kiadás'!AH39</f>
        <v>0</v>
      </c>
      <c r="AL39" s="981">
        <f>'4 intézményi bevétel'!AU39-'6 intézményi kiadás'!AI39</f>
        <v>0</v>
      </c>
      <c r="AM39" s="981">
        <f>'4 intézményi bevétel'!AV39-'6 intézményi kiadás'!AJ39</f>
        <v>0</v>
      </c>
      <c r="AN39" s="933" t="s">
        <v>797</v>
      </c>
    </row>
    <row r="40" spans="1:40" s="968" customFormat="1" ht="48.75" customHeight="1" x14ac:dyDescent="0.6">
      <c r="A40" s="934" t="s">
        <v>798</v>
      </c>
      <c r="B40" s="979">
        <f>[4]int.kiadások2017!B39</f>
        <v>43867</v>
      </c>
      <c r="C40" s="988">
        <f>244+267</f>
        <v>511</v>
      </c>
      <c r="D40" s="988">
        <f t="shared" si="2"/>
        <v>44378</v>
      </c>
      <c r="E40" s="979">
        <f>[4]int.kiadások2017!C39</f>
        <v>10001</v>
      </c>
      <c r="F40" s="988">
        <f>171+51</f>
        <v>222</v>
      </c>
      <c r="G40" s="988">
        <f>SUM(E40:F40)</f>
        <v>10223</v>
      </c>
      <c r="H40" s="979">
        <f>[4]int.kiadások2017!D39</f>
        <v>53899</v>
      </c>
      <c r="I40" s="988">
        <v>4828</v>
      </c>
      <c r="J40" s="988">
        <f>SUM(H40:I40)</f>
        <v>58727</v>
      </c>
      <c r="K40" s="934" t="s">
        <v>798</v>
      </c>
      <c r="L40" s="988">
        <f>[4]int.kiadások2017!E39</f>
        <v>0</v>
      </c>
      <c r="M40" s="988"/>
      <c r="N40" s="988">
        <f>SUM(L40:M40)</f>
        <v>0</v>
      </c>
      <c r="O40" s="988">
        <f>[4]int.kiadások2017!F39</f>
        <v>30383</v>
      </c>
      <c r="P40" s="988">
        <v>23145</v>
      </c>
      <c r="Q40" s="988">
        <f>SUM(O40:P40)</f>
        <v>53528</v>
      </c>
      <c r="R40" s="979">
        <f>B40+E40+H40+L40+O40</f>
        <v>138150</v>
      </c>
      <c r="S40" s="979">
        <f>C40+F40+I40+M40+P40</f>
        <v>28706</v>
      </c>
      <c r="T40" s="979">
        <f>D40+G40+J40+N40+Q40</f>
        <v>166856</v>
      </c>
      <c r="U40" s="934" t="s">
        <v>798</v>
      </c>
      <c r="V40" s="988">
        <f>[4]int.kiadások2017!I39</f>
        <v>3850</v>
      </c>
      <c r="W40" s="988"/>
      <c r="X40" s="988">
        <f>SUM(V40:W40)</f>
        <v>3850</v>
      </c>
      <c r="Y40" s="988">
        <f>[4]int.kiadások2017!J39</f>
        <v>0</v>
      </c>
      <c r="Z40" s="989"/>
      <c r="AA40" s="988">
        <f>SUM(Y40:Z40)</f>
        <v>0</v>
      </c>
      <c r="AB40" s="988">
        <f>[4]int.kiadások2017!K39</f>
        <v>0</v>
      </c>
      <c r="AC40" s="988"/>
      <c r="AD40" s="988">
        <f>SUM(AB40:AC40)</f>
        <v>0</v>
      </c>
      <c r="AE40" s="979">
        <f>V40+Y40+AB40</f>
        <v>3850</v>
      </c>
      <c r="AF40" s="979">
        <f>W40+Z40+AC40</f>
        <v>0</v>
      </c>
      <c r="AG40" s="979">
        <f>X40+AA40+AD40</f>
        <v>3850</v>
      </c>
      <c r="AH40" s="979">
        <f>R40+AE40</f>
        <v>142000</v>
      </c>
      <c r="AI40" s="979">
        <f>S40+AF40</f>
        <v>28706</v>
      </c>
      <c r="AJ40" s="979">
        <f>T40+AG40</f>
        <v>170706</v>
      </c>
      <c r="AK40" s="981">
        <f>'4 intézményi bevétel'!AT40-'6 intézményi kiadás'!AH40</f>
        <v>0</v>
      </c>
      <c r="AL40" s="981">
        <f>'4 intézményi bevétel'!AU40-'6 intézményi kiadás'!AI40</f>
        <v>0</v>
      </c>
      <c r="AM40" s="981">
        <f>'4 intézményi bevétel'!AV40-'6 intézményi kiadás'!AJ40</f>
        <v>0</v>
      </c>
      <c r="AN40" s="934" t="s">
        <v>799</v>
      </c>
    </row>
    <row r="41" spans="1:40" s="968" customFormat="1" ht="61.5" customHeight="1" thickBot="1" x14ac:dyDescent="0.65">
      <c r="A41" s="936" t="s">
        <v>800</v>
      </c>
      <c r="B41" s="983">
        <f t="shared" ref="B41:J41" si="25">SUM(B40:B40)</f>
        <v>43867</v>
      </c>
      <c r="C41" s="983">
        <f t="shared" si="25"/>
        <v>511</v>
      </c>
      <c r="D41" s="983">
        <f t="shared" si="25"/>
        <v>44378</v>
      </c>
      <c r="E41" s="983">
        <f t="shared" si="25"/>
        <v>10001</v>
      </c>
      <c r="F41" s="983">
        <f t="shared" si="25"/>
        <v>222</v>
      </c>
      <c r="G41" s="983">
        <f t="shared" si="25"/>
        <v>10223</v>
      </c>
      <c r="H41" s="983">
        <f t="shared" si="25"/>
        <v>53899</v>
      </c>
      <c r="I41" s="983">
        <f t="shared" si="25"/>
        <v>4828</v>
      </c>
      <c r="J41" s="983">
        <f t="shared" si="25"/>
        <v>58727</v>
      </c>
      <c r="K41" s="936" t="s">
        <v>800</v>
      </c>
      <c r="L41" s="983">
        <f t="shared" ref="L41:T41" si="26">SUM(L40:L40)</f>
        <v>0</v>
      </c>
      <c r="M41" s="983">
        <f t="shared" si="26"/>
        <v>0</v>
      </c>
      <c r="N41" s="983">
        <f t="shared" si="26"/>
        <v>0</v>
      </c>
      <c r="O41" s="983">
        <f t="shared" si="26"/>
        <v>30383</v>
      </c>
      <c r="P41" s="983">
        <f t="shared" si="26"/>
        <v>23145</v>
      </c>
      <c r="Q41" s="983">
        <f t="shared" si="26"/>
        <v>53528</v>
      </c>
      <c r="R41" s="983">
        <f t="shared" si="26"/>
        <v>138150</v>
      </c>
      <c r="S41" s="983">
        <f t="shared" si="26"/>
        <v>28706</v>
      </c>
      <c r="T41" s="983">
        <f t="shared" si="26"/>
        <v>166856</v>
      </c>
      <c r="U41" s="936" t="s">
        <v>800</v>
      </c>
      <c r="V41" s="983">
        <f t="shared" ref="V41:AA41" si="27">SUM(V40:V40)</f>
        <v>3850</v>
      </c>
      <c r="W41" s="983">
        <f t="shared" si="27"/>
        <v>0</v>
      </c>
      <c r="X41" s="983">
        <f t="shared" si="27"/>
        <v>3850</v>
      </c>
      <c r="Y41" s="983">
        <f t="shared" si="27"/>
        <v>0</v>
      </c>
      <c r="Z41" s="983">
        <f t="shared" si="27"/>
        <v>0</v>
      </c>
      <c r="AA41" s="983">
        <f t="shared" si="27"/>
        <v>0</v>
      </c>
      <c r="AB41" s="983">
        <f>SUM(AB40:AB40)</f>
        <v>0</v>
      </c>
      <c r="AC41" s="983">
        <f>SUM(AC40:AC40)</f>
        <v>0</v>
      </c>
      <c r="AD41" s="983">
        <f>SUM(AD40:AD40)</f>
        <v>0</v>
      </c>
      <c r="AE41" s="983">
        <f t="shared" ref="AE41:AJ41" si="28">SUM(AE40:AE40)</f>
        <v>3850</v>
      </c>
      <c r="AF41" s="983">
        <f t="shared" si="28"/>
        <v>0</v>
      </c>
      <c r="AG41" s="983">
        <f t="shared" si="28"/>
        <v>3850</v>
      </c>
      <c r="AH41" s="983">
        <f t="shared" si="28"/>
        <v>142000</v>
      </c>
      <c r="AI41" s="983">
        <f t="shared" si="28"/>
        <v>28706</v>
      </c>
      <c r="AJ41" s="983">
        <f t="shared" si="28"/>
        <v>170706</v>
      </c>
      <c r="AK41" s="981">
        <f>'4 intézményi bevétel'!AT41-'6 intézményi kiadás'!AH41</f>
        <v>0</v>
      </c>
      <c r="AL41" s="981">
        <f>'4 intézményi bevétel'!AU41-'6 intézményi kiadás'!AI41</f>
        <v>0</v>
      </c>
      <c r="AM41" s="981">
        <f>'4 intézményi bevétel'!AV41-'6 intézményi kiadás'!AJ41</f>
        <v>0</v>
      </c>
      <c r="AN41" s="936" t="s">
        <v>800</v>
      </c>
    </row>
    <row r="42" spans="1:40" s="968" customFormat="1" ht="48.75" customHeight="1" x14ac:dyDescent="0.6">
      <c r="A42" s="933" t="s">
        <v>801</v>
      </c>
      <c r="B42" s="976"/>
      <c r="C42" s="976"/>
      <c r="D42" s="976"/>
      <c r="E42" s="976"/>
      <c r="F42" s="976"/>
      <c r="G42" s="976"/>
      <c r="H42" s="976"/>
      <c r="I42" s="976"/>
      <c r="J42" s="976"/>
      <c r="K42" s="933" t="s">
        <v>801</v>
      </c>
      <c r="L42" s="976"/>
      <c r="M42" s="976"/>
      <c r="N42" s="976"/>
      <c r="O42" s="976"/>
      <c r="P42" s="976"/>
      <c r="Q42" s="976"/>
      <c r="R42" s="976"/>
      <c r="S42" s="976"/>
      <c r="T42" s="976"/>
      <c r="U42" s="933" t="s">
        <v>801</v>
      </c>
      <c r="V42" s="976"/>
      <c r="W42" s="976"/>
      <c r="X42" s="976"/>
      <c r="Y42" s="976"/>
      <c r="Z42" s="976"/>
      <c r="AA42" s="976"/>
      <c r="AB42" s="976"/>
      <c r="AC42" s="976"/>
      <c r="AD42" s="976"/>
      <c r="AE42" s="976"/>
      <c r="AF42" s="976"/>
      <c r="AG42" s="976"/>
      <c r="AH42" s="976"/>
      <c r="AI42" s="976"/>
      <c r="AJ42" s="976"/>
      <c r="AK42" s="981">
        <f>'4 intézményi bevétel'!AT42-'6 intézményi kiadás'!AH42</f>
        <v>0</v>
      </c>
      <c r="AL42" s="981">
        <f>'4 intézményi bevétel'!AU42-'6 intézményi kiadás'!AI42</f>
        <v>0</v>
      </c>
      <c r="AM42" s="981">
        <f>'4 intézményi bevétel'!AV42-'6 intézményi kiadás'!AJ42</f>
        <v>0</v>
      </c>
      <c r="AN42" s="933" t="s">
        <v>801</v>
      </c>
    </row>
    <row r="43" spans="1:40" s="968" customFormat="1" ht="48" customHeight="1" x14ac:dyDescent="0.6">
      <c r="A43" s="934" t="s">
        <v>802</v>
      </c>
      <c r="B43" s="979">
        <f>[4]int.kiadások2017!B42</f>
        <v>300762</v>
      </c>
      <c r="C43" s="988">
        <f>5127+720</f>
        <v>5847</v>
      </c>
      <c r="D43" s="988">
        <f t="shared" si="2"/>
        <v>306609</v>
      </c>
      <c r="E43" s="979">
        <f>[4]int.kiadások2017!C42</f>
        <v>71052</v>
      </c>
      <c r="F43" s="988">
        <f>1243+138</f>
        <v>1381</v>
      </c>
      <c r="G43" s="988">
        <f>SUM(E43:F43)</f>
        <v>72433</v>
      </c>
      <c r="H43" s="979">
        <f>[4]int.kiadások2017!D42</f>
        <v>130709</v>
      </c>
      <c r="I43" s="988">
        <f>19362+13330</f>
        <v>32692</v>
      </c>
      <c r="J43" s="988">
        <f>SUM(H43:I43)</f>
        <v>163401</v>
      </c>
      <c r="K43" s="934" t="s">
        <v>802</v>
      </c>
      <c r="L43" s="988">
        <f>[4]int.kiadások2017!E42</f>
        <v>0</v>
      </c>
      <c r="M43" s="988"/>
      <c r="N43" s="988">
        <f>SUM(L43:M43)</f>
        <v>0</v>
      </c>
      <c r="O43" s="988">
        <f>[4]int.kiadások2017!F42</f>
        <v>0</v>
      </c>
      <c r="P43" s="988"/>
      <c r="Q43" s="988">
        <f>SUM(O43:P43)</f>
        <v>0</v>
      </c>
      <c r="R43" s="979">
        <f>B43+E43+H43+L43+O43</f>
        <v>502523</v>
      </c>
      <c r="S43" s="979">
        <f>C43+F43+I43+M43+P43</f>
        <v>39920</v>
      </c>
      <c r="T43" s="979">
        <f>D43+G43+J43+N43+Q43</f>
        <v>542443</v>
      </c>
      <c r="U43" s="934" t="s">
        <v>802</v>
      </c>
      <c r="V43" s="988">
        <f>[4]int.kiadások2017!I42</f>
        <v>5129</v>
      </c>
      <c r="W43" s="988">
        <v>81640</v>
      </c>
      <c r="X43" s="988">
        <f>SUM(V43:W43)</f>
        <v>86769</v>
      </c>
      <c r="Y43" s="988">
        <f>[4]int.kiadások2017!J42</f>
        <v>0</v>
      </c>
      <c r="Z43" s="988">
        <f>4417+4740</f>
        <v>9157</v>
      </c>
      <c r="AA43" s="988">
        <f>SUM(Y43:Z43)</f>
        <v>9157</v>
      </c>
      <c r="AB43" s="988">
        <f>[4]int.kiadások2017!K42</f>
        <v>0</v>
      </c>
      <c r="AC43" s="988"/>
      <c r="AD43" s="988">
        <f>SUM(AB43:AC43)</f>
        <v>0</v>
      </c>
      <c r="AE43" s="979">
        <f>V43+Y43+AB43</f>
        <v>5129</v>
      </c>
      <c r="AF43" s="979">
        <f>W43+Z43+AC43</f>
        <v>90797</v>
      </c>
      <c r="AG43" s="979">
        <f>X43+AA43+AD43</f>
        <v>95926</v>
      </c>
      <c r="AH43" s="979">
        <f>R43+AE43</f>
        <v>507652</v>
      </c>
      <c r="AI43" s="979">
        <f>S43+AF43</f>
        <v>130717</v>
      </c>
      <c r="AJ43" s="979">
        <f>T43+AG43</f>
        <v>638369</v>
      </c>
      <c r="AK43" s="981">
        <f>'4 intézményi bevétel'!AT43-'6 intézményi kiadás'!AH43</f>
        <v>0</v>
      </c>
      <c r="AL43" s="981">
        <f>'4 intézményi bevétel'!AU43-'6 intézményi kiadás'!AI43</f>
        <v>0</v>
      </c>
      <c r="AM43" s="981">
        <f>'4 intézményi bevétel'!AV43-'6 intézményi kiadás'!AJ43</f>
        <v>0</v>
      </c>
      <c r="AN43" s="934" t="s">
        <v>802</v>
      </c>
    </row>
    <row r="44" spans="1:40" s="968" customFormat="1" ht="48.75" customHeight="1" thickBot="1" x14ac:dyDescent="0.65">
      <c r="A44" s="936" t="s">
        <v>803</v>
      </c>
      <c r="B44" s="983">
        <f t="shared" ref="B44:J44" si="29">SUM(B43)</f>
        <v>300762</v>
      </c>
      <c r="C44" s="983">
        <f t="shared" si="29"/>
        <v>5847</v>
      </c>
      <c r="D44" s="983">
        <f t="shared" si="29"/>
        <v>306609</v>
      </c>
      <c r="E44" s="983">
        <f t="shared" si="29"/>
        <v>71052</v>
      </c>
      <c r="F44" s="983">
        <f t="shared" si="29"/>
        <v>1381</v>
      </c>
      <c r="G44" s="983">
        <f t="shared" si="29"/>
        <v>72433</v>
      </c>
      <c r="H44" s="983">
        <f t="shared" si="29"/>
        <v>130709</v>
      </c>
      <c r="I44" s="983">
        <f t="shared" si="29"/>
        <v>32692</v>
      </c>
      <c r="J44" s="983">
        <f t="shared" si="29"/>
        <v>163401</v>
      </c>
      <c r="K44" s="936" t="s">
        <v>803</v>
      </c>
      <c r="L44" s="983">
        <f t="shared" ref="L44:T44" si="30">SUM(L43)</f>
        <v>0</v>
      </c>
      <c r="M44" s="983">
        <f t="shared" si="30"/>
        <v>0</v>
      </c>
      <c r="N44" s="983">
        <f t="shared" si="30"/>
        <v>0</v>
      </c>
      <c r="O44" s="983">
        <f t="shared" si="30"/>
        <v>0</v>
      </c>
      <c r="P44" s="983">
        <f t="shared" si="30"/>
        <v>0</v>
      </c>
      <c r="Q44" s="983">
        <f t="shared" si="30"/>
        <v>0</v>
      </c>
      <c r="R44" s="983">
        <f t="shared" si="30"/>
        <v>502523</v>
      </c>
      <c r="S44" s="983">
        <f t="shared" si="30"/>
        <v>39920</v>
      </c>
      <c r="T44" s="983">
        <f t="shared" si="30"/>
        <v>542443</v>
      </c>
      <c r="U44" s="936" t="s">
        <v>803</v>
      </c>
      <c r="V44" s="983">
        <f t="shared" ref="V44:AA44" si="31">SUM(V43)</f>
        <v>5129</v>
      </c>
      <c r="W44" s="983">
        <f t="shared" si="31"/>
        <v>81640</v>
      </c>
      <c r="X44" s="983">
        <f t="shared" si="31"/>
        <v>86769</v>
      </c>
      <c r="Y44" s="983">
        <f t="shared" si="31"/>
        <v>0</v>
      </c>
      <c r="Z44" s="983">
        <f t="shared" si="31"/>
        <v>9157</v>
      </c>
      <c r="AA44" s="983">
        <f t="shared" si="31"/>
        <v>9157</v>
      </c>
      <c r="AB44" s="983">
        <f>SUM(AB43)</f>
        <v>0</v>
      </c>
      <c r="AC44" s="983">
        <f>SUM(AC43)</f>
        <v>0</v>
      </c>
      <c r="AD44" s="983">
        <f>SUM(AD43)</f>
        <v>0</v>
      </c>
      <c r="AE44" s="983">
        <f t="shared" ref="AE44:AJ44" si="32">SUM(AE43)</f>
        <v>5129</v>
      </c>
      <c r="AF44" s="983">
        <f t="shared" si="32"/>
        <v>90797</v>
      </c>
      <c r="AG44" s="983">
        <f t="shared" si="32"/>
        <v>95926</v>
      </c>
      <c r="AH44" s="983">
        <f t="shared" si="32"/>
        <v>507652</v>
      </c>
      <c r="AI44" s="983">
        <f t="shared" si="32"/>
        <v>130717</v>
      </c>
      <c r="AJ44" s="983">
        <f t="shared" si="32"/>
        <v>638369</v>
      </c>
      <c r="AK44" s="981">
        <f>'4 intézményi bevétel'!AT44-'6 intézményi kiadás'!AH44</f>
        <v>0</v>
      </c>
      <c r="AL44" s="981">
        <f>'4 intézményi bevétel'!AU44-'6 intézményi kiadás'!AI44</f>
        <v>0</v>
      </c>
      <c r="AM44" s="981">
        <f>'4 intézményi bevétel'!AV44-'6 intézményi kiadás'!AJ44</f>
        <v>0</v>
      </c>
      <c r="AN44" s="936" t="s">
        <v>803</v>
      </c>
    </row>
    <row r="45" spans="1:40" s="968" customFormat="1" ht="48.75" customHeight="1" x14ac:dyDescent="0.6">
      <c r="A45" s="933" t="s">
        <v>804</v>
      </c>
      <c r="B45" s="976"/>
      <c r="C45" s="976"/>
      <c r="D45" s="976"/>
      <c r="E45" s="976"/>
      <c r="F45" s="976"/>
      <c r="G45" s="976"/>
      <c r="H45" s="976"/>
      <c r="I45" s="976"/>
      <c r="J45" s="976"/>
      <c r="K45" s="933" t="s">
        <v>804</v>
      </c>
      <c r="L45" s="976"/>
      <c r="M45" s="976"/>
      <c r="N45" s="976"/>
      <c r="O45" s="976"/>
      <c r="P45" s="976"/>
      <c r="Q45" s="976"/>
      <c r="R45" s="976"/>
      <c r="S45" s="976"/>
      <c r="T45" s="976"/>
      <c r="U45" s="933" t="s">
        <v>804</v>
      </c>
      <c r="V45" s="976"/>
      <c r="W45" s="976"/>
      <c r="X45" s="976"/>
      <c r="Y45" s="976"/>
      <c r="Z45" s="976"/>
      <c r="AA45" s="976"/>
      <c r="AB45" s="976"/>
      <c r="AC45" s="976"/>
      <c r="AD45" s="976"/>
      <c r="AE45" s="976"/>
      <c r="AF45" s="976"/>
      <c r="AG45" s="976"/>
      <c r="AH45" s="976"/>
      <c r="AI45" s="976"/>
      <c r="AJ45" s="976"/>
      <c r="AK45" s="981">
        <f>'4 intézményi bevétel'!AT45-'6 intézményi kiadás'!AH45</f>
        <v>0</v>
      </c>
      <c r="AL45" s="981">
        <f>'4 intézményi bevétel'!AU45-'6 intézményi kiadás'!AI45</f>
        <v>0</v>
      </c>
      <c r="AM45" s="981">
        <f>'4 intézményi bevétel'!AV45-'6 intézményi kiadás'!AJ45</f>
        <v>0</v>
      </c>
      <c r="AN45" s="933" t="s">
        <v>804</v>
      </c>
    </row>
    <row r="46" spans="1:40" s="968" customFormat="1" ht="83.25" customHeight="1" x14ac:dyDescent="0.6">
      <c r="A46" s="944" t="s">
        <v>805</v>
      </c>
      <c r="B46" s="979">
        <f>[4]int.kiadások2017!B45</f>
        <v>404857</v>
      </c>
      <c r="C46" s="982">
        <f>195+18664</f>
        <v>18859</v>
      </c>
      <c r="D46" s="982">
        <f t="shared" si="2"/>
        <v>423716</v>
      </c>
      <c r="E46" s="979">
        <f>[4]int.kiadások2017!C45</f>
        <v>101345</v>
      </c>
      <c r="F46" s="982">
        <f>39+4190</f>
        <v>4229</v>
      </c>
      <c r="G46" s="982">
        <f>SUM(E46:F46)</f>
        <v>105574</v>
      </c>
      <c r="H46" s="979">
        <f>[4]int.kiadások2017!D45</f>
        <v>143662</v>
      </c>
      <c r="I46" s="982">
        <v>806</v>
      </c>
      <c r="J46" s="982">
        <f>SUM(H46:I46)</f>
        <v>144468</v>
      </c>
      <c r="K46" s="944" t="s">
        <v>822</v>
      </c>
      <c r="L46" s="982">
        <f>[4]int.kiadások2017!E45</f>
        <v>0</v>
      </c>
      <c r="M46" s="982"/>
      <c r="N46" s="982">
        <f>SUM(L46:M46)</f>
        <v>0</v>
      </c>
      <c r="O46" s="982">
        <f>[4]int.kiadások2017!F45</f>
        <v>0</v>
      </c>
      <c r="P46" s="982"/>
      <c r="Q46" s="982">
        <f>SUM(O46:P46)</f>
        <v>0</v>
      </c>
      <c r="R46" s="979">
        <f t="shared" ref="R46:T47" si="33">B46+E46+H46+L46+O46</f>
        <v>649864</v>
      </c>
      <c r="S46" s="979">
        <f t="shared" si="33"/>
        <v>23894</v>
      </c>
      <c r="T46" s="979">
        <f t="shared" si="33"/>
        <v>673758</v>
      </c>
      <c r="U46" s="944" t="s">
        <v>805</v>
      </c>
      <c r="V46" s="982">
        <f>[4]int.kiadások2017!I45</f>
        <v>6469</v>
      </c>
      <c r="W46" s="982">
        <v>913</v>
      </c>
      <c r="X46" s="982">
        <f>SUM(V46:W46)</f>
        <v>7382</v>
      </c>
      <c r="Y46" s="982">
        <f>[4]int.kiadások2017!J45</f>
        <v>169</v>
      </c>
      <c r="Z46" s="982"/>
      <c r="AA46" s="982">
        <f>SUM(Y46:Z46)</f>
        <v>169</v>
      </c>
      <c r="AB46" s="982">
        <f>[4]int.kiadások2017!K45</f>
        <v>0</v>
      </c>
      <c r="AC46" s="982"/>
      <c r="AD46" s="982">
        <f>SUM(AB46:AC46)</f>
        <v>0</v>
      </c>
      <c r="AE46" s="979">
        <f t="shared" ref="AE46:AG47" si="34">V46+Y46+AB46</f>
        <v>6638</v>
      </c>
      <c r="AF46" s="979">
        <f t="shared" si="34"/>
        <v>913</v>
      </c>
      <c r="AG46" s="979">
        <f t="shared" si="34"/>
        <v>7551</v>
      </c>
      <c r="AH46" s="979">
        <f t="shared" ref="AH46:AJ47" si="35">R46+AE46</f>
        <v>656502</v>
      </c>
      <c r="AI46" s="979">
        <f t="shared" si="35"/>
        <v>24807</v>
      </c>
      <c r="AJ46" s="979">
        <f t="shared" si="35"/>
        <v>681309</v>
      </c>
      <c r="AK46" s="981">
        <f>'4 intézményi bevétel'!AT46-'6 intézményi kiadás'!AH46</f>
        <v>0</v>
      </c>
      <c r="AL46" s="981">
        <f>'4 intézményi bevétel'!AU46-'6 intézményi kiadás'!AI46</f>
        <v>0</v>
      </c>
      <c r="AM46" s="981">
        <f>'4 intézményi bevétel'!AV46-'6 intézményi kiadás'!AJ46</f>
        <v>0</v>
      </c>
      <c r="AN46" s="944" t="s">
        <v>823</v>
      </c>
    </row>
    <row r="47" spans="1:40" s="973" customFormat="1" ht="88.5" customHeight="1" thickBot="1" x14ac:dyDescent="0.65">
      <c r="A47" s="946" t="s">
        <v>806</v>
      </c>
      <c r="B47" s="979">
        <f>[4]int.kiadások2017!B46</f>
        <v>361903</v>
      </c>
      <c r="C47" s="990">
        <f>15943+30134</f>
        <v>46077</v>
      </c>
      <c r="D47" s="990">
        <f t="shared" si="2"/>
        <v>407980</v>
      </c>
      <c r="E47" s="979">
        <f>[4]int.kiadások2017!C46</f>
        <v>90668</v>
      </c>
      <c r="F47" s="990">
        <f>3769+6761</f>
        <v>10530</v>
      </c>
      <c r="G47" s="990">
        <f>SUM(E47:F47)</f>
        <v>101198</v>
      </c>
      <c r="H47" s="979">
        <f>[4]int.kiadások2017!D46</f>
        <v>225183</v>
      </c>
      <c r="I47" s="990">
        <f>9528+838</f>
        <v>10366</v>
      </c>
      <c r="J47" s="990">
        <f>SUM(H47:I47)</f>
        <v>235549</v>
      </c>
      <c r="K47" s="946" t="s">
        <v>806</v>
      </c>
      <c r="L47" s="990">
        <f>[4]int.kiadások2017!E46</f>
        <v>0</v>
      </c>
      <c r="M47" s="990"/>
      <c r="N47" s="990">
        <f>SUM(L47:M47)</f>
        <v>0</v>
      </c>
      <c r="O47" s="990">
        <f>[4]int.kiadások2017!F46</f>
        <v>0</v>
      </c>
      <c r="P47" s="990"/>
      <c r="Q47" s="990">
        <f>SUM(O47:P47)</f>
        <v>0</v>
      </c>
      <c r="R47" s="979">
        <f t="shared" si="33"/>
        <v>677754</v>
      </c>
      <c r="S47" s="979">
        <f t="shared" si="33"/>
        <v>66973</v>
      </c>
      <c r="T47" s="979">
        <f t="shared" si="33"/>
        <v>744727</v>
      </c>
      <c r="U47" s="946" t="s">
        <v>806</v>
      </c>
      <c r="V47" s="990">
        <f>[4]int.kiadások2017!I46</f>
        <v>0</v>
      </c>
      <c r="W47" s="990">
        <v>7022</v>
      </c>
      <c r="X47" s="990">
        <f>SUM(V47:W47)</f>
        <v>7022</v>
      </c>
      <c r="Y47" s="990">
        <f>[4]int.kiadások2017!J46</f>
        <v>0</v>
      </c>
      <c r="Z47" s="990">
        <v>2493</v>
      </c>
      <c r="AA47" s="990">
        <f>SUM(Y47:Z47)</f>
        <v>2493</v>
      </c>
      <c r="AB47" s="990">
        <f>[4]int.kiadások2017!K46</f>
        <v>0</v>
      </c>
      <c r="AC47" s="990"/>
      <c r="AD47" s="990">
        <f>SUM(AB47:AC47)</f>
        <v>0</v>
      </c>
      <c r="AE47" s="979">
        <f t="shared" si="34"/>
        <v>0</v>
      </c>
      <c r="AF47" s="979">
        <f t="shared" si="34"/>
        <v>9515</v>
      </c>
      <c r="AG47" s="979">
        <f t="shared" si="34"/>
        <v>9515</v>
      </c>
      <c r="AH47" s="979">
        <f t="shared" si="35"/>
        <v>677754</v>
      </c>
      <c r="AI47" s="979">
        <f t="shared" si="35"/>
        <v>76488</v>
      </c>
      <c r="AJ47" s="979">
        <f t="shared" si="35"/>
        <v>754242</v>
      </c>
      <c r="AK47" s="981">
        <f>'4 intézményi bevétel'!AT47-'6 intézményi kiadás'!AH47</f>
        <v>0</v>
      </c>
      <c r="AL47" s="981">
        <f>'4 intézményi bevétel'!AU47-'6 intézményi kiadás'!AI47</f>
        <v>0</v>
      </c>
      <c r="AM47" s="981">
        <f>'4 intézményi bevétel'!AV47-'6 intézményi kiadás'!AJ47</f>
        <v>0</v>
      </c>
      <c r="AN47" s="946" t="s">
        <v>806</v>
      </c>
    </row>
    <row r="48" spans="1:40" s="968" customFormat="1" ht="57.75" customHeight="1" thickBot="1" x14ac:dyDescent="0.65">
      <c r="A48" s="948" t="s">
        <v>803</v>
      </c>
      <c r="B48" s="985">
        <f t="shared" ref="B48:J48" si="36">SUM(B46:B47)</f>
        <v>766760</v>
      </c>
      <c r="C48" s="985">
        <f t="shared" si="36"/>
        <v>64936</v>
      </c>
      <c r="D48" s="985">
        <f t="shared" si="36"/>
        <v>831696</v>
      </c>
      <c r="E48" s="985">
        <f t="shared" si="36"/>
        <v>192013</v>
      </c>
      <c r="F48" s="985">
        <f t="shared" si="36"/>
        <v>14759</v>
      </c>
      <c r="G48" s="985">
        <f t="shared" si="36"/>
        <v>206772</v>
      </c>
      <c r="H48" s="985">
        <f t="shared" si="36"/>
        <v>368845</v>
      </c>
      <c r="I48" s="985">
        <f t="shared" si="36"/>
        <v>11172</v>
      </c>
      <c r="J48" s="985">
        <f t="shared" si="36"/>
        <v>380017</v>
      </c>
      <c r="K48" s="948" t="s">
        <v>803</v>
      </c>
      <c r="L48" s="985">
        <f t="shared" ref="L48:T48" si="37">SUM(L46:L47)</f>
        <v>0</v>
      </c>
      <c r="M48" s="985">
        <f t="shared" si="37"/>
        <v>0</v>
      </c>
      <c r="N48" s="985">
        <f t="shared" si="37"/>
        <v>0</v>
      </c>
      <c r="O48" s="985">
        <f t="shared" si="37"/>
        <v>0</v>
      </c>
      <c r="P48" s="985">
        <f t="shared" si="37"/>
        <v>0</v>
      </c>
      <c r="Q48" s="985">
        <f t="shared" si="37"/>
        <v>0</v>
      </c>
      <c r="R48" s="985">
        <f t="shared" si="37"/>
        <v>1327618</v>
      </c>
      <c r="S48" s="985">
        <f t="shared" si="37"/>
        <v>90867</v>
      </c>
      <c r="T48" s="985">
        <f t="shared" si="37"/>
        <v>1418485</v>
      </c>
      <c r="U48" s="948" t="s">
        <v>803</v>
      </c>
      <c r="V48" s="985">
        <f t="shared" ref="V48:AA48" si="38">SUM(V46:V47)</f>
        <v>6469</v>
      </c>
      <c r="W48" s="985">
        <f t="shared" si="38"/>
        <v>7935</v>
      </c>
      <c r="X48" s="985">
        <f t="shared" si="38"/>
        <v>14404</v>
      </c>
      <c r="Y48" s="985">
        <f t="shared" si="38"/>
        <v>169</v>
      </c>
      <c r="Z48" s="985">
        <f t="shared" si="38"/>
        <v>2493</v>
      </c>
      <c r="AA48" s="985">
        <f t="shared" si="38"/>
        <v>2662</v>
      </c>
      <c r="AB48" s="985">
        <f>SUM(AB46:AB47)</f>
        <v>0</v>
      </c>
      <c r="AC48" s="985">
        <f>SUM(AC46:AC47)</f>
        <v>0</v>
      </c>
      <c r="AD48" s="985">
        <f>SUM(AD46:AD47)</f>
        <v>0</v>
      </c>
      <c r="AE48" s="985">
        <f t="shared" ref="AE48:AJ48" si="39">SUM(AE46:AE47)</f>
        <v>6638</v>
      </c>
      <c r="AF48" s="985">
        <f t="shared" si="39"/>
        <v>10428</v>
      </c>
      <c r="AG48" s="985">
        <f t="shared" si="39"/>
        <v>17066</v>
      </c>
      <c r="AH48" s="985">
        <f t="shared" si="39"/>
        <v>1334256</v>
      </c>
      <c r="AI48" s="985">
        <f t="shared" si="39"/>
        <v>101295</v>
      </c>
      <c r="AJ48" s="985">
        <f t="shared" si="39"/>
        <v>1435551</v>
      </c>
      <c r="AK48" s="981">
        <f>'4 intézményi bevétel'!AT48-'6 intézményi kiadás'!AH48</f>
        <v>0</v>
      </c>
      <c r="AL48" s="981">
        <f>'4 intézményi bevétel'!AU48-'6 intézményi kiadás'!AI48</f>
        <v>0</v>
      </c>
      <c r="AM48" s="981">
        <f>'4 intézményi bevétel'!AV48-'6 intézményi kiadás'!AJ48</f>
        <v>0</v>
      </c>
      <c r="AN48" s="948" t="s">
        <v>803</v>
      </c>
    </row>
    <row r="49" spans="1:40" s="968" customFormat="1" ht="58.5" customHeight="1" thickBot="1" x14ac:dyDescent="0.65">
      <c r="A49" s="949" t="s">
        <v>807</v>
      </c>
      <c r="B49" s="983">
        <f t="shared" ref="B49:J49" si="40">B38+B41+B44+B48</f>
        <v>1867324</v>
      </c>
      <c r="C49" s="983">
        <f t="shared" si="40"/>
        <v>202339</v>
      </c>
      <c r="D49" s="983">
        <f t="shared" si="40"/>
        <v>2069663</v>
      </c>
      <c r="E49" s="983">
        <f t="shared" si="40"/>
        <v>444743</v>
      </c>
      <c r="F49" s="983">
        <f t="shared" si="40"/>
        <v>49545</v>
      </c>
      <c r="G49" s="983">
        <f t="shared" si="40"/>
        <v>494288</v>
      </c>
      <c r="H49" s="983">
        <f t="shared" si="40"/>
        <v>1107736</v>
      </c>
      <c r="I49" s="983">
        <f t="shared" si="40"/>
        <v>270668</v>
      </c>
      <c r="J49" s="983">
        <f t="shared" si="40"/>
        <v>1378404</v>
      </c>
      <c r="K49" s="949" t="s">
        <v>807</v>
      </c>
      <c r="L49" s="983">
        <f t="shared" ref="L49:T49" si="41">L38+L41+L44+L48</f>
        <v>0</v>
      </c>
      <c r="M49" s="983">
        <f t="shared" si="41"/>
        <v>0</v>
      </c>
      <c r="N49" s="983">
        <f t="shared" si="41"/>
        <v>0</v>
      </c>
      <c r="O49" s="983">
        <f t="shared" si="41"/>
        <v>30383</v>
      </c>
      <c r="P49" s="983">
        <f t="shared" si="41"/>
        <v>24370</v>
      </c>
      <c r="Q49" s="983">
        <f t="shared" si="41"/>
        <v>54753</v>
      </c>
      <c r="R49" s="983">
        <f t="shared" si="41"/>
        <v>3450186</v>
      </c>
      <c r="S49" s="983">
        <f t="shared" si="41"/>
        <v>546922</v>
      </c>
      <c r="T49" s="983">
        <f t="shared" si="41"/>
        <v>3997108</v>
      </c>
      <c r="U49" s="949" t="s">
        <v>807</v>
      </c>
      <c r="V49" s="983">
        <f t="shared" ref="V49:AC49" si="42">V38+V41+V44+V48</f>
        <v>25448</v>
      </c>
      <c r="W49" s="983">
        <f t="shared" si="42"/>
        <v>127001</v>
      </c>
      <c r="X49" s="983">
        <f t="shared" si="42"/>
        <v>152449</v>
      </c>
      <c r="Y49" s="983">
        <f t="shared" si="42"/>
        <v>3169</v>
      </c>
      <c r="Z49" s="983">
        <f t="shared" si="42"/>
        <v>15565</v>
      </c>
      <c r="AA49" s="983">
        <f t="shared" si="42"/>
        <v>18734</v>
      </c>
      <c r="AB49" s="983">
        <f t="shared" si="42"/>
        <v>0</v>
      </c>
      <c r="AC49" s="983">
        <f t="shared" si="42"/>
        <v>0</v>
      </c>
      <c r="AD49" s="983">
        <f>AD38+AD41+AD44+AD48</f>
        <v>0</v>
      </c>
      <c r="AE49" s="983">
        <f t="shared" ref="AE49:AJ49" si="43">AE38+AE41+AE44+AE48</f>
        <v>28617</v>
      </c>
      <c r="AF49" s="983">
        <f t="shared" si="43"/>
        <v>142566</v>
      </c>
      <c r="AG49" s="983">
        <f t="shared" si="43"/>
        <v>171183</v>
      </c>
      <c r="AH49" s="983">
        <f t="shared" si="43"/>
        <v>3478803</v>
      </c>
      <c r="AI49" s="983">
        <f t="shared" si="43"/>
        <v>689488</v>
      </c>
      <c r="AJ49" s="983">
        <f t="shared" si="43"/>
        <v>4168291</v>
      </c>
      <c r="AK49" s="981">
        <f>'4 intézményi bevétel'!AT49-'6 intézményi kiadás'!AH49</f>
        <v>0</v>
      </c>
      <c r="AL49" s="981">
        <f>'4 intézményi bevétel'!AU49-'6 intézményi kiadás'!AI49</f>
        <v>0</v>
      </c>
      <c r="AM49" s="981">
        <f>'4 intézményi bevétel'!AV49-'6 intézményi kiadás'!AJ49</f>
        <v>0</v>
      </c>
      <c r="AN49" s="949" t="s">
        <v>807</v>
      </c>
    </row>
    <row r="50" spans="1:40" s="968" customFormat="1" ht="66" customHeight="1" thickBot="1" x14ac:dyDescent="0.65">
      <c r="A50" s="950" t="s">
        <v>808</v>
      </c>
      <c r="B50" s="983">
        <f t="shared" ref="B50:J50" si="44">B30</f>
        <v>1505221</v>
      </c>
      <c r="C50" s="983">
        <f>C30</f>
        <v>60112</v>
      </c>
      <c r="D50" s="983">
        <f t="shared" si="44"/>
        <v>1565333</v>
      </c>
      <c r="E50" s="983">
        <f t="shared" si="44"/>
        <v>351786</v>
      </c>
      <c r="F50" s="983">
        <f t="shared" si="44"/>
        <v>13235</v>
      </c>
      <c r="G50" s="983">
        <f t="shared" si="44"/>
        <v>365021</v>
      </c>
      <c r="H50" s="983">
        <f t="shared" si="44"/>
        <v>1215695</v>
      </c>
      <c r="I50" s="983">
        <f t="shared" si="44"/>
        <v>74319</v>
      </c>
      <c r="J50" s="983">
        <f t="shared" si="44"/>
        <v>1290014</v>
      </c>
      <c r="K50" s="950" t="s">
        <v>808</v>
      </c>
      <c r="L50" s="983">
        <f t="shared" ref="L50:T50" si="45">L30</f>
        <v>0</v>
      </c>
      <c r="M50" s="983">
        <f t="shared" si="45"/>
        <v>0</v>
      </c>
      <c r="N50" s="983">
        <f t="shared" si="45"/>
        <v>0</v>
      </c>
      <c r="O50" s="983">
        <f t="shared" si="45"/>
        <v>0</v>
      </c>
      <c r="P50" s="983">
        <f t="shared" si="45"/>
        <v>0</v>
      </c>
      <c r="Q50" s="983">
        <f t="shared" si="45"/>
        <v>0</v>
      </c>
      <c r="R50" s="983">
        <f t="shared" si="45"/>
        <v>3072702</v>
      </c>
      <c r="S50" s="983">
        <f t="shared" si="45"/>
        <v>147666</v>
      </c>
      <c r="T50" s="983">
        <f t="shared" si="45"/>
        <v>3220368</v>
      </c>
      <c r="U50" s="950" t="s">
        <v>808</v>
      </c>
      <c r="V50" s="983">
        <f t="shared" ref="V50:AC50" si="46">V30</f>
        <v>0</v>
      </c>
      <c r="W50" s="983">
        <f t="shared" si="46"/>
        <v>15519</v>
      </c>
      <c r="X50" s="983">
        <f t="shared" si="46"/>
        <v>15519</v>
      </c>
      <c r="Y50" s="983">
        <f t="shared" si="46"/>
        <v>0</v>
      </c>
      <c r="Z50" s="983">
        <f t="shared" si="46"/>
        <v>24229</v>
      </c>
      <c r="AA50" s="983">
        <f t="shared" si="46"/>
        <v>24229</v>
      </c>
      <c r="AB50" s="983">
        <f t="shared" si="46"/>
        <v>0</v>
      </c>
      <c r="AC50" s="983">
        <f t="shared" si="46"/>
        <v>0</v>
      </c>
      <c r="AD50" s="983">
        <f>AD30</f>
        <v>0</v>
      </c>
      <c r="AE50" s="983">
        <f t="shared" ref="AE50:AJ50" si="47">AE30</f>
        <v>0</v>
      </c>
      <c r="AF50" s="983">
        <f t="shared" si="47"/>
        <v>39748</v>
      </c>
      <c r="AG50" s="983">
        <f t="shared" si="47"/>
        <v>39748</v>
      </c>
      <c r="AH50" s="983">
        <f t="shared" si="47"/>
        <v>3072702</v>
      </c>
      <c r="AI50" s="983">
        <f t="shared" si="47"/>
        <v>187414</v>
      </c>
      <c r="AJ50" s="983">
        <f t="shared" si="47"/>
        <v>3260116</v>
      </c>
      <c r="AK50" s="981">
        <f>'4 intézményi bevétel'!AT50-'6 intézményi kiadás'!AH50</f>
        <v>0</v>
      </c>
      <c r="AL50" s="981">
        <f>'4 intézményi bevétel'!AU50-'6 intézményi kiadás'!AI50</f>
        <v>0</v>
      </c>
      <c r="AM50" s="981">
        <f>'4 intézményi bevétel'!AV50-'6 intézményi kiadás'!AJ50</f>
        <v>0</v>
      </c>
      <c r="AN50" s="950" t="s">
        <v>808</v>
      </c>
    </row>
    <row r="51" spans="1:40" s="968" customFormat="1" ht="78" customHeight="1" thickBot="1" x14ac:dyDescent="0.65">
      <c r="A51" s="951" t="s">
        <v>809</v>
      </c>
      <c r="B51" s="976">
        <f t="shared" ref="B51:J51" si="48">SUM(B49:B50)</f>
        <v>3372545</v>
      </c>
      <c r="C51" s="976">
        <f>C49+C50</f>
        <v>262451</v>
      </c>
      <c r="D51" s="976">
        <f t="shared" si="48"/>
        <v>3634996</v>
      </c>
      <c r="E51" s="976">
        <f t="shared" si="48"/>
        <v>796529</v>
      </c>
      <c r="F51" s="976">
        <f t="shared" si="48"/>
        <v>62780</v>
      </c>
      <c r="G51" s="976">
        <f t="shared" si="48"/>
        <v>859309</v>
      </c>
      <c r="H51" s="976">
        <f t="shared" si="48"/>
        <v>2323431</v>
      </c>
      <c r="I51" s="976">
        <f t="shared" si="48"/>
        <v>344987</v>
      </c>
      <c r="J51" s="976">
        <f t="shared" si="48"/>
        <v>2668418</v>
      </c>
      <c r="K51" s="951" t="s">
        <v>809</v>
      </c>
      <c r="L51" s="976">
        <f t="shared" ref="L51:T51" si="49">SUM(L49:L50)</f>
        <v>0</v>
      </c>
      <c r="M51" s="976">
        <f t="shared" si="49"/>
        <v>0</v>
      </c>
      <c r="N51" s="976">
        <f t="shared" si="49"/>
        <v>0</v>
      </c>
      <c r="O51" s="976">
        <f t="shared" si="49"/>
        <v>30383</v>
      </c>
      <c r="P51" s="976">
        <f t="shared" si="49"/>
        <v>24370</v>
      </c>
      <c r="Q51" s="976">
        <f t="shared" si="49"/>
        <v>54753</v>
      </c>
      <c r="R51" s="976">
        <f t="shared" si="49"/>
        <v>6522888</v>
      </c>
      <c r="S51" s="976">
        <f t="shared" si="49"/>
        <v>694588</v>
      </c>
      <c r="T51" s="976">
        <f t="shared" si="49"/>
        <v>7217476</v>
      </c>
      <c r="U51" s="951" t="s">
        <v>809</v>
      </c>
      <c r="V51" s="976">
        <f t="shared" ref="V51:AA51" si="50">SUM(V49:V50)</f>
        <v>25448</v>
      </c>
      <c r="W51" s="976">
        <f t="shared" si="50"/>
        <v>142520</v>
      </c>
      <c r="X51" s="976">
        <f t="shared" si="50"/>
        <v>167968</v>
      </c>
      <c r="Y51" s="976">
        <f t="shared" si="50"/>
        <v>3169</v>
      </c>
      <c r="Z51" s="976">
        <f t="shared" si="50"/>
        <v>39794</v>
      </c>
      <c r="AA51" s="976">
        <f t="shared" si="50"/>
        <v>42963</v>
      </c>
      <c r="AB51" s="976">
        <f>SUM(AB49:AB50)</f>
        <v>0</v>
      </c>
      <c r="AC51" s="976">
        <f>SUM(AC49:AC50)</f>
        <v>0</v>
      </c>
      <c r="AD51" s="976">
        <f>SUM(AD49:AD50)</f>
        <v>0</v>
      </c>
      <c r="AE51" s="976">
        <f t="shared" ref="AE51:AJ51" si="51">SUM(AE49:AE50)</f>
        <v>28617</v>
      </c>
      <c r="AF51" s="976">
        <f t="shared" si="51"/>
        <v>182314</v>
      </c>
      <c r="AG51" s="976">
        <f t="shared" si="51"/>
        <v>210931</v>
      </c>
      <c r="AH51" s="976">
        <f t="shared" si="51"/>
        <v>6551505</v>
      </c>
      <c r="AI51" s="976">
        <f t="shared" si="51"/>
        <v>876902</v>
      </c>
      <c r="AJ51" s="976">
        <f t="shared" si="51"/>
        <v>7428407</v>
      </c>
      <c r="AK51" s="981">
        <f>'4 intézményi bevétel'!AT51-'6 intézményi kiadás'!AH51</f>
        <v>0</v>
      </c>
      <c r="AL51" s="991">
        <f>'4 intézményi bevétel'!AU51-'6 intézményi kiadás'!AI51</f>
        <v>0</v>
      </c>
      <c r="AM51" s="991">
        <f>'4 intézményi bevétel'!AV51-'6 intézményi kiadás'!AJ51</f>
        <v>0</v>
      </c>
      <c r="AN51" s="951" t="s">
        <v>809</v>
      </c>
    </row>
    <row r="52" spans="1:40" s="968" customFormat="1" ht="49.5" customHeight="1" x14ac:dyDescent="0.6">
      <c r="A52" s="952" t="s">
        <v>810</v>
      </c>
      <c r="B52" s="992">
        <f>[4]int.kiadások2017!B51</f>
        <v>125944</v>
      </c>
      <c r="C52" s="992">
        <f>4290+148</f>
        <v>4438</v>
      </c>
      <c r="D52" s="992">
        <f>SUM(B52:C52)</f>
        <v>130382</v>
      </c>
      <c r="E52" s="992">
        <f>[4]int.kiadások2017!C51</f>
        <v>28800</v>
      </c>
      <c r="F52" s="992">
        <f>1098+29</f>
        <v>1127</v>
      </c>
      <c r="G52" s="993">
        <f>SUM(E52:F52)</f>
        <v>29927</v>
      </c>
      <c r="H52" s="992">
        <f>[4]int.kiadások2017!D51</f>
        <v>33662</v>
      </c>
      <c r="I52" s="993">
        <v>3950</v>
      </c>
      <c r="J52" s="992">
        <f>SUM(H52:I52)</f>
        <v>37612</v>
      </c>
      <c r="K52" s="952" t="s">
        <v>810</v>
      </c>
      <c r="L52" s="992">
        <f>[4]int.kiadások2017!E51</f>
        <v>0</v>
      </c>
      <c r="M52" s="993"/>
      <c r="N52" s="992">
        <f>SUM(L52:M52)</f>
        <v>0</v>
      </c>
      <c r="O52" s="993">
        <f>[4]int.kiadások2017!F51</f>
        <v>0</v>
      </c>
      <c r="P52" s="992"/>
      <c r="Q52" s="994">
        <f>SUM(O52:P52)</f>
        <v>0</v>
      </c>
      <c r="R52" s="992">
        <f t="shared" ref="R52:T53" si="52">B52+E52+H52+L52+O52</f>
        <v>188406</v>
      </c>
      <c r="S52" s="993">
        <f t="shared" si="52"/>
        <v>9515</v>
      </c>
      <c r="T52" s="992">
        <f t="shared" si="52"/>
        <v>197921</v>
      </c>
      <c r="U52" s="952" t="s">
        <v>810</v>
      </c>
      <c r="V52" s="992">
        <f>[4]int.kiadások2017!I51</f>
        <v>3000</v>
      </c>
      <c r="W52" s="993">
        <v>435</v>
      </c>
      <c r="X52" s="992">
        <f>SUM(V52:W52)</f>
        <v>3435</v>
      </c>
      <c r="Y52" s="993">
        <f>[4]int.kiadások2017!J51</f>
        <v>820</v>
      </c>
      <c r="Z52" s="992"/>
      <c r="AA52" s="993">
        <f>SUM(Y52:Z52)</f>
        <v>820</v>
      </c>
      <c r="AB52" s="992">
        <f>[4]int.kiadások2017!K51</f>
        <v>0</v>
      </c>
      <c r="AC52" s="993"/>
      <c r="AD52" s="994">
        <f>SUM(AB52:AC52)</f>
        <v>0</v>
      </c>
      <c r="AE52" s="992">
        <f t="shared" ref="AE52:AG53" si="53">V52+Y52+AB52</f>
        <v>3820</v>
      </c>
      <c r="AF52" s="993">
        <f t="shared" si="53"/>
        <v>435</v>
      </c>
      <c r="AG52" s="992">
        <f t="shared" si="53"/>
        <v>4255</v>
      </c>
      <c r="AH52" s="993">
        <f t="shared" ref="AH52:AJ53" si="54">R52+AE52</f>
        <v>192226</v>
      </c>
      <c r="AI52" s="992">
        <f t="shared" si="54"/>
        <v>9950</v>
      </c>
      <c r="AJ52" s="992">
        <f t="shared" si="54"/>
        <v>202176</v>
      </c>
      <c r="AK52" s="981">
        <f>'4 intézményi bevétel'!AT52-'6 intézményi kiadás'!AH52</f>
        <v>0</v>
      </c>
      <c r="AL52" s="995">
        <f>'4 intézményi bevétel'!AU52-'6 intézményi kiadás'!AI52</f>
        <v>0</v>
      </c>
      <c r="AM52" s="996">
        <f>'4 intézményi bevétel'!AV52-'6 intézményi kiadás'!AJ52</f>
        <v>0</v>
      </c>
      <c r="AN52" s="952" t="s">
        <v>810</v>
      </c>
    </row>
    <row r="53" spans="1:40" s="968" customFormat="1" ht="49.5" customHeight="1" thickBot="1" x14ac:dyDescent="0.65">
      <c r="A53" s="955" t="s">
        <v>10</v>
      </c>
      <c r="B53" s="986">
        <f>[4]int.kiadások2017!B52</f>
        <v>1093620</v>
      </c>
      <c r="C53" s="986">
        <f>123686+6838</f>
        <v>130524</v>
      </c>
      <c r="D53" s="986">
        <f>SUM(B53:C53)</f>
        <v>1224144</v>
      </c>
      <c r="E53" s="986">
        <f>[4]int.kiadások2017!C52</f>
        <v>264773</v>
      </c>
      <c r="F53" s="986">
        <f>29312+1538</f>
        <v>30850</v>
      </c>
      <c r="G53" s="997">
        <f>SUM(E53:F53)</f>
        <v>295623</v>
      </c>
      <c r="H53" s="986">
        <f>[4]int.kiadások2017!D52</f>
        <v>329421</v>
      </c>
      <c r="I53" s="997">
        <f>112732+1649</f>
        <v>114381</v>
      </c>
      <c r="J53" s="986">
        <f>SUM(H53:I53)</f>
        <v>443802</v>
      </c>
      <c r="K53" s="955" t="s">
        <v>10</v>
      </c>
      <c r="L53" s="986">
        <f>[4]int.kiadások2017!E52</f>
        <v>0</v>
      </c>
      <c r="M53" s="997"/>
      <c r="N53" s="986">
        <f>SUM(L53:M53)</f>
        <v>0</v>
      </c>
      <c r="O53" s="997">
        <f>[4]int.kiadások2017!F52</f>
        <v>3000</v>
      </c>
      <c r="P53" s="986"/>
      <c r="Q53" s="998">
        <f>SUM(O53:P53)</f>
        <v>3000</v>
      </c>
      <c r="R53" s="986">
        <f t="shared" si="52"/>
        <v>1690814</v>
      </c>
      <c r="S53" s="997">
        <f t="shared" si="52"/>
        <v>275755</v>
      </c>
      <c r="T53" s="986">
        <f t="shared" si="52"/>
        <v>1966569</v>
      </c>
      <c r="U53" s="955" t="s">
        <v>10</v>
      </c>
      <c r="V53" s="986">
        <f>[4]int.kiadások2017!I52</f>
        <v>20000</v>
      </c>
      <c r="W53" s="997">
        <f>13450+2001</f>
        <v>15451</v>
      </c>
      <c r="X53" s="986">
        <f>SUM(V53:W53)</f>
        <v>35451</v>
      </c>
      <c r="Y53" s="997">
        <f>[4]int.kiadások2017!J52</f>
        <v>0</v>
      </c>
      <c r="Z53" s="986"/>
      <c r="AA53" s="997">
        <f>SUM(Y53:Z53)</f>
        <v>0</v>
      </c>
      <c r="AB53" s="986">
        <f>[4]int.kiadások2017!K52</f>
        <v>0</v>
      </c>
      <c r="AC53" s="997"/>
      <c r="AD53" s="998">
        <f>SUM(AB53:AC53)</f>
        <v>0</v>
      </c>
      <c r="AE53" s="986">
        <f t="shared" si="53"/>
        <v>20000</v>
      </c>
      <c r="AF53" s="997">
        <f t="shared" si="53"/>
        <v>15451</v>
      </c>
      <c r="AG53" s="986">
        <f t="shared" si="53"/>
        <v>35451</v>
      </c>
      <c r="AH53" s="997">
        <f t="shared" si="54"/>
        <v>1710814</v>
      </c>
      <c r="AI53" s="986">
        <f t="shared" si="54"/>
        <v>291206</v>
      </c>
      <c r="AJ53" s="986">
        <f t="shared" si="54"/>
        <v>2002020</v>
      </c>
      <c r="AK53" s="981">
        <f>'4 intézményi bevétel'!AT53-'6 intézményi kiadás'!AH53</f>
        <v>0</v>
      </c>
      <c r="AL53" s="967">
        <f>'4 intézményi bevétel'!AU53-'6 intézményi kiadás'!AI53</f>
        <v>0</v>
      </c>
      <c r="AM53" s="975">
        <f>'4 intézményi bevétel'!AV53-'6 intézményi kiadás'!AJ53</f>
        <v>0</v>
      </c>
      <c r="AN53" s="955" t="s">
        <v>10</v>
      </c>
    </row>
    <row r="54" spans="1:40" s="968" customFormat="1" ht="78" customHeight="1" thickBot="1" x14ac:dyDescent="0.65">
      <c r="A54" s="956" t="s">
        <v>455</v>
      </c>
      <c r="B54" s="985">
        <f>SUM(B51:B53)</f>
        <v>4592109</v>
      </c>
      <c r="C54" s="985">
        <f t="shared" ref="C54:AJ54" si="55">SUM(C51:C53)</f>
        <v>397413</v>
      </c>
      <c r="D54" s="985">
        <f t="shared" si="55"/>
        <v>4989522</v>
      </c>
      <c r="E54" s="999">
        <f t="shared" si="55"/>
        <v>1090102</v>
      </c>
      <c r="F54" s="985">
        <f t="shared" si="55"/>
        <v>94757</v>
      </c>
      <c r="G54" s="985">
        <f t="shared" si="55"/>
        <v>1184859</v>
      </c>
      <c r="H54" s="999">
        <f t="shared" si="55"/>
        <v>2686514</v>
      </c>
      <c r="I54" s="985">
        <f t="shared" si="55"/>
        <v>463318</v>
      </c>
      <c r="J54" s="985">
        <f t="shared" si="55"/>
        <v>3149832</v>
      </c>
      <c r="K54" s="958" t="s">
        <v>455</v>
      </c>
      <c r="L54" s="999">
        <f t="shared" si="55"/>
        <v>0</v>
      </c>
      <c r="M54" s="985">
        <f t="shared" si="55"/>
        <v>0</v>
      </c>
      <c r="N54" s="999">
        <f t="shared" si="55"/>
        <v>0</v>
      </c>
      <c r="O54" s="985">
        <f t="shared" si="55"/>
        <v>33383</v>
      </c>
      <c r="P54" s="999">
        <f t="shared" si="55"/>
        <v>24370</v>
      </c>
      <c r="Q54" s="985">
        <f t="shared" si="55"/>
        <v>57753</v>
      </c>
      <c r="R54" s="999">
        <f t="shared" si="55"/>
        <v>8402108</v>
      </c>
      <c r="S54" s="985">
        <f t="shared" si="55"/>
        <v>979858</v>
      </c>
      <c r="T54" s="985">
        <f t="shared" si="55"/>
        <v>9381966</v>
      </c>
      <c r="U54" s="958" t="s">
        <v>455</v>
      </c>
      <c r="V54" s="999">
        <f t="shared" si="55"/>
        <v>48448</v>
      </c>
      <c r="W54" s="985">
        <f t="shared" si="55"/>
        <v>158406</v>
      </c>
      <c r="X54" s="999">
        <f t="shared" si="55"/>
        <v>206854</v>
      </c>
      <c r="Y54" s="985">
        <f t="shared" si="55"/>
        <v>3989</v>
      </c>
      <c r="Z54" s="999">
        <f t="shared" si="55"/>
        <v>39794</v>
      </c>
      <c r="AA54" s="985">
        <f t="shared" si="55"/>
        <v>43783</v>
      </c>
      <c r="AB54" s="999">
        <f t="shared" si="55"/>
        <v>0</v>
      </c>
      <c r="AC54" s="985">
        <f t="shared" si="55"/>
        <v>0</v>
      </c>
      <c r="AD54" s="985">
        <f t="shared" si="55"/>
        <v>0</v>
      </c>
      <c r="AE54" s="999">
        <f t="shared" si="55"/>
        <v>52437</v>
      </c>
      <c r="AF54" s="985">
        <f t="shared" si="55"/>
        <v>198200</v>
      </c>
      <c r="AG54" s="999">
        <f t="shared" si="55"/>
        <v>250637</v>
      </c>
      <c r="AH54" s="985">
        <f t="shared" si="55"/>
        <v>8454545</v>
      </c>
      <c r="AI54" s="999">
        <f t="shared" si="55"/>
        <v>1178058</v>
      </c>
      <c r="AJ54" s="985">
        <f t="shared" si="55"/>
        <v>9632603</v>
      </c>
      <c r="AK54" s="981">
        <f>'4 intézményi bevétel'!AT54-'6 intézményi kiadás'!AH54</f>
        <v>0</v>
      </c>
      <c r="AL54" s="1000">
        <f>'4 intézményi bevétel'!AU54-'6 intézményi kiadás'!AI54</f>
        <v>0</v>
      </c>
      <c r="AM54" s="1001">
        <f>'4 intézményi bevétel'!AV54-'6 intézményi kiadás'!AJ54</f>
        <v>0</v>
      </c>
      <c r="AN54" s="958" t="s">
        <v>455</v>
      </c>
    </row>
    <row r="55" spans="1:40" s="1003" customFormat="1" ht="45.75" customHeight="1" x14ac:dyDescent="0.6">
      <c r="A55" s="959"/>
      <c r="B55" s="1002"/>
      <c r="C55" s="1002"/>
      <c r="D55" s="1002"/>
      <c r="E55" s="1002"/>
      <c r="F55" s="1002"/>
      <c r="G55" s="1002"/>
      <c r="H55" s="1002"/>
      <c r="I55" s="1002"/>
      <c r="J55" s="1002"/>
      <c r="K55" s="959"/>
      <c r="L55" s="1002"/>
      <c r="N55" s="1002"/>
      <c r="O55" s="1004"/>
      <c r="P55" s="1002"/>
      <c r="Q55" s="1002"/>
      <c r="R55" s="1002"/>
      <c r="S55" s="1002"/>
      <c r="T55" s="1002"/>
      <c r="U55" s="959"/>
      <c r="V55" s="1005"/>
      <c r="W55" s="1005"/>
      <c r="X55" s="1005"/>
      <c r="Y55" s="1005"/>
      <c r="Z55" s="1005"/>
      <c r="AA55" s="1005"/>
      <c r="AB55" s="1005"/>
      <c r="AC55" s="1004"/>
      <c r="AD55" s="1005"/>
      <c r="AE55" s="1005"/>
      <c r="AF55" s="1005"/>
      <c r="AG55" s="1005"/>
      <c r="AH55" s="1005"/>
      <c r="AI55" s="1005"/>
      <c r="AJ55" s="1005"/>
      <c r="AK55" s="1006"/>
      <c r="AL55" s="1006"/>
      <c r="AM55" s="1006"/>
      <c r="AN55" s="959"/>
    </row>
    <row r="56" spans="1:40" s="1011" customFormat="1" ht="59.25" customHeight="1" x14ac:dyDescent="0.6">
      <c r="A56" s="960"/>
      <c r="B56" s="1007">
        <f>[4]int.kiadások2017!$B$53</f>
        <v>4592109</v>
      </c>
      <c r="C56" s="1007"/>
      <c r="D56" s="1007"/>
      <c r="E56" s="1007">
        <f>[4]int.kiadások2017!$C$53</f>
        <v>1090102</v>
      </c>
      <c r="F56" s="1007"/>
      <c r="G56" s="1007"/>
      <c r="H56" s="1007">
        <f>[4]int.kiadások2017!$D$53</f>
        <v>2686514</v>
      </c>
      <c r="I56" s="1007"/>
      <c r="J56" s="1007"/>
      <c r="K56" s="960"/>
      <c r="L56" s="1007">
        <f>[4]int.kiadások2017!$E$53</f>
        <v>0</v>
      </c>
      <c r="M56" s="1007"/>
      <c r="N56" s="1007"/>
      <c r="O56" s="1007">
        <f>[4]int.kiadások2017!$F$53</f>
        <v>33383</v>
      </c>
      <c r="P56" s="1007"/>
      <c r="Q56" s="1007"/>
      <c r="R56" s="1007">
        <f>[4]int.kiadások2017!$G$53</f>
        <v>8402108</v>
      </c>
      <c r="S56" s="1007"/>
      <c r="T56" s="1007"/>
      <c r="U56" s="960"/>
      <c r="V56" s="1008">
        <f>[4]int.kiadások2017!$I$53</f>
        <v>48448</v>
      </c>
      <c r="W56" s="1009"/>
      <c r="X56" s="1009"/>
      <c r="Y56" s="1008">
        <f>[4]int.kiadások2017!$J$53</f>
        <v>3989</v>
      </c>
      <c r="Z56" s="1009"/>
      <c r="AA56" s="1009"/>
      <c r="AB56" s="1008">
        <f>[4]int.kiadások2017!$K$53</f>
        <v>0</v>
      </c>
      <c r="AC56" s="1009"/>
      <c r="AD56" s="1009"/>
      <c r="AE56" s="1008">
        <f>[4]int.kiadások2017!$L$53</f>
        <v>52437</v>
      </c>
      <c r="AF56" s="1009"/>
      <c r="AG56" s="1009"/>
      <c r="AH56" s="1008">
        <f>[4]int.kiadások2017!$M$53</f>
        <v>8454545</v>
      </c>
      <c r="AI56" s="1009"/>
      <c r="AJ56" s="1009"/>
      <c r="AK56" s="1010"/>
      <c r="AL56" s="1010"/>
      <c r="AM56" s="1010"/>
      <c r="AN56" s="960"/>
    </row>
    <row r="57" spans="1:40" s="1011" customFormat="1" ht="36.75" customHeight="1" x14ac:dyDescent="0.6">
      <c r="A57" s="960"/>
      <c r="B57" s="1007">
        <f>B54-B56</f>
        <v>0</v>
      </c>
      <c r="C57" s="1007">
        <f t="shared" ref="C57:J57" si="56">C54-C56</f>
        <v>397413</v>
      </c>
      <c r="D57" s="1007">
        <f t="shared" si="56"/>
        <v>4989522</v>
      </c>
      <c r="E57" s="1007">
        <f t="shared" si="56"/>
        <v>0</v>
      </c>
      <c r="F57" s="1007">
        <f t="shared" si="56"/>
        <v>94757</v>
      </c>
      <c r="G57" s="1007">
        <f t="shared" si="56"/>
        <v>1184859</v>
      </c>
      <c r="H57" s="1007">
        <f t="shared" si="56"/>
        <v>0</v>
      </c>
      <c r="I57" s="1007">
        <f t="shared" si="56"/>
        <v>463318</v>
      </c>
      <c r="J57" s="1007">
        <f t="shared" si="56"/>
        <v>3149832</v>
      </c>
      <c r="K57" s="960"/>
      <c r="L57" s="1007">
        <f t="shared" ref="L57:T57" si="57">L54-L56</f>
        <v>0</v>
      </c>
      <c r="M57" s="1007">
        <f t="shared" si="57"/>
        <v>0</v>
      </c>
      <c r="N57" s="1007">
        <f t="shared" si="57"/>
        <v>0</v>
      </c>
      <c r="O57" s="1007">
        <f t="shared" si="57"/>
        <v>0</v>
      </c>
      <c r="P57" s="1007">
        <f t="shared" si="57"/>
        <v>24370</v>
      </c>
      <c r="Q57" s="1007">
        <f t="shared" si="57"/>
        <v>57753</v>
      </c>
      <c r="R57" s="1007">
        <f t="shared" si="57"/>
        <v>0</v>
      </c>
      <c r="S57" s="1007">
        <f t="shared" si="57"/>
        <v>979858</v>
      </c>
      <c r="T57" s="1007">
        <f t="shared" si="57"/>
        <v>9381966</v>
      </c>
      <c r="U57" s="960"/>
      <c r="V57" s="1007">
        <f t="shared" ref="V57:AJ57" si="58">V54-V56</f>
        <v>0</v>
      </c>
      <c r="W57" s="1007">
        <f t="shared" si="58"/>
        <v>158406</v>
      </c>
      <c r="X57" s="1007">
        <f t="shared" si="58"/>
        <v>206854</v>
      </c>
      <c r="Y57" s="1007">
        <f t="shared" si="58"/>
        <v>0</v>
      </c>
      <c r="Z57" s="1007">
        <f t="shared" si="58"/>
        <v>39794</v>
      </c>
      <c r="AA57" s="1007">
        <f t="shared" si="58"/>
        <v>43783</v>
      </c>
      <c r="AB57" s="1007">
        <f t="shared" si="58"/>
        <v>0</v>
      </c>
      <c r="AC57" s="1007">
        <f t="shared" si="58"/>
        <v>0</v>
      </c>
      <c r="AD57" s="1007">
        <f t="shared" si="58"/>
        <v>0</v>
      </c>
      <c r="AE57" s="1007">
        <f t="shared" si="58"/>
        <v>0</v>
      </c>
      <c r="AF57" s="1007">
        <f t="shared" si="58"/>
        <v>198200</v>
      </c>
      <c r="AG57" s="1007">
        <f t="shared" si="58"/>
        <v>250637</v>
      </c>
      <c r="AH57" s="1007">
        <f t="shared" si="58"/>
        <v>0</v>
      </c>
      <c r="AI57" s="1007">
        <f t="shared" si="58"/>
        <v>1178058</v>
      </c>
      <c r="AJ57" s="1007">
        <f t="shared" si="58"/>
        <v>9632603</v>
      </c>
      <c r="AK57" s="1012"/>
      <c r="AL57" s="1012"/>
      <c r="AM57" s="1012"/>
      <c r="AN57" s="960"/>
    </row>
    <row r="58" spans="1:40" ht="26.45" customHeight="1" x14ac:dyDescent="0.6">
      <c r="A58" s="961"/>
      <c r="K58" s="961"/>
      <c r="U58" s="961"/>
      <c r="AN58" s="961"/>
    </row>
    <row r="59" spans="1:40" ht="26.45" customHeight="1" x14ac:dyDescent="0.6">
      <c r="A59" s="962"/>
      <c r="K59" s="962"/>
      <c r="U59" s="962"/>
      <c r="AN59" s="962"/>
    </row>
    <row r="60" spans="1:40" ht="26.45" customHeight="1" x14ac:dyDescent="0.6">
      <c r="A60" s="962"/>
      <c r="K60" s="962"/>
      <c r="U60" s="962"/>
      <c r="AN60" s="962"/>
    </row>
    <row r="61" spans="1:40" ht="26.45" customHeight="1" x14ac:dyDescent="0.6">
      <c r="A61" s="962"/>
      <c r="K61" s="962"/>
      <c r="U61" s="962"/>
      <c r="AN61" s="962"/>
    </row>
    <row r="62" spans="1:40" ht="26.45" customHeight="1" x14ac:dyDescent="0.6">
      <c r="A62" s="962"/>
      <c r="K62" s="962"/>
      <c r="U62" s="962"/>
      <c r="AN62" s="962"/>
    </row>
    <row r="63" spans="1:40" ht="26.45" customHeight="1" x14ac:dyDescent="0.6">
      <c r="A63" s="962"/>
      <c r="K63" s="962"/>
      <c r="U63" s="962"/>
      <c r="AN63" s="962"/>
    </row>
  </sheetData>
  <mergeCells count="21">
    <mergeCell ref="L5:N7"/>
    <mergeCell ref="B2:J2"/>
    <mergeCell ref="L2:T2"/>
    <mergeCell ref="V2:AJ2"/>
    <mergeCell ref="B3:J3"/>
    <mergeCell ref="L3:T3"/>
    <mergeCell ref="V3:AJ3"/>
    <mergeCell ref="AE5:AG7"/>
    <mergeCell ref="AH5:AJ7"/>
    <mergeCell ref="A5:A6"/>
    <mergeCell ref="B5:D7"/>
    <mergeCell ref="E5:G7"/>
    <mergeCell ref="H5:J7"/>
    <mergeCell ref="K5:K6"/>
    <mergeCell ref="AN5:AN6"/>
    <mergeCell ref="O5:Q7"/>
    <mergeCell ref="R5:T7"/>
    <mergeCell ref="U5:U6"/>
    <mergeCell ref="V5:X7"/>
    <mergeCell ref="Y5:AA7"/>
    <mergeCell ref="AB5:AD7"/>
  </mergeCells>
  <printOptions horizontalCentered="1" verticalCentered="1"/>
  <pageMargins left="0" right="0" top="0" bottom="0.59055118110236227" header="0" footer="0"/>
  <pageSetup paperSize="9" scale="18" orientation="landscape" r:id="rId1"/>
  <headerFooter alignWithMargins="0">
    <oddHeader>&amp;L&amp;14
&amp;F &amp;A&amp;R&amp;"Arial CE,Félkövér"&amp;36
 6.  melléklet a 12/2017. (V.3.) önkormányzati rendelethez
"6. melléklet a 4/2017.(III.7.) önkormányzati rendelethez"</oddHeader>
    <oddFooter xml:space="preserve">&amp;C &amp;R
&amp;36 &amp;10
</oddFooter>
  </headerFooter>
  <colBreaks count="2" manualBreakCount="2">
    <brk id="10" max="53" man="1"/>
    <brk id="20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54"/>
  <sheetViews>
    <sheetView view="pageLayout" zoomScaleNormal="40" zoomScaleSheetLayoutView="50" workbookViewId="0">
      <selection activeCell="Q3" sqref="Q3"/>
    </sheetView>
  </sheetViews>
  <sheetFormatPr defaultColWidth="12" defaultRowHeight="33.75" x14ac:dyDescent="0.5"/>
  <cols>
    <col min="1" max="1" width="151" style="1013" customWidth="1"/>
    <col min="2" max="2" width="60.83203125" style="1018" customWidth="1"/>
    <col min="3" max="3" width="50.1640625" style="1018" customWidth="1"/>
    <col min="4" max="4" width="39" style="1018" customWidth="1"/>
    <col min="5" max="5" width="38.1640625" style="1018" customWidth="1"/>
    <col min="6" max="6" width="60.83203125" style="1018" customWidth="1"/>
    <col min="7" max="7" width="50.1640625" style="1114" customWidth="1"/>
    <col min="8" max="8" width="60.83203125" style="1018" customWidth="1"/>
    <col min="9" max="9" width="61" style="1018" customWidth="1"/>
    <col min="10" max="10" width="44.5" style="1018" customWidth="1"/>
    <col min="11" max="11" width="38.5" style="1018" customWidth="1"/>
    <col min="12" max="12" width="61" style="1018" customWidth="1"/>
    <col min="13" max="13" width="50" style="1114" customWidth="1"/>
    <col min="14" max="14" width="58.1640625" style="1018" customWidth="1"/>
    <col min="15" max="15" width="52.83203125" style="1018" customWidth="1"/>
    <col min="16" max="16" width="12" style="1018" customWidth="1"/>
    <col min="17" max="17" width="22.5" style="1019" customWidth="1"/>
    <col min="18" max="16384" width="12" style="1018"/>
  </cols>
  <sheetData>
    <row r="1" spans="1:17" s="1013" customFormat="1" ht="45" customHeight="1" x14ac:dyDescent="0.5">
      <c r="A1" s="1233" t="s">
        <v>824</v>
      </c>
      <c r="B1" s="1233"/>
      <c r="C1" s="1233"/>
      <c r="D1" s="1233"/>
      <c r="E1" s="1233"/>
      <c r="F1" s="1233"/>
      <c r="G1" s="1233"/>
      <c r="H1" s="1233"/>
      <c r="I1" s="1233"/>
      <c r="J1" s="1233"/>
      <c r="K1" s="1233"/>
      <c r="L1" s="1233"/>
      <c r="M1" s="1233"/>
      <c r="N1" s="1233"/>
      <c r="O1" s="1233"/>
      <c r="Q1" s="1014"/>
    </row>
    <row r="2" spans="1:17" s="1013" customFormat="1" ht="44.25" customHeight="1" x14ac:dyDescent="0.5">
      <c r="A2" s="1234" t="s">
        <v>825</v>
      </c>
      <c r="B2" s="1234"/>
      <c r="C2" s="1234"/>
      <c r="D2" s="1234"/>
      <c r="E2" s="1234"/>
      <c r="F2" s="1234"/>
      <c r="G2" s="1234"/>
      <c r="H2" s="1234"/>
      <c r="I2" s="1234"/>
      <c r="J2" s="1234"/>
      <c r="K2" s="1234"/>
      <c r="L2" s="1234"/>
      <c r="M2" s="1234"/>
      <c r="N2" s="1234"/>
      <c r="O2" s="1234"/>
      <c r="Q2" s="1014"/>
    </row>
    <row r="3" spans="1:17" ht="44.25" customHeight="1" thickBot="1" x14ac:dyDescent="0.55000000000000004">
      <c r="A3" s="1015"/>
      <c r="B3" s="1235"/>
      <c r="C3" s="1235"/>
      <c r="D3" s="1235"/>
      <c r="E3" s="1235"/>
      <c r="F3" s="1235"/>
      <c r="G3" s="1235"/>
      <c r="H3" s="1235"/>
      <c r="I3" s="1235"/>
      <c r="J3" s="1016"/>
      <c r="K3" s="1016"/>
      <c r="L3" s="1016"/>
      <c r="M3" s="1017"/>
      <c r="N3" s="1016"/>
      <c r="O3" s="1016"/>
    </row>
    <row r="4" spans="1:17" s="1013" customFormat="1" ht="108.75" customHeight="1" thickBot="1" x14ac:dyDescent="0.55000000000000004">
      <c r="A4" s="1020"/>
      <c r="B4" s="1236" t="s">
        <v>542</v>
      </c>
      <c r="C4" s="1237"/>
      <c r="D4" s="1237"/>
      <c r="E4" s="1237"/>
      <c r="F4" s="1237"/>
      <c r="G4" s="1237"/>
      <c r="H4" s="1237"/>
      <c r="I4" s="1237"/>
      <c r="J4" s="1237"/>
      <c r="K4" s="1237"/>
      <c r="L4" s="1237"/>
      <c r="M4" s="1238"/>
      <c r="N4" s="1239" t="s">
        <v>826</v>
      </c>
      <c r="O4" s="1240"/>
      <c r="Q4" s="1021"/>
    </row>
    <row r="5" spans="1:17" s="1013" customFormat="1" ht="45.75" customHeight="1" thickBot="1" x14ac:dyDescent="0.55000000000000004">
      <c r="A5" s="1022" t="s">
        <v>827</v>
      </c>
      <c r="B5" s="1228" t="s">
        <v>828</v>
      </c>
      <c r="C5" s="1230"/>
      <c r="D5" s="1230"/>
      <c r="E5" s="1230"/>
      <c r="F5" s="1230"/>
      <c r="G5" s="1229"/>
      <c r="H5" s="1228" t="s">
        <v>829</v>
      </c>
      <c r="I5" s="1230"/>
      <c r="J5" s="1230"/>
      <c r="K5" s="1230"/>
      <c r="L5" s="1230"/>
      <c r="M5" s="1229"/>
      <c r="N5" s="1241"/>
      <c r="O5" s="1242"/>
      <c r="Q5" s="1021"/>
    </row>
    <row r="6" spans="1:17" s="1013" customFormat="1" ht="83.25" customHeight="1" thickBot="1" x14ac:dyDescent="0.55000000000000004">
      <c r="A6" s="1022"/>
      <c r="B6" s="1228" t="s">
        <v>765</v>
      </c>
      <c r="C6" s="1229"/>
      <c r="D6" s="1228" t="s">
        <v>766</v>
      </c>
      <c r="E6" s="1230"/>
      <c r="F6" s="1231" t="s">
        <v>767</v>
      </c>
      <c r="G6" s="1232"/>
      <c r="H6" s="1231" t="s">
        <v>765</v>
      </c>
      <c r="I6" s="1232"/>
      <c r="J6" s="1228" t="s">
        <v>766</v>
      </c>
      <c r="K6" s="1230"/>
      <c r="L6" s="1231" t="s">
        <v>767</v>
      </c>
      <c r="M6" s="1232"/>
      <c r="N6" s="1023"/>
      <c r="O6" s="1023"/>
      <c r="Q6" s="1021"/>
    </row>
    <row r="7" spans="1:17" s="1013" customFormat="1" ht="44.25" customHeight="1" thickBot="1" x14ac:dyDescent="0.55000000000000004">
      <c r="A7" s="1024"/>
      <c r="B7" s="1025" t="s">
        <v>830</v>
      </c>
      <c r="C7" s="1026" t="s">
        <v>831</v>
      </c>
      <c r="D7" s="1224" t="s">
        <v>830</v>
      </c>
      <c r="E7" s="1225"/>
      <c r="F7" s="1027" t="s">
        <v>830</v>
      </c>
      <c r="G7" s="1028" t="s">
        <v>831</v>
      </c>
      <c r="H7" s="1025" t="s">
        <v>830</v>
      </c>
      <c r="I7" s="1026" t="s">
        <v>831</v>
      </c>
      <c r="J7" s="1226" t="s">
        <v>830</v>
      </c>
      <c r="K7" s="1227"/>
      <c r="L7" s="1027" t="s">
        <v>830</v>
      </c>
      <c r="M7" s="1028" t="s">
        <v>831</v>
      </c>
      <c r="N7" s="1023" t="s">
        <v>830</v>
      </c>
      <c r="O7" s="1023" t="s">
        <v>832</v>
      </c>
      <c r="Q7" s="1021"/>
    </row>
    <row r="8" spans="1:17" s="1035" customFormat="1" ht="145.5" customHeight="1" x14ac:dyDescent="0.5">
      <c r="A8" s="1029" t="s">
        <v>833</v>
      </c>
      <c r="B8" s="1030"/>
      <c r="C8" s="1031"/>
      <c r="D8" s="1032"/>
      <c r="E8" s="1032"/>
      <c r="F8" s="1031"/>
      <c r="G8" s="1033"/>
      <c r="H8" s="1031"/>
      <c r="I8" s="1031"/>
      <c r="J8" s="1034" t="s">
        <v>834</v>
      </c>
      <c r="K8" s="1032"/>
      <c r="L8" s="1031"/>
      <c r="M8" s="1033"/>
      <c r="N8" s="1031"/>
      <c r="O8" s="1031"/>
      <c r="Q8" s="1036"/>
    </row>
    <row r="9" spans="1:17" s="1042" customFormat="1" ht="45.75" customHeight="1" x14ac:dyDescent="0.5">
      <c r="A9" s="1037" t="s">
        <v>769</v>
      </c>
      <c r="B9" s="1038">
        <f>'[6]2017 évi nyitó létszám'!B9</f>
        <v>32</v>
      </c>
      <c r="C9" s="1039">
        <f>'[6]2017 évi nyitó létszám'!C9</f>
        <v>32</v>
      </c>
      <c r="D9" s="1038"/>
      <c r="E9" s="1040"/>
      <c r="F9" s="1040">
        <f>B9+D9+E9</f>
        <v>32</v>
      </c>
      <c r="G9" s="1041">
        <v>32</v>
      </c>
      <c r="H9" s="1040">
        <f>'[6]2017 évi nyitó létszám'!D9</f>
        <v>1</v>
      </c>
      <c r="I9" s="1039">
        <f>'[6]2017 évi nyitó létszám'!E9</f>
        <v>1</v>
      </c>
      <c r="J9" s="1040"/>
      <c r="K9" s="1039"/>
      <c r="L9" s="1040">
        <f>H9+J9+K9</f>
        <v>1</v>
      </c>
      <c r="M9" s="1041">
        <v>1</v>
      </c>
      <c r="N9" s="1040">
        <f t="shared" ref="N9:O26" si="0">F9+L9</f>
        <v>33</v>
      </c>
      <c r="O9" s="1039">
        <f t="shared" si="0"/>
        <v>33</v>
      </c>
      <c r="Q9" s="1019"/>
    </row>
    <row r="10" spans="1:17" s="1042" customFormat="1" ht="45.75" customHeight="1" x14ac:dyDescent="0.5">
      <c r="A10" s="1043" t="s">
        <v>770</v>
      </c>
      <c r="B10" s="1044">
        <f>'[6]2017 évi nyitó létszám'!B10</f>
        <v>22</v>
      </c>
      <c r="C10" s="1045">
        <f>'[6]2017 évi nyitó létszám'!C10</f>
        <v>22</v>
      </c>
      <c r="D10" s="1046"/>
      <c r="E10" s="1047"/>
      <c r="F10" s="1047">
        <f t="shared" ref="F10:F26" si="1">B10+D10+E10</f>
        <v>22</v>
      </c>
      <c r="G10" s="1045">
        <v>22</v>
      </c>
      <c r="H10" s="1044">
        <f>'[6]2017 évi nyitó létszám'!D10</f>
        <v>1</v>
      </c>
      <c r="I10" s="1048">
        <f>'[6]2017 évi nyitó létszám'!E10</f>
        <v>1</v>
      </c>
      <c r="J10" s="1044"/>
      <c r="K10" s="1049"/>
      <c r="L10" s="1047">
        <f t="shared" ref="L10:L25" si="2">H10+J10+K10</f>
        <v>1</v>
      </c>
      <c r="M10" s="1045">
        <v>1</v>
      </c>
      <c r="N10" s="1047">
        <f t="shared" si="0"/>
        <v>23</v>
      </c>
      <c r="O10" s="1049">
        <f t="shared" si="0"/>
        <v>23</v>
      </c>
      <c r="Q10" s="1019"/>
    </row>
    <row r="11" spans="1:17" s="1042" customFormat="1" ht="45.75" customHeight="1" x14ac:dyDescent="0.5">
      <c r="A11" s="1043" t="s">
        <v>771</v>
      </c>
      <c r="B11" s="1038">
        <f>'[6]2017 évi nyitó létszám'!B11</f>
        <v>22</v>
      </c>
      <c r="C11" s="1045">
        <f>'[6]2017 évi nyitó létszám'!C11</f>
        <v>22</v>
      </c>
      <c r="D11" s="1044"/>
      <c r="E11" s="1050"/>
      <c r="F11" s="1051">
        <f t="shared" si="1"/>
        <v>22</v>
      </c>
      <c r="G11" s="1052">
        <v>22</v>
      </c>
      <c r="H11" s="1040">
        <f>'[6]2017 évi nyitó létszám'!D11</f>
        <v>1</v>
      </c>
      <c r="I11" s="1039">
        <f>'[6]2017 évi nyitó létszám'!E11</f>
        <v>1</v>
      </c>
      <c r="J11" s="1040"/>
      <c r="K11" s="1048"/>
      <c r="L11" s="1051">
        <f t="shared" si="2"/>
        <v>1</v>
      </c>
      <c r="M11" s="1052">
        <v>1</v>
      </c>
      <c r="N11" s="1051">
        <f t="shared" si="0"/>
        <v>23</v>
      </c>
      <c r="O11" s="1048">
        <f t="shared" si="0"/>
        <v>23</v>
      </c>
      <c r="Q11" s="1019"/>
    </row>
    <row r="12" spans="1:17" s="1042" customFormat="1" ht="45.75" customHeight="1" x14ac:dyDescent="0.5">
      <c r="A12" s="1043" t="s">
        <v>772</v>
      </c>
      <c r="B12" s="1044">
        <f>'[6]2017 évi nyitó létszám'!B12</f>
        <v>26</v>
      </c>
      <c r="C12" s="1045">
        <f>'[6]2017 évi nyitó létszám'!C12</f>
        <v>26</v>
      </c>
      <c r="D12" s="1038"/>
      <c r="E12" s="1040"/>
      <c r="F12" s="1040">
        <f t="shared" si="1"/>
        <v>26</v>
      </c>
      <c r="G12" s="1041">
        <v>26</v>
      </c>
      <c r="H12" s="1044">
        <f>'[6]2017 évi nyitó létszám'!D12</f>
        <v>1</v>
      </c>
      <c r="I12" s="1048">
        <f>'[6]2017 évi nyitó létszám'!E12</f>
        <v>1</v>
      </c>
      <c r="J12" s="1044"/>
      <c r="K12" s="1039"/>
      <c r="L12" s="1040">
        <f t="shared" si="2"/>
        <v>1</v>
      </c>
      <c r="M12" s="1041">
        <v>1</v>
      </c>
      <c r="N12" s="1040">
        <f t="shared" si="0"/>
        <v>27</v>
      </c>
      <c r="O12" s="1039">
        <f t="shared" si="0"/>
        <v>27</v>
      </c>
      <c r="Q12" s="1019"/>
    </row>
    <row r="13" spans="1:17" s="1042" customFormat="1" ht="45.75" customHeight="1" x14ac:dyDescent="0.5">
      <c r="A13" s="1043" t="s">
        <v>773</v>
      </c>
      <c r="B13" s="1044">
        <f>'[6]2017 évi nyitó létszám'!B13</f>
        <v>25</v>
      </c>
      <c r="C13" s="1045">
        <f>'[6]2017 évi nyitó létszám'!C13</f>
        <v>25</v>
      </c>
      <c r="D13" s="1046"/>
      <c r="E13" s="1047"/>
      <c r="F13" s="1047">
        <f t="shared" si="1"/>
        <v>25</v>
      </c>
      <c r="G13" s="1045">
        <v>25</v>
      </c>
      <c r="H13" s="1044">
        <f>'[6]2017 évi nyitó létszám'!D13</f>
        <v>1</v>
      </c>
      <c r="I13" s="1039">
        <f>'[6]2017 évi nyitó létszám'!E13</f>
        <v>1</v>
      </c>
      <c r="J13" s="1044"/>
      <c r="K13" s="1049"/>
      <c r="L13" s="1047">
        <f t="shared" si="2"/>
        <v>1</v>
      </c>
      <c r="M13" s="1045">
        <v>1</v>
      </c>
      <c r="N13" s="1047">
        <f t="shared" si="0"/>
        <v>26</v>
      </c>
      <c r="O13" s="1049">
        <f t="shared" si="0"/>
        <v>26</v>
      </c>
      <c r="Q13" s="1019"/>
    </row>
    <row r="14" spans="1:17" s="1042" customFormat="1" ht="45.75" customHeight="1" x14ac:dyDescent="0.5">
      <c r="A14" s="1043" t="s">
        <v>774</v>
      </c>
      <c r="B14" s="1044">
        <f>'[6]2017 évi nyitó létszám'!B14</f>
        <v>22.5</v>
      </c>
      <c r="C14" s="1045">
        <f>'[6]2017 évi nyitó létszám'!C14</f>
        <v>23</v>
      </c>
      <c r="D14" s="1044"/>
      <c r="E14" s="1051"/>
      <c r="F14" s="1051">
        <f t="shared" si="1"/>
        <v>22.5</v>
      </c>
      <c r="G14" s="1052">
        <v>23</v>
      </c>
      <c r="H14" s="1044">
        <f>'[6]2017 évi nyitó létszám'!D14</f>
        <v>1</v>
      </c>
      <c r="I14" s="1048">
        <f>'[6]2017 évi nyitó létszám'!E14</f>
        <v>1</v>
      </c>
      <c r="J14" s="1044"/>
      <c r="K14" s="1048"/>
      <c r="L14" s="1051">
        <f t="shared" si="2"/>
        <v>1</v>
      </c>
      <c r="M14" s="1052">
        <v>1</v>
      </c>
      <c r="N14" s="1051">
        <f t="shared" si="0"/>
        <v>23.5</v>
      </c>
      <c r="O14" s="1048">
        <f t="shared" si="0"/>
        <v>24</v>
      </c>
      <c r="Q14" s="1019"/>
    </row>
    <row r="15" spans="1:17" s="1042" customFormat="1" ht="45.75" customHeight="1" x14ac:dyDescent="0.5">
      <c r="A15" s="1043" t="s">
        <v>775</v>
      </c>
      <c r="B15" s="1044">
        <f>'[6]2017 évi nyitó létszám'!B15</f>
        <v>18</v>
      </c>
      <c r="C15" s="1045">
        <f>'[6]2017 évi nyitó létszám'!C15</f>
        <v>18</v>
      </c>
      <c r="D15" s="1046"/>
      <c r="E15" s="1047"/>
      <c r="F15" s="1047">
        <f t="shared" si="1"/>
        <v>18</v>
      </c>
      <c r="G15" s="1045">
        <v>18</v>
      </c>
      <c r="H15" s="1044">
        <f>'[6]2017 évi nyitó létszám'!D15</f>
        <v>1</v>
      </c>
      <c r="I15" s="1039">
        <f>'[6]2017 évi nyitó létszám'!E15</f>
        <v>1</v>
      </c>
      <c r="J15" s="1044"/>
      <c r="K15" s="1049"/>
      <c r="L15" s="1047">
        <f t="shared" si="2"/>
        <v>1</v>
      </c>
      <c r="M15" s="1045">
        <v>1</v>
      </c>
      <c r="N15" s="1047">
        <f t="shared" si="0"/>
        <v>19</v>
      </c>
      <c r="O15" s="1049">
        <f t="shared" si="0"/>
        <v>19</v>
      </c>
      <c r="Q15" s="1019"/>
    </row>
    <row r="16" spans="1:17" s="1042" customFormat="1" ht="45.75" customHeight="1" x14ac:dyDescent="0.5">
      <c r="A16" s="1043" t="s">
        <v>777</v>
      </c>
      <c r="B16" s="1044">
        <f>'[6]2017 évi nyitó létszám'!B16</f>
        <v>18</v>
      </c>
      <c r="C16" s="1045">
        <f>'[6]2017 évi nyitó létszám'!C16</f>
        <v>18</v>
      </c>
      <c r="D16" s="1044"/>
      <c r="E16" s="1051"/>
      <c r="F16" s="1051">
        <f t="shared" si="1"/>
        <v>18</v>
      </c>
      <c r="G16" s="1052">
        <v>18</v>
      </c>
      <c r="H16" s="1044">
        <f>'[6]2017 évi nyitó létszám'!D16</f>
        <v>1</v>
      </c>
      <c r="I16" s="1048">
        <f>'[6]2017 évi nyitó létszám'!E16</f>
        <v>1</v>
      </c>
      <c r="J16" s="1044"/>
      <c r="K16" s="1048"/>
      <c r="L16" s="1051">
        <f t="shared" si="2"/>
        <v>1</v>
      </c>
      <c r="M16" s="1052">
        <v>1</v>
      </c>
      <c r="N16" s="1051">
        <f t="shared" si="0"/>
        <v>19</v>
      </c>
      <c r="O16" s="1048">
        <f t="shared" si="0"/>
        <v>19</v>
      </c>
      <c r="Q16" s="1019"/>
    </row>
    <row r="17" spans="1:17" s="1042" customFormat="1" ht="45.75" customHeight="1" x14ac:dyDescent="0.5">
      <c r="A17" s="1043" t="s">
        <v>835</v>
      </c>
      <c r="B17" s="1044">
        <f>'[6]2017 évi nyitó létszám'!B17</f>
        <v>25</v>
      </c>
      <c r="C17" s="1045">
        <f>'[6]2017 évi nyitó létszám'!C17</f>
        <v>25</v>
      </c>
      <c r="D17" s="1046"/>
      <c r="E17" s="1053"/>
      <c r="F17" s="1047">
        <f t="shared" si="1"/>
        <v>25</v>
      </c>
      <c r="G17" s="1045">
        <v>25</v>
      </c>
      <c r="H17" s="1044">
        <f>'[6]2017 évi nyitó létszám'!D17</f>
        <v>1</v>
      </c>
      <c r="I17" s="1039">
        <f>'[6]2017 évi nyitó létszám'!E17</f>
        <v>1</v>
      </c>
      <c r="J17" s="1044"/>
      <c r="K17" s="1049"/>
      <c r="L17" s="1047">
        <f t="shared" si="2"/>
        <v>1</v>
      </c>
      <c r="M17" s="1045">
        <v>1</v>
      </c>
      <c r="N17" s="1047">
        <f t="shared" si="0"/>
        <v>26</v>
      </c>
      <c r="O17" s="1049">
        <f t="shared" si="0"/>
        <v>26</v>
      </c>
      <c r="Q17" s="1019"/>
    </row>
    <row r="18" spans="1:17" s="1042" customFormat="1" ht="45.75" customHeight="1" x14ac:dyDescent="0.5">
      <c r="A18" s="1043" t="s">
        <v>779</v>
      </c>
      <c r="B18" s="1044">
        <f>'[6]2017 évi nyitó létszám'!B18</f>
        <v>28</v>
      </c>
      <c r="C18" s="1045">
        <f>'[6]2017 évi nyitó létszám'!C18</f>
        <v>28</v>
      </c>
      <c r="D18" s="1044"/>
      <c r="E18" s="1051"/>
      <c r="F18" s="1051">
        <f t="shared" si="1"/>
        <v>28</v>
      </c>
      <c r="G18" s="1052">
        <v>28</v>
      </c>
      <c r="H18" s="1044">
        <f>'[6]2017 évi nyitó létszám'!D18</f>
        <v>1</v>
      </c>
      <c r="I18" s="1048">
        <f>'[6]2017 évi nyitó létszám'!E18</f>
        <v>1</v>
      </c>
      <c r="J18" s="1044"/>
      <c r="K18" s="1048"/>
      <c r="L18" s="1051">
        <f t="shared" si="2"/>
        <v>1</v>
      </c>
      <c r="M18" s="1052">
        <v>1</v>
      </c>
      <c r="N18" s="1051">
        <f t="shared" si="0"/>
        <v>29</v>
      </c>
      <c r="O18" s="1048">
        <f t="shared" si="0"/>
        <v>29</v>
      </c>
      <c r="Q18" s="1019"/>
    </row>
    <row r="19" spans="1:17" s="1042" customFormat="1" ht="45.75" customHeight="1" x14ac:dyDescent="0.5">
      <c r="A19" s="1043" t="s">
        <v>780</v>
      </c>
      <c r="B19" s="1044">
        <f>'[6]2017 évi nyitó létszám'!B19</f>
        <v>15</v>
      </c>
      <c r="C19" s="1045">
        <f>'[6]2017 évi nyitó létszám'!C19</f>
        <v>15</v>
      </c>
      <c r="D19" s="1046"/>
      <c r="E19" s="1047"/>
      <c r="F19" s="1047">
        <f t="shared" si="1"/>
        <v>15</v>
      </c>
      <c r="G19" s="1045">
        <v>15</v>
      </c>
      <c r="H19" s="1044">
        <f>'[6]2017 évi nyitó létszám'!D19</f>
        <v>1</v>
      </c>
      <c r="I19" s="1039">
        <f>'[6]2017 évi nyitó létszám'!E19</f>
        <v>1</v>
      </c>
      <c r="J19" s="1044"/>
      <c r="K19" s="1049"/>
      <c r="L19" s="1047">
        <f t="shared" si="2"/>
        <v>1</v>
      </c>
      <c r="M19" s="1045">
        <v>1</v>
      </c>
      <c r="N19" s="1047">
        <f t="shared" si="0"/>
        <v>16</v>
      </c>
      <c r="O19" s="1049">
        <f t="shared" si="0"/>
        <v>16</v>
      </c>
      <c r="Q19" s="1019"/>
    </row>
    <row r="20" spans="1:17" s="1042" customFormat="1" ht="45.75" customHeight="1" x14ac:dyDescent="0.5">
      <c r="A20" s="1043" t="s">
        <v>781</v>
      </c>
      <c r="B20" s="1044">
        <f>'[6]2017 évi nyitó létszám'!B20</f>
        <v>11.5</v>
      </c>
      <c r="C20" s="1045">
        <f>'[6]2017 évi nyitó létszám'!C20</f>
        <v>11</v>
      </c>
      <c r="D20" s="1054"/>
      <c r="E20" s="1051"/>
      <c r="F20" s="1051">
        <f t="shared" si="1"/>
        <v>11.5</v>
      </c>
      <c r="G20" s="1052">
        <v>11</v>
      </c>
      <c r="H20" s="1044">
        <f>'[6]2017 évi nyitó létszám'!D20</f>
        <v>1</v>
      </c>
      <c r="I20" s="1048">
        <f>'[6]2017 évi nyitó létszám'!E20</f>
        <v>1</v>
      </c>
      <c r="J20" s="1054"/>
      <c r="K20" s="1048"/>
      <c r="L20" s="1051">
        <f t="shared" si="2"/>
        <v>1</v>
      </c>
      <c r="M20" s="1052">
        <v>1</v>
      </c>
      <c r="N20" s="1051">
        <f t="shared" si="0"/>
        <v>12.5</v>
      </c>
      <c r="O20" s="1048">
        <f t="shared" si="0"/>
        <v>12</v>
      </c>
      <c r="Q20" s="1019"/>
    </row>
    <row r="21" spans="1:17" s="1042" customFormat="1" ht="45.75" customHeight="1" x14ac:dyDescent="0.5">
      <c r="A21" s="1043" t="s">
        <v>782</v>
      </c>
      <c r="B21" s="1044">
        <f>'[6]2017 évi nyitó létszám'!B21</f>
        <v>15</v>
      </c>
      <c r="C21" s="1045">
        <f>'[6]2017 évi nyitó létszám'!C21</f>
        <v>15</v>
      </c>
      <c r="D21" s="1046"/>
      <c r="E21" s="1047"/>
      <c r="F21" s="1047">
        <f t="shared" si="1"/>
        <v>15</v>
      </c>
      <c r="G21" s="1045">
        <v>15</v>
      </c>
      <c r="H21" s="1044">
        <f>'[6]2017 évi nyitó létszám'!D21</f>
        <v>1</v>
      </c>
      <c r="I21" s="1039">
        <f>'[6]2017 évi nyitó létszám'!E21</f>
        <v>1</v>
      </c>
      <c r="J21" s="1044"/>
      <c r="K21" s="1049"/>
      <c r="L21" s="1047">
        <f t="shared" si="2"/>
        <v>1</v>
      </c>
      <c r="M21" s="1045">
        <v>1</v>
      </c>
      <c r="N21" s="1047">
        <f t="shared" si="0"/>
        <v>16</v>
      </c>
      <c r="O21" s="1049">
        <f t="shared" si="0"/>
        <v>16</v>
      </c>
      <c r="Q21" s="1019"/>
    </row>
    <row r="22" spans="1:17" s="1042" customFormat="1" ht="45.75" customHeight="1" x14ac:dyDescent="0.5">
      <c r="A22" s="1043" t="s">
        <v>783</v>
      </c>
      <c r="B22" s="1044">
        <f>'[6]2017 évi nyitó létszám'!B22</f>
        <v>20</v>
      </c>
      <c r="C22" s="1045">
        <f>'[6]2017 évi nyitó létszám'!C22</f>
        <v>20</v>
      </c>
      <c r="D22" s="1044"/>
      <c r="E22" s="1051"/>
      <c r="F22" s="1051">
        <f t="shared" si="1"/>
        <v>20</v>
      </c>
      <c r="G22" s="1052">
        <v>20</v>
      </c>
      <c r="H22" s="1044">
        <f>'[6]2017 évi nyitó létszám'!D22</f>
        <v>1</v>
      </c>
      <c r="I22" s="1055">
        <f>'[6]2017 évi nyitó létszám'!E22</f>
        <v>1</v>
      </c>
      <c r="J22" s="1044"/>
      <c r="K22" s="1044"/>
      <c r="L22" s="1051">
        <f t="shared" si="2"/>
        <v>1</v>
      </c>
      <c r="M22" s="1052">
        <v>1</v>
      </c>
      <c r="N22" s="1051">
        <f t="shared" si="0"/>
        <v>21</v>
      </c>
      <c r="O22" s="1048">
        <f t="shared" si="0"/>
        <v>21</v>
      </c>
      <c r="Q22" s="1019"/>
    </row>
    <row r="23" spans="1:17" s="1042" customFormat="1" ht="45.75" customHeight="1" x14ac:dyDescent="0.5">
      <c r="A23" s="1043" t="s">
        <v>784</v>
      </c>
      <c r="B23" s="1044">
        <f>'[6]2017 évi nyitó létszám'!B23</f>
        <v>28</v>
      </c>
      <c r="C23" s="1045">
        <f>'[6]2017 évi nyitó létszám'!C23</f>
        <v>28</v>
      </c>
      <c r="D23" s="1046"/>
      <c r="E23" s="1047"/>
      <c r="F23" s="1047">
        <f t="shared" si="1"/>
        <v>28</v>
      </c>
      <c r="G23" s="1045">
        <v>28</v>
      </c>
      <c r="H23" s="1044">
        <f>'[6]2017 évi nyitó létszám'!D23</f>
        <v>1</v>
      </c>
      <c r="I23" s="1048">
        <f>'[6]2017 évi nyitó létszám'!E23</f>
        <v>1</v>
      </c>
      <c r="J23" s="1044"/>
      <c r="K23" s="1049"/>
      <c r="L23" s="1047">
        <f t="shared" si="2"/>
        <v>1</v>
      </c>
      <c r="M23" s="1045">
        <v>1</v>
      </c>
      <c r="N23" s="1047">
        <f t="shared" si="0"/>
        <v>29</v>
      </c>
      <c r="O23" s="1049">
        <f t="shared" si="0"/>
        <v>29</v>
      </c>
      <c r="Q23" s="1019"/>
    </row>
    <row r="24" spans="1:17" s="1042" customFormat="1" ht="45.75" customHeight="1" x14ac:dyDescent="0.5">
      <c r="A24" s="1043" t="s">
        <v>785</v>
      </c>
      <c r="B24" s="1044">
        <f>'[6]2017 évi nyitó létszám'!B24</f>
        <v>22</v>
      </c>
      <c r="C24" s="1045">
        <f>'[6]2017 évi nyitó létszám'!C24</f>
        <v>22</v>
      </c>
      <c r="D24" s="1044"/>
      <c r="E24" s="1051"/>
      <c r="F24" s="1051">
        <f t="shared" si="1"/>
        <v>22</v>
      </c>
      <c r="G24" s="1052">
        <v>22</v>
      </c>
      <c r="H24" s="1044">
        <f>'[6]2017 évi nyitó létszám'!D24</f>
        <v>1</v>
      </c>
      <c r="I24" s="1039">
        <f>'[6]2017 évi nyitó létszám'!E24</f>
        <v>1</v>
      </c>
      <c r="J24" s="1044"/>
      <c r="K24" s="1048"/>
      <c r="L24" s="1051">
        <f t="shared" si="2"/>
        <v>1</v>
      </c>
      <c r="M24" s="1052">
        <v>1</v>
      </c>
      <c r="N24" s="1051">
        <f t="shared" si="0"/>
        <v>23</v>
      </c>
      <c r="O24" s="1048">
        <f t="shared" si="0"/>
        <v>23</v>
      </c>
      <c r="Q24" s="1019"/>
    </row>
    <row r="25" spans="1:17" s="1042" customFormat="1" ht="45.75" customHeight="1" x14ac:dyDescent="0.5">
      <c r="A25" s="1037" t="s">
        <v>786</v>
      </c>
      <c r="B25" s="1044">
        <f>'[6]2017 évi nyitó létszám'!B25</f>
        <v>16</v>
      </c>
      <c r="C25" s="1056">
        <f>'[6]2017 évi nyitó létszám'!C25</f>
        <v>16</v>
      </c>
      <c r="D25" s="1057"/>
      <c r="E25" s="1058"/>
      <c r="F25" s="1058">
        <f t="shared" si="1"/>
        <v>16</v>
      </c>
      <c r="G25" s="1059">
        <v>16</v>
      </c>
      <c r="H25" s="1044">
        <f>'[6]2017 évi nyitó létszám'!D25</f>
        <v>1</v>
      </c>
      <c r="I25" s="1048">
        <f>'[6]2017 évi nyitó létszám'!E25</f>
        <v>1</v>
      </c>
      <c r="J25" s="1044"/>
      <c r="K25" s="1060"/>
      <c r="L25" s="1058">
        <f t="shared" si="2"/>
        <v>1</v>
      </c>
      <c r="M25" s="1059">
        <v>1</v>
      </c>
      <c r="N25" s="1058">
        <f t="shared" si="0"/>
        <v>17</v>
      </c>
      <c r="O25" s="1060">
        <f t="shared" si="0"/>
        <v>17</v>
      </c>
      <c r="Q25" s="1019"/>
    </row>
    <row r="26" spans="1:17" s="1042" customFormat="1" ht="45.75" customHeight="1" thickBot="1" x14ac:dyDescent="0.55000000000000004">
      <c r="A26" s="1061" t="s">
        <v>787</v>
      </c>
      <c r="B26" s="1038">
        <f>'[6]2017 évi nyitó létszám'!B26</f>
        <v>11.5</v>
      </c>
      <c r="C26" s="1041">
        <f>'[6]2017 évi nyitó létszám'!C26</f>
        <v>12</v>
      </c>
      <c r="D26" s="1062"/>
      <c r="E26" s="1040"/>
      <c r="F26" s="1040">
        <f t="shared" si="1"/>
        <v>11.5</v>
      </c>
      <c r="G26" s="1041">
        <v>12</v>
      </c>
      <c r="H26" s="1040">
        <f>'[6]2017 évi nyitó létszám'!D26</f>
        <v>1</v>
      </c>
      <c r="I26" s="1039">
        <f>'[6]2017 évi nyitó létszám'!E26</f>
        <v>1</v>
      </c>
      <c r="J26" s="1063"/>
      <c r="K26" s="1039"/>
      <c r="L26" s="1040">
        <f>H26+J26+K26</f>
        <v>1</v>
      </c>
      <c r="M26" s="1041">
        <v>1</v>
      </c>
      <c r="N26" s="1040">
        <f t="shared" si="0"/>
        <v>12.5</v>
      </c>
      <c r="O26" s="1039">
        <f t="shared" si="0"/>
        <v>13</v>
      </c>
      <c r="Q26" s="1019"/>
    </row>
    <row r="27" spans="1:17" s="1042" customFormat="1" ht="45.75" customHeight="1" thickBot="1" x14ac:dyDescent="0.55000000000000004">
      <c r="A27" s="1064" t="s">
        <v>836</v>
      </c>
      <c r="B27" s="1065">
        <f t="shared" ref="B27:O27" si="3">SUM(B9:B26)</f>
        <v>377.5</v>
      </c>
      <c r="C27" s="1066">
        <f t="shared" si="3"/>
        <v>378</v>
      </c>
      <c r="D27" s="1065">
        <f t="shared" si="3"/>
        <v>0</v>
      </c>
      <c r="E27" s="1065">
        <f t="shared" si="3"/>
        <v>0</v>
      </c>
      <c r="F27" s="1065">
        <f t="shared" si="3"/>
        <v>377.5</v>
      </c>
      <c r="G27" s="1067">
        <f t="shared" si="3"/>
        <v>378</v>
      </c>
      <c r="H27" s="1065">
        <f t="shared" si="3"/>
        <v>18</v>
      </c>
      <c r="I27" s="1066">
        <f t="shared" si="3"/>
        <v>18</v>
      </c>
      <c r="J27" s="1065">
        <f t="shared" si="3"/>
        <v>0</v>
      </c>
      <c r="K27" s="1065">
        <f t="shared" si="3"/>
        <v>0</v>
      </c>
      <c r="L27" s="1065">
        <f t="shared" si="3"/>
        <v>18</v>
      </c>
      <c r="M27" s="1067">
        <f t="shared" si="3"/>
        <v>18</v>
      </c>
      <c r="N27" s="1065">
        <f t="shared" si="3"/>
        <v>395.5</v>
      </c>
      <c r="O27" s="1066">
        <f t="shared" si="3"/>
        <v>396</v>
      </c>
      <c r="Q27" s="1019"/>
    </row>
    <row r="28" spans="1:17" s="1073" customFormat="1" ht="44.25" customHeight="1" thickBot="1" x14ac:dyDescent="0.55000000000000004">
      <c r="A28" s="1068" t="s">
        <v>724</v>
      </c>
      <c r="B28" s="1069">
        <f>'[6]2017 évi nyitó létszám'!B28</f>
        <v>0</v>
      </c>
      <c r="C28" s="1041">
        <f>'[6]2017 évi nyitó létszám'!C28</f>
        <v>0</v>
      </c>
      <c r="D28" s="1070"/>
      <c r="E28" s="1070"/>
      <c r="F28" s="1070">
        <f>B28+D28+E28</f>
        <v>0</v>
      </c>
      <c r="G28" s="1041">
        <v>0</v>
      </c>
      <c r="H28" s="1071">
        <f>'[6]2017 évi nyitó létszám'!D28</f>
        <v>44</v>
      </c>
      <c r="I28" s="1067">
        <f>'[6]2017 évi nyitó létszám'!E28</f>
        <v>44</v>
      </c>
      <c r="J28" s="1071"/>
      <c r="K28" s="1044"/>
      <c r="L28" s="1072">
        <f>H28+J28+K28</f>
        <v>44</v>
      </c>
      <c r="M28" s="1067">
        <v>44</v>
      </c>
      <c r="N28" s="1072">
        <f>F28+L28</f>
        <v>44</v>
      </c>
      <c r="O28" s="1052">
        <f>G28+M28</f>
        <v>44</v>
      </c>
      <c r="Q28" s="1074"/>
    </row>
    <row r="29" spans="1:17" s="1042" customFormat="1" ht="42.75" customHeight="1" thickBot="1" x14ac:dyDescent="0.55000000000000004">
      <c r="A29" s="1064" t="s">
        <v>837</v>
      </c>
      <c r="B29" s="1075">
        <f>SUM(B27:B28)</f>
        <v>377.5</v>
      </c>
      <c r="C29" s="1076">
        <f>SUM(C27:C28)</f>
        <v>378</v>
      </c>
      <c r="D29" s="1075">
        <f>D28+D27</f>
        <v>0</v>
      </c>
      <c r="E29" s="1075">
        <f>E28+E27</f>
        <v>0</v>
      </c>
      <c r="F29" s="1075">
        <f>SUM(F27:F28)</f>
        <v>377.5</v>
      </c>
      <c r="G29" s="1077">
        <f>SUM(G27:G28)</f>
        <v>378</v>
      </c>
      <c r="H29" s="1075">
        <f t="shared" ref="H29:O29" si="4">H28+H27</f>
        <v>62</v>
      </c>
      <c r="I29" s="1076">
        <f t="shared" si="4"/>
        <v>62</v>
      </c>
      <c r="J29" s="1075">
        <f t="shared" si="4"/>
        <v>0</v>
      </c>
      <c r="K29" s="1075">
        <f t="shared" si="4"/>
        <v>0</v>
      </c>
      <c r="L29" s="1075">
        <f t="shared" si="4"/>
        <v>62</v>
      </c>
      <c r="M29" s="1077">
        <f t="shared" si="4"/>
        <v>62</v>
      </c>
      <c r="N29" s="1075">
        <f t="shared" si="4"/>
        <v>439.5</v>
      </c>
      <c r="O29" s="1076">
        <f t="shared" si="4"/>
        <v>440</v>
      </c>
      <c r="Q29" s="1019"/>
    </row>
    <row r="30" spans="1:17" s="1042" customFormat="1" ht="42.75" customHeight="1" x14ac:dyDescent="0.5">
      <c r="A30" s="1078" t="s">
        <v>838</v>
      </c>
      <c r="B30" s="1079"/>
      <c r="C30" s="1040"/>
      <c r="D30" s="1040"/>
      <c r="E30" s="1040"/>
      <c r="F30" s="1040"/>
      <c r="G30" s="1070"/>
      <c r="H30" s="1040"/>
      <c r="I30" s="1040"/>
      <c r="J30" s="1080"/>
      <c r="K30" s="1079"/>
      <c r="L30" s="1040"/>
      <c r="M30" s="1070"/>
      <c r="N30" s="1040"/>
      <c r="O30" s="1040"/>
      <c r="Q30" s="1019"/>
    </row>
    <row r="31" spans="1:17" s="1042" customFormat="1" ht="45.75" customHeight="1" x14ac:dyDescent="0.5">
      <c r="A31" s="1029" t="s">
        <v>839</v>
      </c>
      <c r="B31" s="1038"/>
      <c r="C31" s="1040"/>
      <c r="D31" s="1040"/>
      <c r="E31" s="1040"/>
      <c r="F31" s="1040"/>
      <c r="G31" s="1070"/>
      <c r="H31" s="1040"/>
      <c r="I31" s="1040"/>
      <c r="J31" s="1080"/>
      <c r="K31" s="1038"/>
      <c r="L31" s="1040"/>
      <c r="M31" s="1070"/>
      <c r="N31" s="1040"/>
      <c r="O31" s="1040"/>
      <c r="Q31" s="1019"/>
    </row>
    <row r="32" spans="1:17" s="1042" customFormat="1" ht="44.25" customHeight="1" x14ac:dyDescent="0.5">
      <c r="A32" s="1037" t="s">
        <v>792</v>
      </c>
      <c r="B32" s="1057">
        <f>'[6]2017 évi nyitó létszám'!B32</f>
        <v>21</v>
      </c>
      <c r="C32" s="1039">
        <f>'[6]2017 évi nyitó létszám'!C32</f>
        <v>21</v>
      </c>
      <c r="D32" s="1040"/>
      <c r="E32" s="1040"/>
      <c r="F32" s="1040">
        <f>B32+D32+E32</f>
        <v>21</v>
      </c>
      <c r="G32" s="1041">
        <v>21</v>
      </c>
      <c r="H32" s="1057">
        <f>'[6]2017 évi nyitó létszám'!D32</f>
        <v>15.5</v>
      </c>
      <c r="I32" s="1081">
        <f>'[6]2017 évi nyitó létszám'!E32</f>
        <v>16</v>
      </c>
      <c r="J32" s="1082"/>
      <c r="K32" s="1057"/>
      <c r="L32" s="1040">
        <f>H32+J32+K32</f>
        <v>15.5</v>
      </c>
      <c r="M32" s="1041">
        <v>16</v>
      </c>
      <c r="N32" s="1040">
        <f t="shared" ref="N32:O36" si="5">F32+L32</f>
        <v>36.5</v>
      </c>
      <c r="O32" s="1039">
        <f t="shared" si="5"/>
        <v>37</v>
      </c>
      <c r="Q32" s="1019"/>
    </row>
    <row r="33" spans="1:17" s="1042" customFormat="1" ht="44.25" customHeight="1" x14ac:dyDescent="0.5">
      <c r="A33" s="1043" t="s">
        <v>186</v>
      </c>
      <c r="B33" s="1044">
        <f>'[6]2017 évi nyitó létszám'!B33</f>
        <v>17</v>
      </c>
      <c r="C33" s="1045">
        <f>'[6]2017 évi nyitó létszám'!C33</f>
        <v>17</v>
      </c>
      <c r="D33" s="1051"/>
      <c r="E33" s="1051"/>
      <c r="F33" s="1051">
        <f>B33+D33+E33</f>
        <v>17</v>
      </c>
      <c r="G33" s="1052">
        <v>17</v>
      </c>
      <c r="H33" s="1040">
        <f>'[6]2017 évi nyitó létszám'!D33</f>
        <v>1</v>
      </c>
      <c r="I33" s="1039">
        <f>'[6]2017 évi nyitó létszám'!E33</f>
        <v>1</v>
      </c>
      <c r="J33" s="1083"/>
      <c r="K33" s="1084"/>
      <c r="L33" s="1051">
        <f>H33+J33+K33</f>
        <v>1</v>
      </c>
      <c r="M33" s="1052">
        <v>1</v>
      </c>
      <c r="N33" s="1051">
        <f t="shared" si="5"/>
        <v>18</v>
      </c>
      <c r="O33" s="1049">
        <f t="shared" si="5"/>
        <v>18</v>
      </c>
      <c r="Q33" s="1019"/>
    </row>
    <row r="34" spans="1:17" s="1042" customFormat="1" ht="44.25" customHeight="1" x14ac:dyDescent="0.5">
      <c r="A34" s="1043" t="s">
        <v>793</v>
      </c>
      <c r="B34" s="1044">
        <f>'[6]2017 évi nyitó létszám'!B34</f>
        <v>77</v>
      </c>
      <c r="C34" s="1045">
        <f>'[6]2017 évi nyitó létszám'!C34</f>
        <v>77</v>
      </c>
      <c r="D34" s="1051"/>
      <c r="E34" s="1051"/>
      <c r="F34" s="1051">
        <f>B34+D34+E34</f>
        <v>77</v>
      </c>
      <c r="G34" s="1052">
        <v>77</v>
      </c>
      <c r="H34" s="1044">
        <f>'[6]2017 évi nyitó létszám'!D34</f>
        <v>7.5</v>
      </c>
      <c r="I34" s="1048">
        <f>'[6]2017 évi nyitó létszám'!E34</f>
        <v>7</v>
      </c>
      <c r="J34" s="1085"/>
      <c r="K34" s="1084"/>
      <c r="L34" s="1051">
        <f>H34+J34+K34</f>
        <v>7.5</v>
      </c>
      <c r="M34" s="1052">
        <v>7</v>
      </c>
      <c r="N34" s="1051">
        <f t="shared" si="5"/>
        <v>84.5</v>
      </c>
      <c r="O34" s="1049">
        <f t="shared" si="5"/>
        <v>84</v>
      </c>
      <c r="Q34" s="1019"/>
    </row>
    <row r="35" spans="1:17" s="1042" customFormat="1" ht="44.25" customHeight="1" x14ac:dyDescent="0.5">
      <c r="A35" s="1043" t="s">
        <v>794</v>
      </c>
      <c r="B35" s="1044">
        <f>'[6]2017 évi nyitó létszám'!B35</f>
        <v>34.5</v>
      </c>
      <c r="C35" s="1052">
        <f>'[6]2017 évi nyitó létszám'!C35</f>
        <v>35</v>
      </c>
      <c r="D35" s="1051"/>
      <c r="E35" s="1051"/>
      <c r="F35" s="1051">
        <f>B35+D35+E35</f>
        <v>34.5</v>
      </c>
      <c r="G35" s="1052">
        <v>35</v>
      </c>
      <c r="H35" s="1044">
        <f>'[6]2017 évi nyitó létszám'!D35</f>
        <v>11</v>
      </c>
      <c r="I35" s="1048">
        <f>'[6]2017 évi nyitó létszám'!E35</f>
        <v>11</v>
      </c>
      <c r="J35" s="1083"/>
      <c r="K35" s="1084"/>
      <c r="L35" s="1051">
        <f>H35+J35+K35</f>
        <v>11</v>
      </c>
      <c r="M35" s="1052">
        <v>11</v>
      </c>
      <c r="N35" s="1051">
        <f t="shared" si="5"/>
        <v>45.5</v>
      </c>
      <c r="O35" s="1049">
        <f t="shared" si="5"/>
        <v>46</v>
      </c>
      <c r="Q35" s="1019"/>
    </row>
    <row r="36" spans="1:17" s="1042" customFormat="1" ht="44.25" customHeight="1" thickBot="1" x14ac:dyDescent="0.55000000000000004">
      <c r="A36" s="1086" t="s">
        <v>795</v>
      </c>
      <c r="B36" s="1087">
        <f>'[6]2017 évi nyitó létszám'!B36</f>
        <v>61.5</v>
      </c>
      <c r="C36" s="1039">
        <f>'[6]2017 évi nyitó létszám'!C36</f>
        <v>62</v>
      </c>
      <c r="D36" s="1040"/>
      <c r="E36" s="1040"/>
      <c r="F36" s="1040">
        <f>B36+D36+E36</f>
        <v>61.5</v>
      </c>
      <c r="G36" s="1041">
        <v>62</v>
      </c>
      <c r="H36" s="1040">
        <f>'[6]2017 évi nyitó létszám'!D36</f>
        <v>30.25</v>
      </c>
      <c r="I36" s="1039">
        <f>'[6]2017 évi nyitó létszám'!E36</f>
        <v>30</v>
      </c>
      <c r="J36" s="1082"/>
      <c r="K36" s="1087"/>
      <c r="L36" s="1040">
        <f>H36+J36+K36</f>
        <v>30.25</v>
      </c>
      <c r="M36" s="1041">
        <v>30</v>
      </c>
      <c r="N36" s="1040">
        <f t="shared" si="5"/>
        <v>91.75</v>
      </c>
      <c r="O36" s="1049">
        <f t="shared" si="5"/>
        <v>92</v>
      </c>
      <c r="Q36" s="1019"/>
    </row>
    <row r="37" spans="1:17" s="1042" customFormat="1" ht="44.25" customHeight="1" thickBot="1" x14ac:dyDescent="0.55000000000000004">
      <c r="A37" s="1064" t="s">
        <v>840</v>
      </c>
      <c r="B37" s="1075">
        <f t="shared" ref="B37:O37" si="6">SUM(B32:B36)</f>
        <v>211</v>
      </c>
      <c r="C37" s="1076">
        <f t="shared" si="6"/>
        <v>212</v>
      </c>
      <c r="D37" s="1075">
        <f t="shared" si="6"/>
        <v>0</v>
      </c>
      <c r="E37" s="1075">
        <f t="shared" si="6"/>
        <v>0</v>
      </c>
      <c r="F37" s="1075">
        <f t="shared" si="6"/>
        <v>211</v>
      </c>
      <c r="G37" s="1077">
        <f t="shared" si="6"/>
        <v>212</v>
      </c>
      <c r="H37" s="1075">
        <f t="shared" si="6"/>
        <v>65.25</v>
      </c>
      <c r="I37" s="1076">
        <f t="shared" si="6"/>
        <v>65</v>
      </c>
      <c r="J37" s="1065">
        <f t="shared" si="6"/>
        <v>0</v>
      </c>
      <c r="K37" s="1065">
        <f t="shared" si="6"/>
        <v>0</v>
      </c>
      <c r="L37" s="1075">
        <f t="shared" si="6"/>
        <v>65.25</v>
      </c>
      <c r="M37" s="1077">
        <f t="shared" si="6"/>
        <v>65</v>
      </c>
      <c r="N37" s="1075">
        <f t="shared" si="6"/>
        <v>276.25</v>
      </c>
      <c r="O37" s="1076">
        <f t="shared" si="6"/>
        <v>277</v>
      </c>
      <c r="Q37" s="1019"/>
    </row>
    <row r="38" spans="1:17" s="1042" customFormat="1" ht="45.75" customHeight="1" x14ac:dyDescent="0.5">
      <c r="A38" s="1078" t="s">
        <v>841</v>
      </c>
      <c r="B38" s="1088"/>
      <c r="C38" s="1088"/>
      <c r="D38" s="1088"/>
      <c r="E38" s="1088"/>
      <c r="F38" s="1088"/>
      <c r="G38" s="1089"/>
      <c r="H38" s="1088"/>
      <c r="I38" s="1088"/>
      <c r="J38" s="1088"/>
      <c r="K38" s="1088"/>
      <c r="L38" s="1088"/>
      <c r="M38" s="1089"/>
      <c r="N38" s="1088"/>
      <c r="O38" s="1088"/>
      <c r="Q38" s="1019"/>
    </row>
    <row r="39" spans="1:17" s="1042" customFormat="1" ht="44.25" customHeight="1" thickBot="1" x14ac:dyDescent="0.55000000000000004">
      <c r="A39" s="1090" t="s">
        <v>799</v>
      </c>
      <c r="B39" s="1038">
        <f>'[6]2017 évi nyitó létszám'!B39</f>
        <v>1</v>
      </c>
      <c r="C39" s="1039">
        <f>'[6]2017 évi nyitó létszám'!C39</f>
        <v>1</v>
      </c>
      <c r="D39" s="1058"/>
      <c r="E39" s="1058"/>
      <c r="F39" s="1058">
        <f>B39+D39+E39</f>
        <v>1</v>
      </c>
      <c r="G39" s="1059">
        <v>1</v>
      </c>
      <c r="H39" s="1040">
        <f>'[6]2017 évi nyitó létszám'!D39</f>
        <v>15</v>
      </c>
      <c r="I39" s="1039">
        <f>'[6]2017 évi nyitó létszám'!E39</f>
        <v>15</v>
      </c>
      <c r="J39" s="1091"/>
      <c r="K39" s="1057"/>
      <c r="L39" s="1058">
        <f>H39+J39+K39</f>
        <v>15</v>
      </c>
      <c r="M39" s="1059">
        <v>15</v>
      </c>
      <c r="N39" s="1058">
        <f>F39+L39</f>
        <v>16</v>
      </c>
      <c r="O39" s="1039">
        <f>G39+M39</f>
        <v>16</v>
      </c>
      <c r="Q39" s="1019"/>
    </row>
    <row r="40" spans="1:17" s="1042" customFormat="1" ht="44.25" customHeight="1" thickBot="1" x14ac:dyDescent="0.55000000000000004">
      <c r="A40" s="1064" t="s">
        <v>840</v>
      </c>
      <c r="B40" s="1075">
        <f t="shared" ref="B40:I40" si="7">B39</f>
        <v>1</v>
      </c>
      <c r="C40" s="1076">
        <f t="shared" si="7"/>
        <v>1</v>
      </c>
      <c r="D40" s="1075">
        <f t="shared" si="7"/>
        <v>0</v>
      </c>
      <c r="E40" s="1075">
        <f t="shared" si="7"/>
        <v>0</v>
      </c>
      <c r="F40" s="1075">
        <f t="shared" si="7"/>
        <v>1</v>
      </c>
      <c r="G40" s="1077">
        <f t="shared" si="7"/>
        <v>1</v>
      </c>
      <c r="H40" s="1075">
        <f t="shared" si="7"/>
        <v>15</v>
      </c>
      <c r="I40" s="1076">
        <f t="shared" si="7"/>
        <v>15</v>
      </c>
      <c r="J40" s="1065">
        <f>SUM(J39)</f>
        <v>0</v>
      </c>
      <c r="K40" s="1065">
        <f>SUM(K39)</f>
        <v>0</v>
      </c>
      <c r="L40" s="1075">
        <f>L39</f>
        <v>15</v>
      </c>
      <c r="M40" s="1077">
        <f>M39</f>
        <v>15</v>
      </c>
      <c r="N40" s="1075">
        <f>N39</f>
        <v>16</v>
      </c>
      <c r="O40" s="1076">
        <f>O39</f>
        <v>16</v>
      </c>
      <c r="Q40" s="1019"/>
    </row>
    <row r="41" spans="1:17" s="1042" customFormat="1" ht="45.75" customHeight="1" x14ac:dyDescent="0.5">
      <c r="A41" s="1078" t="s">
        <v>842</v>
      </c>
      <c r="B41" s="1088"/>
      <c r="C41" s="1088"/>
      <c r="D41" s="1088"/>
      <c r="E41" s="1088"/>
      <c r="F41" s="1088"/>
      <c r="G41" s="1089"/>
      <c r="H41" s="1088"/>
      <c r="I41" s="1088"/>
      <c r="J41" s="1088"/>
      <c r="K41" s="1088"/>
      <c r="L41" s="1088"/>
      <c r="M41" s="1089"/>
      <c r="N41" s="1088"/>
      <c r="O41" s="1088"/>
      <c r="Q41" s="1019"/>
    </row>
    <row r="42" spans="1:17" s="1042" customFormat="1" ht="45" customHeight="1" thickBot="1" x14ac:dyDescent="0.55000000000000004">
      <c r="A42" s="1090" t="s">
        <v>802</v>
      </c>
      <c r="B42" s="1038">
        <f>'[6]2017 évi nyitó létszám'!B42</f>
        <v>61</v>
      </c>
      <c r="C42" s="1039">
        <f>'[6]2017 évi nyitó létszám'!C42</f>
        <v>61</v>
      </c>
      <c r="D42" s="1058"/>
      <c r="E42" s="1058"/>
      <c r="F42" s="1058">
        <f>B42+D42+E42</f>
        <v>61</v>
      </c>
      <c r="G42" s="1059">
        <v>61</v>
      </c>
      <c r="H42" s="1040">
        <f>'[6]2017 évi nyitó létszám'!D42</f>
        <v>34</v>
      </c>
      <c r="I42" s="1039">
        <f>'[6]2017 évi nyitó létszám'!E42</f>
        <v>34</v>
      </c>
      <c r="J42" s="1060"/>
      <c r="K42" s="1057"/>
      <c r="L42" s="1058">
        <f>H42+J42+K42</f>
        <v>34</v>
      </c>
      <c r="M42" s="1059">
        <v>34</v>
      </c>
      <c r="N42" s="1058">
        <f>F42+L42</f>
        <v>95</v>
      </c>
      <c r="O42" s="1039">
        <f>G42+M42</f>
        <v>95</v>
      </c>
      <c r="Q42" s="1019"/>
    </row>
    <row r="43" spans="1:17" s="1042" customFormat="1" ht="44.25" customHeight="1" thickBot="1" x14ac:dyDescent="0.55000000000000004">
      <c r="A43" s="1064" t="s">
        <v>840</v>
      </c>
      <c r="B43" s="1075">
        <f t="shared" ref="B43:I43" si="8">B42</f>
        <v>61</v>
      </c>
      <c r="C43" s="1076">
        <f t="shared" si="8"/>
        <v>61</v>
      </c>
      <c r="D43" s="1075">
        <f t="shared" si="8"/>
        <v>0</v>
      </c>
      <c r="E43" s="1075">
        <f t="shared" si="8"/>
        <v>0</v>
      </c>
      <c r="F43" s="1075">
        <f t="shared" si="8"/>
        <v>61</v>
      </c>
      <c r="G43" s="1077">
        <f t="shared" si="8"/>
        <v>61</v>
      </c>
      <c r="H43" s="1075">
        <f t="shared" si="8"/>
        <v>34</v>
      </c>
      <c r="I43" s="1076">
        <f t="shared" si="8"/>
        <v>34</v>
      </c>
      <c r="J43" s="1065">
        <f>SUM(J42)</f>
        <v>0</v>
      </c>
      <c r="K43" s="1065">
        <f>SUM(K42)</f>
        <v>0</v>
      </c>
      <c r="L43" s="1075">
        <f>L42</f>
        <v>34</v>
      </c>
      <c r="M43" s="1077">
        <f>M42</f>
        <v>34</v>
      </c>
      <c r="N43" s="1075">
        <f>N42</f>
        <v>95</v>
      </c>
      <c r="O43" s="1076">
        <f>O42</f>
        <v>95</v>
      </c>
      <c r="Q43" s="1019"/>
    </row>
    <row r="44" spans="1:17" s="1042" customFormat="1" ht="45.75" customHeight="1" x14ac:dyDescent="0.5">
      <c r="A44" s="1078" t="s">
        <v>804</v>
      </c>
      <c r="B44" s="1088"/>
      <c r="C44" s="1088"/>
      <c r="D44" s="1088"/>
      <c r="E44" s="1088"/>
      <c r="F44" s="1088"/>
      <c r="G44" s="1089"/>
      <c r="H44" s="1088"/>
      <c r="I44" s="1088"/>
      <c r="J44" s="1088"/>
      <c r="K44" s="1088"/>
      <c r="L44" s="1088"/>
      <c r="M44" s="1089"/>
      <c r="N44" s="1088"/>
      <c r="O44" s="1088"/>
      <c r="Q44" s="1019"/>
    </row>
    <row r="45" spans="1:17" s="1042" customFormat="1" ht="89.25" customHeight="1" x14ac:dyDescent="0.5">
      <c r="A45" s="1092" t="s">
        <v>843</v>
      </c>
      <c r="B45" s="1040">
        <f>'[6]2017 évi nyitó létszám'!B45</f>
        <v>105</v>
      </c>
      <c r="C45" s="1041">
        <f>'[6]2017 évi nyitó létszám'!C45</f>
        <v>105</v>
      </c>
      <c r="D45" s="1063"/>
      <c r="E45" s="1063"/>
      <c r="F45" s="1040">
        <f>B45+D45+E45</f>
        <v>105</v>
      </c>
      <c r="G45" s="1041">
        <v>105</v>
      </c>
      <c r="H45" s="1040">
        <f>'[6]2017 évi nyitó létszám'!D45</f>
        <v>68.625</v>
      </c>
      <c r="I45" s="1041">
        <f>'[6]2017 évi nyitó létszám'!E45</f>
        <v>69</v>
      </c>
      <c r="J45" s="1040">
        <v>0.13</v>
      </c>
      <c r="K45" s="1057"/>
      <c r="L45" s="1040">
        <f>H45+J45+K45</f>
        <v>68.754999999999995</v>
      </c>
      <c r="M45" s="1041">
        <v>69</v>
      </c>
      <c r="N45" s="1040">
        <f>F45+L45</f>
        <v>173.755</v>
      </c>
      <c r="O45" s="1039">
        <f>G45+M45</f>
        <v>174</v>
      </c>
      <c r="Q45" s="1019"/>
    </row>
    <row r="46" spans="1:17" s="1042" customFormat="1" ht="76.5" customHeight="1" thickBot="1" x14ac:dyDescent="0.55000000000000004">
      <c r="A46" s="1093" t="s">
        <v>806</v>
      </c>
      <c r="B46" s="1094">
        <f>'[6]2017 évi nyitó létszám'!B46</f>
        <v>146.5</v>
      </c>
      <c r="C46" s="1095">
        <f>'[6]2017 évi nyitó létszám'!C46</f>
        <v>146</v>
      </c>
      <c r="D46" s="1094"/>
      <c r="E46" s="1094"/>
      <c r="F46" s="1094">
        <f>B46+D46+E46</f>
        <v>146.5</v>
      </c>
      <c r="G46" s="1095">
        <v>146</v>
      </c>
      <c r="H46" s="1094">
        <f>'[6]2017 évi nyitó létszám'!D46</f>
        <v>19</v>
      </c>
      <c r="I46" s="1095">
        <f>'[6]2017 évi nyitó létszám'!E46</f>
        <v>19</v>
      </c>
      <c r="J46" s="1096"/>
      <c r="K46" s="1057"/>
      <c r="L46" s="1094">
        <f>H46+J46+K46</f>
        <v>19</v>
      </c>
      <c r="M46" s="1095">
        <v>19</v>
      </c>
      <c r="N46" s="1094">
        <f>F46+L46</f>
        <v>165.5</v>
      </c>
      <c r="O46" s="1096">
        <f>G46+M46</f>
        <v>165</v>
      </c>
      <c r="Q46" s="1019"/>
    </row>
    <row r="47" spans="1:17" s="1042" customFormat="1" ht="44.25" customHeight="1" thickBot="1" x14ac:dyDescent="0.55000000000000004">
      <c r="A47" s="1064" t="s">
        <v>840</v>
      </c>
      <c r="B47" s="1075">
        <f t="shared" ref="B47:O47" si="9">SUM(B45:B46)</f>
        <v>251.5</v>
      </c>
      <c r="C47" s="1076">
        <f t="shared" si="9"/>
        <v>251</v>
      </c>
      <c r="D47" s="1075">
        <f t="shared" si="9"/>
        <v>0</v>
      </c>
      <c r="E47" s="1075">
        <f t="shared" si="9"/>
        <v>0</v>
      </c>
      <c r="F47" s="1075">
        <f t="shared" si="9"/>
        <v>251.5</v>
      </c>
      <c r="G47" s="1076">
        <f t="shared" si="9"/>
        <v>251</v>
      </c>
      <c r="H47" s="1075">
        <f t="shared" si="9"/>
        <v>87.625</v>
      </c>
      <c r="I47" s="1076">
        <f t="shared" si="9"/>
        <v>88</v>
      </c>
      <c r="J47" s="1075">
        <f t="shared" si="9"/>
        <v>0.13</v>
      </c>
      <c r="K47" s="1075">
        <f t="shared" si="9"/>
        <v>0</v>
      </c>
      <c r="L47" s="1075">
        <f t="shared" si="9"/>
        <v>87.754999999999995</v>
      </c>
      <c r="M47" s="1077">
        <f t="shared" si="9"/>
        <v>88</v>
      </c>
      <c r="N47" s="1075">
        <f t="shared" si="9"/>
        <v>339.255</v>
      </c>
      <c r="O47" s="1076">
        <f t="shared" si="9"/>
        <v>339</v>
      </c>
      <c r="Q47" s="1019"/>
    </row>
    <row r="48" spans="1:17" s="1042" customFormat="1" ht="44.25" customHeight="1" thickBot="1" x14ac:dyDescent="0.55000000000000004">
      <c r="A48" s="1097" t="s">
        <v>838</v>
      </c>
      <c r="B48" s="1098">
        <f t="shared" ref="B48:O48" si="10">B37+B40+B43+B47</f>
        <v>524.5</v>
      </c>
      <c r="C48" s="1099">
        <f t="shared" si="10"/>
        <v>525</v>
      </c>
      <c r="D48" s="1098">
        <f t="shared" si="10"/>
        <v>0</v>
      </c>
      <c r="E48" s="1098">
        <f t="shared" si="10"/>
        <v>0</v>
      </c>
      <c r="F48" s="1098">
        <f t="shared" si="10"/>
        <v>524.5</v>
      </c>
      <c r="G48" s="1099">
        <f t="shared" si="10"/>
        <v>525</v>
      </c>
      <c r="H48" s="1098">
        <f t="shared" si="10"/>
        <v>201.875</v>
      </c>
      <c r="I48" s="1099">
        <f t="shared" si="10"/>
        <v>202</v>
      </c>
      <c r="J48" s="1098">
        <f t="shared" si="10"/>
        <v>0.13</v>
      </c>
      <c r="K48" s="1098">
        <f t="shared" si="10"/>
        <v>0</v>
      </c>
      <c r="L48" s="1098">
        <f t="shared" si="10"/>
        <v>202.005</v>
      </c>
      <c r="M48" s="1100">
        <f t="shared" si="10"/>
        <v>202</v>
      </c>
      <c r="N48" s="1098">
        <f t="shared" si="10"/>
        <v>726.505</v>
      </c>
      <c r="O48" s="1099">
        <f t="shared" si="10"/>
        <v>727</v>
      </c>
      <c r="Q48" s="1019"/>
    </row>
    <row r="49" spans="1:227" s="1042" customFormat="1" ht="44.25" customHeight="1" thickBot="1" x14ac:dyDescent="0.55000000000000004">
      <c r="A49" s="1097" t="s">
        <v>844</v>
      </c>
      <c r="B49" s="1098">
        <f t="shared" ref="B49:O49" si="11">B29</f>
        <v>377.5</v>
      </c>
      <c r="C49" s="1099">
        <f t="shared" si="11"/>
        <v>378</v>
      </c>
      <c r="D49" s="1098">
        <f t="shared" si="11"/>
        <v>0</v>
      </c>
      <c r="E49" s="1098">
        <f t="shared" si="11"/>
        <v>0</v>
      </c>
      <c r="F49" s="1098">
        <f t="shared" si="11"/>
        <v>377.5</v>
      </c>
      <c r="G49" s="1099">
        <f t="shared" si="11"/>
        <v>378</v>
      </c>
      <c r="H49" s="1098">
        <f t="shared" si="11"/>
        <v>62</v>
      </c>
      <c r="I49" s="1099">
        <f t="shared" si="11"/>
        <v>62</v>
      </c>
      <c r="J49" s="1098">
        <f t="shared" si="11"/>
        <v>0</v>
      </c>
      <c r="K49" s="1098">
        <f t="shared" si="11"/>
        <v>0</v>
      </c>
      <c r="L49" s="1098">
        <f t="shared" si="11"/>
        <v>62</v>
      </c>
      <c r="M49" s="1100">
        <f t="shared" si="11"/>
        <v>62</v>
      </c>
      <c r="N49" s="1098">
        <f t="shared" si="11"/>
        <v>439.5</v>
      </c>
      <c r="O49" s="1099">
        <f t="shared" si="11"/>
        <v>440</v>
      </c>
      <c r="Q49" s="1019"/>
    </row>
    <row r="50" spans="1:227" s="1042" customFormat="1" ht="42.75" customHeight="1" thickBot="1" x14ac:dyDescent="0.55000000000000004">
      <c r="A50" s="1025" t="s">
        <v>845</v>
      </c>
      <c r="B50" s="1098">
        <f t="shared" ref="B50:O50" si="12">SUM(B48:B49)</f>
        <v>902</v>
      </c>
      <c r="C50" s="1099">
        <f t="shared" si="12"/>
        <v>903</v>
      </c>
      <c r="D50" s="1098">
        <f t="shared" si="12"/>
        <v>0</v>
      </c>
      <c r="E50" s="1098">
        <f t="shared" si="12"/>
        <v>0</v>
      </c>
      <c r="F50" s="1098">
        <f t="shared" si="12"/>
        <v>902</v>
      </c>
      <c r="G50" s="1099">
        <f t="shared" si="12"/>
        <v>903</v>
      </c>
      <c r="H50" s="1098">
        <f t="shared" si="12"/>
        <v>263.875</v>
      </c>
      <c r="I50" s="1099">
        <f t="shared" si="12"/>
        <v>264</v>
      </c>
      <c r="J50" s="1098">
        <f t="shared" si="12"/>
        <v>0.13</v>
      </c>
      <c r="K50" s="1098">
        <f t="shared" si="12"/>
        <v>0</v>
      </c>
      <c r="L50" s="1098">
        <f t="shared" si="12"/>
        <v>264.005</v>
      </c>
      <c r="M50" s="1100">
        <f t="shared" si="12"/>
        <v>264</v>
      </c>
      <c r="N50" s="1098">
        <f t="shared" si="12"/>
        <v>1166.0050000000001</v>
      </c>
      <c r="O50" s="1099">
        <f t="shared" si="12"/>
        <v>1167</v>
      </c>
      <c r="Q50" s="1019"/>
    </row>
    <row r="51" spans="1:227" s="1042" customFormat="1" ht="44.25" customHeight="1" x14ac:dyDescent="0.5">
      <c r="A51" s="1101" t="s">
        <v>810</v>
      </c>
      <c r="B51" s="1038">
        <f>'[6]2017 évi nyitó létszám'!B51</f>
        <v>30</v>
      </c>
      <c r="C51" s="1039">
        <f>'[6]2017 évi nyitó létszám'!C51</f>
        <v>30</v>
      </c>
      <c r="D51" s="1102"/>
      <c r="E51" s="1103"/>
      <c r="F51" s="1040">
        <f>B51+D51+E51</f>
        <v>30</v>
      </c>
      <c r="G51" s="1060">
        <v>30</v>
      </c>
      <c r="H51" s="1058">
        <f>'[6]2017 évi nyitó létszám'!D51</f>
        <v>0</v>
      </c>
      <c r="I51" s="1060">
        <f>'[6]2017 évi nyitó létszám'!E51</f>
        <v>0</v>
      </c>
      <c r="J51" s="1103"/>
      <c r="K51" s="1104"/>
      <c r="L51" s="1040">
        <f>H51+J51+K51</f>
        <v>0</v>
      </c>
      <c r="M51" s="1059">
        <v>0</v>
      </c>
      <c r="N51" s="1058">
        <f t="shared" ref="N51:O53" si="13">F51+L51</f>
        <v>30</v>
      </c>
      <c r="O51" s="1049">
        <f t="shared" si="13"/>
        <v>30</v>
      </c>
      <c r="Q51" s="1019"/>
    </row>
    <row r="52" spans="1:227" s="1042" customFormat="1" ht="45.75" customHeight="1" x14ac:dyDescent="0.5">
      <c r="A52" s="1105" t="s">
        <v>10</v>
      </c>
      <c r="B52" s="1044">
        <f>'[6]2017 évi nyitó létszám'!B52</f>
        <v>233</v>
      </c>
      <c r="C52" s="1055">
        <f>'[6]2017 évi nyitó létszám'!C52</f>
        <v>233</v>
      </c>
      <c r="D52" s="1038"/>
      <c r="E52" s="1038"/>
      <c r="F52" s="1044">
        <f>B52+D52+E52</f>
        <v>233</v>
      </c>
      <c r="G52" s="1039">
        <v>233</v>
      </c>
      <c r="H52" s="1058">
        <f>'[6]2017 évi nyitó létszám'!D52</f>
        <v>0</v>
      </c>
      <c r="I52" s="1039">
        <f>'[6]2017 évi nyitó létszám'!E52</f>
        <v>0</v>
      </c>
      <c r="J52" s="1044"/>
      <c r="K52" s="1051"/>
      <c r="L52" s="1047">
        <f>H52+J52+K52</f>
        <v>0</v>
      </c>
      <c r="M52" s="1041">
        <v>0</v>
      </c>
      <c r="N52" s="1058">
        <f t="shared" si="13"/>
        <v>233</v>
      </c>
      <c r="O52" s="1049">
        <f t="shared" si="13"/>
        <v>233</v>
      </c>
      <c r="Q52" s="1019"/>
    </row>
    <row r="53" spans="1:227" s="1042" customFormat="1" ht="45.75" customHeight="1" thickBot="1" x14ac:dyDescent="0.55000000000000004">
      <c r="A53" s="1097" t="s">
        <v>432</v>
      </c>
      <c r="B53" s="1038">
        <f>'[6]2017 évi nyitó létszám'!B53</f>
        <v>0</v>
      </c>
      <c r="C53" s="1039">
        <f>'[6]2017 évi nyitó létszám'!C53</f>
        <v>0</v>
      </c>
      <c r="D53" s="1087"/>
      <c r="E53" s="1087"/>
      <c r="F53" s="1040">
        <f>B53+D53+E53</f>
        <v>0</v>
      </c>
      <c r="G53" s="1106">
        <v>0</v>
      </c>
      <c r="H53" s="1040">
        <f>'[6]2017 évi nyitó létszám'!D53</f>
        <v>0</v>
      </c>
      <c r="I53" s="1106">
        <f>'[6]2017 évi nyitó létszám'!E53</f>
        <v>0</v>
      </c>
      <c r="J53" s="1098"/>
      <c r="K53" s="1098"/>
      <c r="L53" s="1087">
        <f>H53+J53+K53</f>
        <v>0</v>
      </c>
      <c r="M53" s="1107">
        <v>0</v>
      </c>
      <c r="N53" s="1040">
        <f t="shared" si="13"/>
        <v>0</v>
      </c>
      <c r="O53" s="1096">
        <f t="shared" si="13"/>
        <v>0</v>
      </c>
      <c r="Q53" s="1019"/>
    </row>
    <row r="54" spans="1:227" s="1113" customFormat="1" ht="49.5" customHeight="1" thickBot="1" x14ac:dyDescent="0.55000000000000004">
      <c r="A54" s="1108" t="s">
        <v>846</v>
      </c>
      <c r="B54" s="1109">
        <f t="shared" ref="B54:O54" si="14">SUM(B50:B53)</f>
        <v>1165</v>
      </c>
      <c r="C54" s="1110">
        <f t="shared" si="14"/>
        <v>1166</v>
      </c>
      <c r="D54" s="1109">
        <f t="shared" si="14"/>
        <v>0</v>
      </c>
      <c r="E54" s="1109">
        <f t="shared" si="14"/>
        <v>0</v>
      </c>
      <c r="F54" s="1109">
        <f t="shared" si="14"/>
        <v>1165</v>
      </c>
      <c r="G54" s="1111">
        <f t="shared" si="14"/>
        <v>1166</v>
      </c>
      <c r="H54" s="1109">
        <f t="shared" si="14"/>
        <v>263.875</v>
      </c>
      <c r="I54" s="1111">
        <f t="shared" si="14"/>
        <v>264</v>
      </c>
      <c r="J54" s="1109">
        <f t="shared" si="14"/>
        <v>0.13</v>
      </c>
      <c r="K54" s="1109">
        <f t="shared" si="14"/>
        <v>0</v>
      </c>
      <c r="L54" s="1109">
        <f t="shared" si="14"/>
        <v>264.005</v>
      </c>
      <c r="M54" s="1112">
        <f t="shared" si="14"/>
        <v>264</v>
      </c>
      <c r="N54" s="1109">
        <f t="shared" si="14"/>
        <v>1429.0050000000001</v>
      </c>
      <c r="O54" s="1110">
        <f t="shared" si="14"/>
        <v>1430</v>
      </c>
      <c r="P54" s="1042"/>
      <c r="Q54" s="1019"/>
      <c r="R54" s="1042"/>
      <c r="S54" s="1042"/>
      <c r="T54" s="1042"/>
      <c r="U54" s="1042"/>
      <c r="V54" s="1042"/>
      <c r="W54" s="1042"/>
      <c r="X54" s="1042"/>
      <c r="Y54" s="1042"/>
      <c r="Z54" s="1042"/>
      <c r="AA54" s="1042"/>
      <c r="AB54" s="1042"/>
      <c r="AC54" s="1042"/>
      <c r="AD54" s="1042"/>
      <c r="AE54" s="1042"/>
      <c r="AF54" s="1042"/>
      <c r="AG54" s="1042"/>
      <c r="AH54" s="1042"/>
      <c r="AI54" s="1042"/>
      <c r="AJ54" s="1042"/>
      <c r="AK54" s="1042"/>
      <c r="AL54" s="1042"/>
      <c r="AM54" s="1042"/>
      <c r="AN54" s="1042"/>
      <c r="AO54" s="1042"/>
      <c r="AP54" s="1042"/>
      <c r="AQ54" s="1042"/>
      <c r="AR54" s="1042"/>
      <c r="AS54" s="1042"/>
      <c r="AT54" s="1042"/>
      <c r="AU54" s="1042"/>
      <c r="AV54" s="1042"/>
      <c r="AW54" s="1042"/>
      <c r="AX54" s="1042"/>
      <c r="AY54" s="1042"/>
      <c r="AZ54" s="1042"/>
      <c r="BA54" s="1042"/>
      <c r="BB54" s="1042"/>
      <c r="BC54" s="1042"/>
      <c r="BD54" s="1042"/>
      <c r="BE54" s="1042"/>
      <c r="BF54" s="1042"/>
      <c r="BG54" s="1042"/>
      <c r="BH54" s="1042"/>
      <c r="BI54" s="1042"/>
      <c r="BJ54" s="1042"/>
      <c r="BK54" s="1042"/>
      <c r="BL54" s="1042"/>
      <c r="BM54" s="1042"/>
      <c r="BN54" s="1042"/>
      <c r="BO54" s="1042"/>
      <c r="BP54" s="1042"/>
      <c r="BQ54" s="1042"/>
      <c r="BR54" s="1042"/>
      <c r="BS54" s="1042"/>
      <c r="BT54" s="1042"/>
      <c r="BU54" s="1042"/>
      <c r="BV54" s="1042"/>
      <c r="BW54" s="1042"/>
      <c r="BX54" s="1042"/>
      <c r="BY54" s="1042"/>
      <c r="BZ54" s="1042"/>
      <c r="CA54" s="1042"/>
      <c r="CB54" s="1042"/>
      <c r="CC54" s="1042"/>
      <c r="CD54" s="1042"/>
      <c r="CE54" s="1042"/>
      <c r="CF54" s="1042"/>
      <c r="CG54" s="1042"/>
      <c r="CH54" s="1042"/>
      <c r="CI54" s="1042"/>
      <c r="CJ54" s="1042"/>
      <c r="CK54" s="1042"/>
      <c r="CL54" s="1042"/>
      <c r="CM54" s="1042"/>
      <c r="CN54" s="1042"/>
      <c r="CO54" s="1042"/>
      <c r="CP54" s="1042"/>
      <c r="CQ54" s="1042"/>
      <c r="CR54" s="1042"/>
      <c r="CS54" s="1042"/>
      <c r="CT54" s="1042"/>
      <c r="CU54" s="1042"/>
      <c r="CV54" s="1042"/>
      <c r="CW54" s="1042"/>
      <c r="CX54" s="1042"/>
      <c r="CY54" s="1042"/>
      <c r="CZ54" s="1042"/>
      <c r="DA54" s="1042"/>
      <c r="DB54" s="1042"/>
      <c r="DC54" s="1042"/>
      <c r="DD54" s="1042"/>
      <c r="DE54" s="1042"/>
      <c r="DF54" s="1042"/>
      <c r="DG54" s="1042"/>
      <c r="DH54" s="1042"/>
      <c r="DI54" s="1042"/>
      <c r="DJ54" s="1042"/>
      <c r="DK54" s="1042"/>
      <c r="DL54" s="1042"/>
      <c r="DM54" s="1042"/>
      <c r="DN54" s="1042"/>
      <c r="DO54" s="1042"/>
      <c r="DP54" s="1042"/>
      <c r="DQ54" s="1042"/>
      <c r="DR54" s="1042"/>
      <c r="DS54" s="1042"/>
      <c r="DT54" s="1042"/>
      <c r="DU54" s="1042"/>
      <c r="DV54" s="1042"/>
      <c r="DW54" s="1042"/>
      <c r="DX54" s="1042"/>
      <c r="DY54" s="1042"/>
      <c r="DZ54" s="1042"/>
      <c r="EA54" s="1042"/>
      <c r="EB54" s="1042"/>
      <c r="EC54" s="1042"/>
      <c r="ED54" s="1042"/>
      <c r="EE54" s="1042"/>
      <c r="EF54" s="1042"/>
      <c r="EG54" s="1042"/>
      <c r="EH54" s="1042"/>
      <c r="EI54" s="1042"/>
      <c r="EJ54" s="1042"/>
      <c r="EK54" s="1042"/>
      <c r="EL54" s="1042"/>
      <c r="EM54" s="1042"/>
      <c r="EN54" s="1042"/>
      <c r="EO54" s="1042"/>
      <c r="EP54" s="1042"/>
      <c r="EQ54" s="1042"/>
      <c r="ER54" s="1042"/>
      <c r="ES54" s="1042"/>
      <c r="ET54" s="1042"/>
      <c r="EU54" s="1042"/>
      <c r="EV54" s="1042"/>
      <c r="EW54" s="1042"/>
      <c r="EX54" s="1042"/>
      <c r="EY54" s="1042"/>
      <c r="EZ54" s="1042"/>
      <c r="FA54" s="1042"/>
      <c r="FB54" s="1042"/>
      <c r="FC54" s="1042"/>
      <c r="FD54" s="1042"/>
      <c r="FE54" s="1042"/>
      <c r="FF54" s="1042"/>
      <c r="FG54" s="1042"/>
      <c r="FH54" s="1042"/>
      <c r="FI54" s="1042"/>
      <c r="FJ54" s="1042"/>
      <c r="FK54" s="1042"/>
      <c r="FL54" s="1042"/>
      <c r="FM54" s="1042"/>
      <c r="FN54" s="1042"/>
      <c r="FO54" s="1042"/>
      <c r="FP54" s="1042"/>
      <c r="FQ54" s="1042"/>
      <c r="FR54" s="1042"/>
      <c r="FS54" s="1042"/>
      <c r="FT54" s="1042"/>
      <c r="FU54" s="1042"/>
      <c r="FV54" s="1042"/>
      <c r="FW54" s="1042"/>
      <c r="FX54" s="1042"/>
      <c r="FY54" s="1042"/>
      <c r="FZ54" s="1042"/>
      <c r="GA54" s="1042"/>
      <c r="GB54" s="1042"/>
      <c r="GC54" s="1042"/>
      <c r="GD54" s="1042"/>
      <c r="GE54" s="1042"/>
      <c r="GF54" s="1042"/>
      <c r="GG54" s="1042"/>
      <c r="GH54" s="1042"/>
      <c r="GI54" s="1042"/>
      <c r="GJ54" s="1042"/>
      <c r="GK54" s="1042"/>
      <c r="GL54" s="1042"/>
      <c r="GM54" s="1042"/>
      <c r="GN54" s="1042"/>
      <c r="GO54" s="1042"/>
      <c r="GP54" s="1042"/>
      <c r="GQ54" s="1042"/>
      <c r="GR54" s="1042"/>
      <c r="GS54" s="1042"/>
      <c r="GT54" s="1042"/>
      <c r="GU54" s="1042"/>
      <c r="GV54" s="1042"/>
      <c r="GW54" s="1042"/>
      <c r="GX54" s="1042"/>
      <c r="GY54" s="1042"/>
      <c r="GZ54" s="1042"/>
      <c r="HA54" s="1042"/>
      <c r="HB54" s="1042"/>
      <c r="HC54" s="1042"/>
      <c r="HD54" s="1042"/>
      <c r="HE54" s="1042"/>
      <c r="HF54" s="1042"/>
      <c r="HG54" s="1042"/>
      <c r="HH54" s="1042"/>
      <c r="HI54" s="1042"/>
      <c r="HJ54" s="1042"/>
      <c r="HK54" s="1042"/>
      <c r="HL54" s="1042"/>
      <c r="HM54" s="1042"/>
      <c r="HN54" s="1042"/>
      <c r="HO54" s="1042"/>
      <c r="HP54" s="1042"/>
      <c r="HQ54" s="1042"/>
      <c r="HR54" s="1042"/>
      <c r="HS54" s="1042"/>
    </row>
  </sheetData>
  <mergeCells count="15">
    <mergeCell ref="L6:M6"/>
    <mergeCell ref="A1:O1"/>
    <mergeCell ref="A2:O2"/>
    <mergeCell ref="B3:I3"/>
    <mergeCell ref="B4:M4"/>
    <mergeCell ref="N4:O5"/>
    <mergeCell ref="B5:G5"/>
    <mergeCell ref="H5:M5"/>
    <mergeCell ref="D7:E7"/>
    <mergeCell ref="J7:K7"/>
    <mergeCell ref="B6:C6"/>
    <mergeCell ref="D6:E6"/>
    <mergeCell ref="F6:G6"/>
    <mergeCell ref="H6:I6"/>
    <mergeCell ref="J6:K6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16" orientation="landscape" horizontalDpi="300" verticalDpi="300" r:id="rId1"/>
  <headerFooter alignWithMargins="0">
    <oddHeader>&amp;L&amp;20&amp;F &amp;A&amp;R&amp;"Arial,Félkövér"&amp;32 7.  melléklet a 12/2017. (V.3.) önkormányzati rendelethez
"7. melléklet a 4/2017.(III.7.) önkormányzati rendelethez"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N50"/>
  <sheetViews>
    <sheetView topLeftCell="C1" zoomScale="96" zoomScaleNormal="96" zoomScaleSheetLayoutView="100" workbookViewId="0">
      <selection activeCell="O7" sqref="O7"/>
    </sheetView>
  </sheetViews>
  <sheetFormatPr defaultRowHeight="15" customHeight="1" x14ac:dyDescent="0.2"/>
  <cols>
    <col min="1" max="1" width="19.5" style="5" customWidth="1"/>
    <col min="2" max="2" width="110.83203125" style="5" customWidth="1"/>
    <col min="3" max="3" width="31.6640625" style="5" customWidth="1"/>
    <col min="4" max="4" width="34.1640625" style="4" bestFit="1" customWidth="1"/>
    <col min="5" max="5" width="36.83203125" style="4" bestFit="1" customWidth="1"/>
    <col min="6" max="6" width="9.33203125" style="5"/>
    <col min="7" max="7" width="14.1640625" style="5" bestFit="1" customWidth="1"/>
    <col min="8" max="8" width="18.6640625" style="5" bestFit="1" customWidth="1"/>
    <col min="9" max="10" width="9.33203125" style="5"/>
    <col min="11" max="11" width="13.33203125" style="5" bestFit="1" customWidth="1"/>
    <col min="12" max="13" width="9.33203125" style="5"/>
    <col min="14" max="14" width="12.6640625" style="5" bestFit="1" customWidth="1"/>
    <col min="15" max="16384" width="9.33203125" style="5"/>
  </cols>
  <sheetData>
    <row r="1" spans="1:14" ht="15" customHeight="1" x14ac:dyDescent="0.25">
      <c r="B1" s="3"/>
      <c r="C1" s="3"/>
      <c r="D1" s="397"/>
      <c r="E1" s="397"/>
    </row>
    <row r="2" spans="1:14" ht="15" customHeight="1" x14ac:dyDescent="0.25">
      <c r="B2" s="1186" t="s">
        <v>112</v>
      </c>
      <c r="C2" s="1186"/>
      <c r="D2" s="1186"/>
      <c r="E2" s="1186"/>
    </row>
    <row r="3" spans="1:14" ht="15" customHeight="1" x14ac:dyDescent="0.25">
      <c r="B3" s="3"/>
      <c r="C3" s="3"/>
      <c r="D3" s="397"/>
      <c r="E3" s="397"/>
    </row>
    <row r="4" spans="1:14" ht="19.5" thickBot="1" x14ac:dyDescent="0.35">
      <c r="B4" s="134" t="s">
        <v>56</v>
      </c>
      <c r="C4" s="134"/>
      <c r="D4" s="398"/>
      <c r="E4" s="536" t="s">
        <v>419</v>
      </c>
    </row>
    <row r="5" spans="1:14" ht="20.100000000000001" customHeight="1" x14ac:dyDescent="0.25">
      <c r="B5" s="116" t="s">
        <v>329</v>
      </c>
      <c r="C5" s="439" t="s">
        <v>542</v>
      </c>
      <c r="D5" s="399" t="s">
        <v>677</v>
      </c>
      <c r="E5" s="811" t="s">
        <v>750</v>
      </c>
    </row>
    <row r="6" spans="1:14" ht="20.100000000000001" customHeight="1" thickBot="1" x14ac:dyDescent="0.3">
      <c r="B6" s="196"/>
      <c r="C6" s="440" t="s">
        <v>159</v>
      </c>
      <c r="D6" s="400" t="s">
        <v>678</v>
      </c>
      <c r="E6" s="400" t="s">
        <v>541</v>
      </c>
    </row>
    <row r="7" spans="1:14" ht="20.100000000000001" customHeight="1" x14ac:dyDescent="0.2">
      <c r="A7" s="10">
        <v>611000</v>
      </c>
      <c r="B7" s="351" t="s">
        <v>371</v>
      </c>
      <c r="C7" s="149">
        <v>1676078</v>
      </c>
      <c r="D7" s="149">
        <f>53226+1292+590+500-1774</f>
        <v>53834</v>
      </c>
      <c r="E7" s="149">
        <f>C7+D7</f>
        <v>1729912</v>
      </c>
      <c r="F7" s="10"/>
      <c r="G7" s="4"/>
      <c r="H7" s="217"/>
      <c r="I7" s="217"/>
      <c r="J7" s="217"/>
      <c r="K7" s="217"/>
      <c r="N7" s="4"/>
    </row>
    <row r="8" spans="1:14" ht="20.100000000000001" customHeight="1" x14ac:dyDescent="0.2">
      <c r="A8" s="5">
        <v>611000</v>
      </c>
      <c r="B8" s="351" t="s">
        <v>724</v>
      </c>
      <c r="C8" s="352">
        <v>1396624</v>
      </c>
      <c r="D8" s="352">
        <f>93929+455+434+290-1276</f>
        <v>93832</v>
      </c>
      <c r="E8" s="352">
        <f>C8+D8</f>
        <v>1490456</v>
      </c>
      <c r="G8" s="4"/>
      <c r="H8" s="217"/>
      <c r="I8" s="4"/>
      <c r="J8" s="4"/>
      <c r="K8" s="4"/>
    </row>
    <row r="9" spans="1:14" ht="20.100000000000001" customHeight="1" thickBot="1" x14ac:dyDescent="0.3">
      <c r="B9" s="7" t="s">
        <v>728</v>
      </c>
      <c r="C9" s="338">
        <f>C7+C8</f>
        <v>3072702</v>
      </c>
      <c r="D9" s="338">
        <f>D7+D8</f>
        <v>147666</v>
      </c>
      <c r="E9" s="338">
        <f>E7+E8</f>
        <v>3220368</v>
      </c>
      <c r="G9" s="4"/>
      <c r="H9" s="545"/>
      <c r="K9" s="4"/>
    </row>
    <row r="10" spans="1:14" ht="20.100000000000001" customHeight="1" x14ac:dyDescent="0.2">
      <c r="A10" s="5">
        <v>401010</v>
      </c>
      <c r="B10" s="351" t="s">
        <v>616</v>
      </c>
      <c r="C10" s="360">
        <v>45000</v>
      </c>
      <c r="D10" s="360">
        <v>834</v>
      </c>
      <c r="E10" s="360">
        <f>C10+D10</f>
        <v>45834</v>
      </c>
      <c r="G10" s="4"/>
      <c r="J10" s="4"/>
    </row>
    <row r="11" spans="1:14" x14ac:dyDescent="0.2">
      <c r="A11" s="5">
        <v>401020</v>
      </c>
      <c r="B11" s="353" t="s">
        <v>444</v>
      </c>
      <c r="C11" s="149">
        <v>40000</v>
      </c>
      <c r="D11" s="148">
        <v>11990</v>
      </c>
      <c r="E11" s="148">
        <f t="shared" ref="E11:E31" si="0">C11+D11</f>
        <v>51990</v>
      </c>
      <c r="G11" s="4"/>
    </row>
    <row r="12" spans="1:14" x14ac:dyDescent="0.2">
      <c r="B12" s="353" t="s">
        <v>420</v>
      </c>
      <c r="C12" s="149">
        <v>800</v>
      </c>
      <c r="D12" s="148"/>
      <c r="E12" s="148">
        <f t="shared" si="0"/>
        <v>800</v>
      </c>
      <c r="G12" s="4"/>
    </row>
    <row r="13" spans="1:14" ht="20.100000000000001" customHeight="1" x14ac:dyDescent="0.2">
      <c r="A13" s="213"/>
      <c r="B13" s="26" t="s">
        <v>646</v>
      </c>
      <c r="C13" s="91">
        <v>4000</v>
      </c>
      <c r="D13" s="93"/>
      <c r="E13" s="93">
        <f t="shared" si="0"/>
        <v>4000</v>
      </c>
      <c r="G13" s="4"/>
    </row>
    <row r="14" spans="1:14" ht="19.5" customHeight="1" x14ac:dyDescent="0.2">
      <c r="A14" s="5">
        <v>401060</v>
      </c>
      <c r="B14" s="26" t="s">
        <v>214</v>
      </c>
      <c r="C14" s="91">
        <v>3400</v>
      </c>
      <c r="D14" s="93">
        <v>2180</v>
      </c>
      <c r="E14" s="93">
        <f t="shared" si="0"/>
        <v>5580</v>
      </c>
      <c r="G14" s="4"/>
    </row>
    <row r="15" spans="1:14" ht="20.100000000000001" customHeight="1" x14ac:dyDescent="0.2">
      <c r="A15" s="5">
        <v>401080</v>
      </c>
      <c r="B15" s="26" t="s">
        <v>115</v>
      </c>
      <c r="C15" s="91">
        <v>10500</v>
      </c>
      <c r="D15" s="93"/>
      <c r="E15" s="93">
        <f t="shared" si="0"/>
        <v>10500</v>
      </c>
      <c r="G15" s="4"/>
    </row>
    <row r="16" spans="1:14" ht="20.100000000000001" customHeight="1" x14ac:dyDescent="0.2">
      <c r="A16" s="5">
        <v>401120</v>
      </c>
      <c r="B16" s="47" t="s">
        <v>222</v>
      </c>
      <c r="C16" s="91">
        <v>500</v>
      </c>
      <c r="D16" s="93">
        <f>500-500</f>
        <v>0</v>
      </c>
      <c r="E16" s="93">
        <f t="shared" si="0"/>
        <v>500</v>
      </c>
      <c r="G16" s="4"/>
    </row>
    <row r="17" spans="1:7" x14ac:dyDescent="0.2">
      <c r="A17" s="5">
        <v>401130</v>
      </c>
      <c r="B17" s="47" t="s">
        <v>615</v>
      </c>
      <c r="C17" s="91">
        <v>2000</v>
      </c>
      <c r="D17" s="93"/>
      <c r="E17" s="93">
        <f t="shared" si="0"/>
        <v>2000</v>
      </c>
      <c r="G17" s="4"/>
    </row>
    <row r="18" spans="1:7" ht="20.100000000000001" customHeight="1" x14ac:dyDescent="0.2">
      <c r="A18" s="5">
        <v>401140</v>
      </c>
      <c r="B18" s="26" t="s">
        <v>215</v>
      </c>
      <c r="C18" s="91">
        <v>5000</v>
      </c>
      <c r="D18" s="93">
        <v>4000</v>
      </c>
      <c r="E18" s="93">
        <f t="shared" si="0"/>
        <v>9000</v>
      </c>
      <c r="G18" s="4"/>
    </row>
    <row r="19" spans="1:7" ht="20.100000000000001" customHeight="1" x14ac:dyDescent="0.2">
      <c r="A19" s="5">
        <v>401160</v>
      </c>
      <c r="B19" s="26" t="s">
        <v>243</v>
      </c>
      <c r="C19" s="91">
        <v>5000</v>
      </c>
      <c r="D19" s="93"/>
      <c r="E19" s="93">
        <f t="shared" si="0"/>
        <v>5000</v>
      </c>
      <c r="G19" s="4"/>
    </row>
    <row r="20" spans="1:7" ht="20.100000000000001" customHeight="1" x14ac:dyDescent="0.2">
      <c r="A20" s="5">
        <v>401180</v>
      </c>
      <c r="B20" s="26" t="s">
        <v>270</v>
      </c>
      <c r="C20" s="91">
        <v>1250</v>
      </c>
      <c r="D20" s="93"/>
      <c r="E20" s="93">
        <f t="shared" si="0"/>
        <v>1250</v>
      </c>
      <c r="G20" s="4"/>
    </row>
    <row r="21" spans="1:7" ht="20.100000000000001" customHeight="1" x14ac:dyDescent="0.2">
      <c r="A21" s="5">
        <v>401191</v>
      </c>
      <c r="B21" s="26" t="s">
        <v>136</v>
      </c>
      <c r="C21" s="91">
        <v>20200</v>
      </c>
      <c r="D21" s="93">
        <v>4378</v>
      </c>
      <c r="E21" s="93">
        <f t="shared" si="0"/>
        <v>24578</v>
      </c>
      <c r="G21" s="4"/>
    </row>
    <row r="22" spans="1:7" ht="20.100000000000001" customHeight="1" x14ac:dyDescent="0.2">
      <c r="A22" s="5">
        <v>401200</v>
      </c>
      <c r="B22" s="26" t="s">
        <v>116</v>
      </c>
      <c r="C22" s="91">
        <v>200</v>
      </c>
      <c r="D22" s="93"/>
      <c r="E22" s="93">
        <f t="shared" si="0"/>
        <v>200</v>
      </c>
      <c r="G22" s="4"/>
    </row>
    <row r="23" spans="1:7" ht="20.100000000000001" customHeight="1" x14ac:dyDescent="0.2">
      <c r="A23" s="5">
        <v>401210</v>
      </c>
      <c r="B23" s="26" t="s">
        <v>216</v>
      </c>
      <c r="C23" s="91">
        <v>1500</v>
      </c>
      <c r="D23" s="93"/>
      <c r="E23" s="93">
        <f t="shared" si="0"/>
        <v>1500</v>
      </c>
      <c r="G23" s="4"/>
    </row>
    <row r="24" spans="1:7" ht="20.100000000000001" customHeight="1" x14ac:dyDescent="0.2">
      <c r="A24" s="5">
        <v>401240</v>
      </c>
      <c r="B24" s="6" t="s">
        <v>398</v>
      </c>
      <c r="C24" s="91">
        <v>6200</v>
      </c>
      <c r="D24" s="93">
        <v>475</v>
      </c>
      <c r="E24" s="93">
        <f t="shared" si="0"/>
        <v>6675</v>
      </c>
      <c r="G24" s="4"/>
    </row>
    <row r="25" spans="1:7" x14ac:dyDescent="0.2">
      <c r="A25" s="5">
        <v>401450</v>
      </c>
      <c r="B25" s="47" t="s">
        <v>254</v>
      </c>
      <c r="C25" s="91">
        <v>21000</v>
      </c>
      <c r="D25" s="93"/>
      <c r="E25" s="93">
        <f t="shared" si="0"/>
        <v>21000</v>
      </c>
      <c r="G25" s="4"/>
    </row>
    <row r="26" spans="1:7" ht="20.100000000000001" customHeight="1" x14ac:dyDescent="0.2">
      <c r="A26" s="5">
        <v>401560</v>
      </c>
      <c r="B26" s="26" t="s">
        <v>54</v>
      </c>
      <c r="C26" s="91">
        <v>2300</v>
      </c>
      <c r="D26" s="93"/>
      <c r="E26" s="93">
        <f t="shared" si="0"/>
        <v>2300</v>
      </c>
      <c r="G26" s="4"/>
    </row>
    <row r="27" spans="1:7" ht="20.100000000000001" customHeight="1" x14ac:dyDescent="0.2">
      <c r="A27" s="213" t="s">
        <v>21</v>
      </c>
      <c r="B27" s="26" t="s">
        <v>217</v>
      </c>
      <c r="C27" s="91">
        <v>800</v>
      </c>
      <c r="D27" s="93">
        <v>361</v>
      </c>
      <c r="E27" s="93">
        <f t="shared" si="0"/>
        <v>1161</v>
      </c>
      <c r="G27" s="4"/>
    </row>
    <row r="28" spans="1:7" ht="39" customHeight="1" x14ac:dyDescent="0.2">
      <c r="A28" s="5">
        <v>401630</v>
      </c>
      <c r="B28" s="83" t="s">
        <v>168</v>
      </c>
      <c r="C28" s="91">
        <v>14550</v>
      </c>
      <c r="D28" s="93"/>
      <c r="E28" s="93">
        <f t="shared" si="0"/>
        <v>14550</v>
      </c>
      <c r="G28" s="4"/>
    </row>
    <row r="29" spans="1:7" x14ac:dyDescent="0.2">
      <c r="A29" s="213"/>
      <c r="B29" s="47" t="s">
        <v>22</v>
      </c>
      <c r="C29" s="91">
        <v>7000</v>
      </c>
      <c r="D29" s="93"/>
      <c r="E29" s="93">
        <f t="shared" si="0"/>
        <v>7000</v>
      </c>
      <c r="G29" s="4"/>
    </row>
    <row r="30" spans="1:7" x14ac:dyDescent="0.2">
      <c r="A30" s="213"/>
      <c r="B30" s="47" t="s">
        <v>647</v>
      </c>
      <c r="C30" s="91">
        <v>4290</v>
      </c>
      <c r="D30" s="267"/>
      <c r="E30" s="93">
        <f t="shared" si="0"/>
        <v>4290</v>
      </c>
      <c r="G30" s="4"/>
    </row>
    <row r="31" spans="1:7" x14ac:dyDescent="0.2">
      <c r="B31" s="47" t="s">
        <v>257</v>
      </c>
      <c r="C31" s="91">
        <v>16000</v>
      </c>
      <c r="D31" s="93">
        <f>6421-1300</f>
        <v>5121</v>
      </c>
      <c r="E31" s="93">
        <f t="shared" si="0"/>
        <v>21121</v>
      </c>
      <c r="G31" s="4"/>
    </row>
    <row r="32" spans="1:7" ht="26.25" customHeight="1" thickBot="1" x14ac:dyDescent="0.3">
      <c r="B32" s="11" t="s">
        <v>66</v>
      </c>
      <c r="C32" s="401">
        <f>SUM(C10:C31)</f>
        <v>211490</v>
      </c>
      <c r="D32" s="401">
        <f>SUM(D10:D31)</f>
        <v>29339</v>
      </c>
      <c r="E32" s="779">
        <f>SUM(E10:E31)</f>
        <v>240829</v>
      </c>
      <c r="G32" s="4"/>
    </row>
    <row r="33" spans="1:7" ht="20.100000000000001" customHeight="1" thickBot="1" x14ac:dyDescent="0.3">
      <c r="B33" s="11" t="s">
        <v>67</v>
      </c>
      <c r="C33" s="401">
        <f>+C32+C9</f>
        <v>3284192</v>
      </c>
      <c r="D33" s="401">
        <f>+D32+D9</f>
        <v>177005</v>
      </c>
      <c r="E33" s="779">
        <f>+E32+E9</f>
        <v>3461197</v>
      </c>
      <c r="G33" s="4"/>
    </row>
    <row r="34" spans="1:7" s="9" customFormat="1" ht="20.100000000000001" customHeight="1" x14ac:dyDescent="0.25">
      <c r="B34" s="38"/>
      <c r="C34" s="38"/>
      <c r="D34" s="32"/>
      <c r="E34" s="32"/>
      <c r="G34" s="4"/>
    </row>
    <row r="35" spans="1:7" s="9" customFormat="1" ht="20.100000000000001" customHeight="1" thickBot="1" x14ac:dyDescent="0.35">
      <c r="B35" s="134" t="s">
        <v>152</v>
      </c>
      <c r="C35" s="134"/>
      <c r="D35" s="398"/>
      <c r="E35" s="398"/>
      <c r="G35" s="4"/>
    </row>
    <row r="36" spans="1:7" s="9" customFormat="1" ht="20.100000000000001" customHeight="1" x14ac:dyDescent="0.25">
      <c r="B36" s="2" t="s">
        <v>329</v>
      </c>
      <c r="C36" s="439" t="s">
        <v>542</v>
      </c>
      <c r="D36" s="399" t="s">
        <v>677</v>
      </c>
      <c r="E36" s="811" t="s">
        <v>750</v>
      </c>
      <c r="G36" s="4"/>
    </row>
    <row r="37" spans="1:7" s="9" customFormat="1" ht="20.100000000000001" customHeight="1" thickBot="1" x14ac:dyDescent="0.3">
      <c r="B37" s="30"/>
      <c r="C37" s="440" t="s">
        <v>159</v>
      </c>
      <c r="D37" s="400" t="s">
        <v>678</v>
      </c>
      <c r="E37" s="400" t="s">
        <v>541</v>
      </c>
      <c r="G37" s="4"/>
    </row>
    <row r="38" spans="1:7" s="9" customFormat="1" ht="20.100000000000001" customHeight="1" x14ac:dyDescent="0.25">
      <c r="B38" s="351" t="s">
        <v>371</v>
      </c>
      <c r="C38" s="374"/>
      <c r="D38" s="788">
        <f>7184+3000+500+782+1774</f>
        <v>13240</v>
      </c>
      <c r="E38" s="360">
        <f>C38+D38</f>
        <v>13240</v>
      </c>
      <c r="G38" s="4"/>
    </row>
    <row r="39" spans="1:7" s="9" customFormat="1" ht="20.100000000000001" customHeight="1" x14ac:dyDescent="0.25">
      <c r="B39" s="354" t="s">
        <v>724</v>
      </c>
      <c r="C39" s="354"/>
      <c r="D39" s="362">
        <f>4006+1000+2705+18797</f>
        <v>26508</v>
      </c>
      <c r="E39" s="355">
        <f>C39+D39</f>
        <v>26508</v>
      </c>
      <c r="G39" s="4"/>
    </row>
    <row r="40" spans="1:7" s="9" customFormat="1" ht="20.100000000000001" customHeight="1" thickBot="1" x14ac:dyDescent="0.3">
      <c r="B40" s="7" t="s">
        <v>727</v>
      </c>
      <c r="C40" s="402">
        <f>SUM(C38:C39)</f>
        <v>0</v>
      </c>
      <c r="D40" s="402">
        <f>SUM(D38:D39)</f>
        <v>39748</v>
      </c>
      <c r="E40" s="402">
        <f>SUM(E38:E39)</f>
        <v>39748</v>
      </c>
      <c r="G40" s="4"/>
    </row>
    <row r="41" spans="1:7" s="9" customFormat="1" ht="20.100000000000001" customHeight="1" thickBot="1" x14ac:dyDescent="0.3">
      <c r="A41" s="245"/>
      <c r="B41" s="38"/>
      <c r="C41" s="38"/>
      <c r="D41" s="32"/>
      <c r="E41" s="32"/>
      <c r="G41" s="4"/>
    </row>
    <row r="42" spans="1:7" s="9" customFormat="1" ht="20.100000000000001" customHeight="1" thickBot="1" x14ac:dyDescent="0.3">
      <c r="B42" s="135" t="s">
        <v>408</v>
      </c>
      <c r="C42" s="89">
        <f>+C40+C32+C9</f>
        <v>3284192</v>
      </c>
      <c r="D42" s="89">
        <f>+D40+D32+D9</f>
        <v>216753</v>
      </c>
      <c r="E42" s="89">
        <f>+E40+E32+E9</f>
        <v>3500945</v>
      </c>
      <c r="G42" s="4"/>
    </row>
    <row r="43" spans="1:7" s="9" customFormat="1" ht="20.100000000000001" customHeight="1" x14ac:dyDescent="0.25">
      <c r="B43" s="38"/>
      <c r="C43" s="38"/>
      <c r="D43" s="32"/>
      <c r="E43" s="32"/>
    </row>
    <row r="44" spans="1:7" s="9" customFormat="1" ht="20.100000000000001" customHeight="1" x14ac:dyDescent="0.25">
      <c r="B44" s="38" t="s">
        <v>138</v>
      </c>
      <c r="C44" s="38"/>
      <c r="D44" s="32"/>
      <c r="E44" s="530"/>
    </row>
    <row r="45" spans="1:7" s="9" customFormat="1" ht="20.100000000000001" customHeight="1" x14ac:dyDescent="0.25">
      <c r="B45" s="38" t="s">
        <v>139</v>
      </c>
      <c r="C45" s="38"/>
      <c r="D45" s="32"/>
      <c r="E45" s="32"/>
    </row>
    <row r="46" spans="1:7" s="9" customFormat="1" ht="20.100000000000001" customHeight="1" x14ac:dyDescent="0.25">
      <c r="B46" s="38"/>
      <c r="C46" s="38"/>
      <c r="D46" s="32"/>
      <c r="E46" s="32"/>
    </row>
    <row r="47" spans="1:7" s="9" customFormat="1" ht="20.100000000000001" customHeight="1" x14ac:dyDescent="0.25">
      <c r="B47" s="193" t="s">
        <v>721</v>
      </c>
      <c r="C47" s="193"/>
      <c r="D47" s="194"/>
      <c r="E47" s="194"/>
    </row>
    <row r="48" spans="1:7" ht="15" customHeight="1" x14ac:dyDescent="0.25">
      <c r="B48" s="878" t="s">
        <v>371</v>
      </c>
      <c r="C48" s="200">
        <f t="shared" ref="C48:E49" si="1">C7+C38</f>
        <v>1676078</v>
      </c>
      <c r="D48" s="200">
        <f t="shared" si="1"/>
        <v>67074</v>
      </c>
      <c r="E48" s="200">
        <f t="shared" si="1"/>
        <v>1743152</v>
      </c>
    </row>
    <row r="49" spans="2:5" ht="15" customHeight="1" x14ac:dyDescent="0.25">
      <c r="B49" s="878" t="s">
        <v>724</v>
      </c>
      <c r="C49" s="200">
        <f t="shared" si="1"/>
        <v>1396624</v>
      </c>
      <c r="D49" s="200">
        <f t="shared" si="1"/>
        <v>120340</v>
      </c>
      <c r="E49" s="200">
        <f t="shared" si="1"/>
        <v>1516964</v>
      </c>
    </row>
    <row r="50" spans="2:5" ht="15" customHeight="1" x14ac:dyDescent="0.25">
      <c r="B50" s="878" t="s">
        <v>680</v>
      </c>
      <c r="C50" s="200">
        <f>SUM(C48:C49)</f>
        <v>3072702</v>
      </c>
      <c r="D50" s="200">
        <f>SUM(D48:D49)</f>
        <v>187414</v>
      </c>
      <c r="E50" s="200">
        <f>SUM(E48:E49)</f>
        <v>3260116</v>
      </c>
    </row>
  </sheetData>
  <customSheetViews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59055118110236227" right="0" top="0" bottom="0" header="0.51181102362204722" footer="0"/>
  <pageSetup paperSize="9" scale="60" orientation="portrait" r:id="rId3"/>
  <headerFooter alignWithMargins="0">
    <oddHeader xml:space="preserve">&amp;L&amp;F&amp;A&amp;R&amp;"Times New Roman CE,Félkövér"&amp;12 8. melléklet a 12/2017. (V.3.) önkormányzati rendelethez
"8. melléklet a 4/2017. (III.7.) önkormányzati rendelethez"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O137"/>
  <sheetViews>
    <sheetView topLeftCell="B1" zoomScale="89" zoomScaleNormal="89" workbookViewId="0">
      <selection activeCell="M3" sqref="M3"/>
    </sheetView>
  </sheetViews>
  <sheetFormatPr defaultRowHeight="21" customHeight="1" x14ac:dyDescent="0.2"/>
  <cols>
    <col min="1" max="1" width="22" style="5" customWidth="1"/>
    <col min="2" max="2" width="116.5" style="5" customWidth="1"/>
    <col min="3" max="3" width="31.6640625" style="5" customWidth="1"/>
    <col min="4" max="4" width="34.6640625" style="5" bestFit="1" customWidth="1"/>
    <col min="5" max="5" width="37.33203125" style="5" bestFit="1" customWidth="1"/>
    <col min="6" max="6" width="11.5" style="5" bestFit="1" customWidth="1"/>
    <col min="7" max="7" width="14" style="4" bestFit="1" customWidth="1"/>
    <col min="8" max="8" width="11.5" style="5" bestFit="1" customWidth="1"/>
    <col min="9" max="9" width="15.1640625" style="5" customWidth="1"/>
    <col min="10" max="10" width="19.33203125" style="5" customWidth="1"/>
    <col min="11" max="11" width="21.5" style="5" customWidth="1"/>
    <col min="12" max="13" width="17.5" style="5" customWidth="1"/>
    <col min="14" max="14" width="9.33203125" style="5"/>
    <col min="15" max="15" width="11.5" style="5" bestFit="1" customWidth="1"/>
    <col min="16" max="16384" width="9.33203125" style="5"/>
  </cols>
  <sheetData>
    <row r="1" spans="1:13" ht="21" customHeight="1" x14ac:dyDescent="0.25">
      <c r="B1" s="3"/>
      <c r="C1" s="3"/>
      <c r="D1" s="3"/>
      <c r="E1" s="3"/>
    </row>
    <row r="2" spans="1:13" ht="21" customHeight="1" x14ac:dyDescent="0.25">
      <c r="B2" s="1186" t="s">
        <v>181</v>
      </c>
      <c r="C2" s="1186"/>
      <c r="D2" s="1186"/>
      <c r="E2" s="1186"/>
    </row>
    <row r="3" spans="1:13" ht="21" customHeight="1" x14ac:dyDescent="0.25">
      <c r="B3" s="133"/>
      <c r="C3" s="133"/>
      <c r="D3" s="133"/>
      <c r="E3" s="133"/>
    </row>
    <row r="4" spans="1:13" ht="21" customHeight="1" thickBot="1" x14ac:dyDescent="0.35">
      <c r="B4" s="134" t="s">
        <v>56</v>
      </c>
      <c r="C4" s="134"/>
      <c r="D4" s="134"/>
      <c r="E4" s="536" t="s">
        <v>419</v>
      </c>
      <c r="J4" s="792"/>
      <c r="K4" s="792"/>
      <c r="L4" s="792"/>
      <c r="M4" s="792"/>
    </row>
    <row r="5" spans="1:13" ht="21" customHeight="1" x14ac:dyDescent="0.25">
      <c r="B5" s="116" t="s">
        <v>329</v>
      </c>
      <c r="C5" s="439" t="s">
        <v>542</v>
      </c>
      <c r="D5" s="399" t="s">
        <v>677</v>
      </c>
      <c r="E5" s="811" t="s">
        <v>750</v>
      </c>
    </row>
    <row r="6" spans="1:13" ht="21" customHeight="1" thickBot="1" x14ac:dyDescent="0.3">
      <c r="B6" s="117"/>
      <c r="C6" s="440" t="s">
        <v>159</v>
      </c>
      <c r="D6" s="400" t="s">
        <v>678</v>
      </c>
      <c r="E6" s="440" t="s">
        <v>541</v>
      </c>
    </row>
    <row r="7" spans="1:13" s="10" customFormat="1" ht="21" customHeight="1" x14ac:dyDescent="0.25">
      <c r="B7" s="118" t="s">
        <v>273</v>
      </c>
      <c r="C7" s="118"/>
      <c r="D7" s="118"/>
      <c r="E7" s="118"/>
      <c r="G7" s="217"/>
    </row>
    <row r="8" spans="1:13" s="10" customFormat="1" ht="21" customHeight="1" x14ac:dyDescent="0.2">
      <c r="B8" s="111" t="s">
        <v>271</v>
      </c>
      <c r="C8" s="111"/>
      <c r="D8" s="111"/>
      <c r="E8" s="111"/>
      <c r="G8" s="217"/>
    </row>
    <row r="9" spans="1:13" ht="15" x14ac:dyDescent="0.2">
      <c r="A9" s="5">
        <v>623000</v>
      </c>
      <c r="B9" s="356" t="s">
        <v>106</v>
      </c>
      <c r="C9" s="149">
        <v>99994</v>
      </c>
      <c r="D9" s="149">
        <f>2037+338+196+15000-118</f>
        <v>17453</v>
      </c>
      <c r="E9" s="149">
        <f>C9+D9</f>
        <v>117447</v>
      </c>
      <c r="I9" s="4"/>
      <c r="J9" s="4"/>
      <c r="K9" s="4"/>
      <c r="L9" s="4"/>
      <c r="M9" s="4"/>
    </row>
    <row r="10" spans="1:13" ht="15" x14ac:dyDescent="0.2">
      <c r="B10" s="357" t="s">
        <v>697</v>
      </c>
      <c r="C10" s="149">
        <v>247454</v>
      </c>
      <c r="D10" s="148">
        <f>-118+118</f>
        <v>0</v>
      </c>
      <c r="E10" s="149">
        <f>C10+D10</f>
        <v>247454</v>
      </c>
      <c r="I10" s="4"/>
    </row>
    <row r="11" spans="1:13" ht="15.75" thickBot="1" x14ac:dyDescent="0.25">
      <c r="B11" s="358" t="s">
        <v>698</v>
      </c>
      <c r="C11" s="358"/>
      <c r="D11" s="148">
        <v>26691</v>
      </c>
      <c r="E11" s="149">
        <f>C11+D11</f>
        <v>26691</v>
      </c>
    </row>
    <row r="12" spans="1:13" ht="21" customHeight="1" thickBot="1" x14ac:dyDescent="0.3">
      <c r="B12" s="114" t="s">
        <v>107</v>
      </c>
      <c r="C12" s="115">
        <f>SUM(C9:C11)</f>
        <v>347448</v>
      </c>
      <c r="D12" s="115">
        <f>SUM(D9:D11)</f>
        <v>44144</v>
      </c>
      <c r="E12" s="115">
        <f>SUM(E9:E11)</f>
        <v>391592</v>
      </c>
    </row>
    <row r="13" spans="1:13" ht="21" customHeight="1" x14ac:dyDescent="0.2">
      <c r="A13" s="5">
        <v>626000</v>
      </c>
      <c r="B13" s="140" t="s">
        <v>212</v>
      </c>
      <c r="C13" s="91">
        <v>13412</v>
      </c>
      <c r="D13" s="91">
        <f>1095+129+99</f>
        <v>1323</v>
      </c>
      <c r="E13" s="91">
        <f>C13+D13</f>
        <v>14735</v>
      </c>
      <c r="J13" s="4"/>
      <c r="K13" s="4"/>
      <c r="L13" s="4"/>
      <c r="M13" s="4"/>
    </row>
    <row r="14" spans="1:13" ht="21" customHeight="1" x14ac:dyDescent="0.2">
      <c r="B14" s="140" t="s">
        <v>699</v>
      </c>
      <c r="C14" s="91">
        <v>40200</v>
      </c>
      <c r="D14" s="91"/>
      <c r="E14" s="91">
        <f t="shared" ref="E14:E37" si="0">C14+D14</f>
        <v>40200</v>
      </c>
    </row>
    <row r="15" spans="1:13" ht="21" customHeight="1" x14ac:dyDescent="0.2">
      <c r="B15" s="140" t="s">
        <v>700</v>
      </c>
      <c r="C15" s="91">
        <v>26800</v>
      </c>
      <c r="D15" s="91"/>
      <c r="E15" s="91">
        <f t="shared" si="0"/>
        <v>26800</v>
      </c>
      <c r="J15" s="4"/>
    </row>
    <row r="16" spans="1:13" ht="21" customHeight="1" x14ac:dyDescent="0.25">
      <c r="B16" s="140" t="s">
        <v>701</v>
      </c>
      <c r="C16" s="91">
        <v>33030</v>
      </c>
      <c r="D16" s="91"/>
      <c r="E16" s="91">
        <f t="shared" si="0"/>
        <v>33030</v>
      </c>
    </row>
    <row r="17" spans="1:15" ht="21.75" customHeight="1" thickBot="1" x14ac:dyDescent="0.25">
      <c r="B17" s="141" t="s">
        <v>702</v>
      </c>
      <c r="C17" s="91"/>
      <c r="D17" s="85">
        <v>27921</v>
      </c>
      <c r="E17" s="91">
        <f t="shared" si="0"/>
        <v>27921</v>
      </c>
    </row>
    <row r="18" spans="1:15" ht="21" customHeight="1" thickBot="1" x14ac:dyDescent="0.3">
      <c r="B18" s="142" t="s">
        <v>192</v>
      </c>
      <c r="C18" s="115">
        <f>SUM(C13:C17)</f>
        <v>113442</v>
      </c>
      <c r="D18" s="115">
        <f>SUM(D13:D17)</f>
        <v>29244</v>
      </c>
      <c r="E18" s="115">
        <f>SUM(E13:E17)</f>
        <v>142686</v>
      </c>
    </row>
    <row r="19" spans="1:15" ht="21" customHeight="1" x14ac:dyDescent="0.2">
      <c r="A19" s="5">
        <v>625000</v>
      </c>
      <c r="B19" s="140" t="s">
        <v>167</v>
      </c>
      <c r="C19" s="91">
        <v>107753</v>
      </c>
      <c r="D19" s="91">
        <f>6424+1204+608+30000</f>
        <v>38236</v>
      </c>
      <c r="E19" s="91">
        <f t="shared" si="0"/>
        <v>145989</v>
      </c>
      <c r="F19" s="4"/>
      <c r="J19" s="4"/>
      <c r="K19" s="4"/>
      <c r="L19" s="4"/>
      <c r="M19" s="4"/>
    </row>
    <row r="20" spans="1:15" ht="21" customHeight="1" x14ac:dyDescent="0.2">
      <c r="B20" s="192" t="s">
        <v>703</v>
      </c>
      <c r="C20" s="91">
        <v>164400</v>
      </c>
      <c r="D20" s="93"/>
      <c r="E20" s="91">
        <f t="shared" si="0"/>
        <v>164400</v>
      </c>
      <c r="F20" s="4"/>
    </row>
    <row r="21" spans="1:15" ht="21" customHeight="1" x14ac:dyDescent="0.2">
      <c r="B21" s="140" t="s">
        <v>704</v>
      </c>
      <c r="C21" s="91">
        <v>111000</v>
      </c>
      <c r="D21" s="91"/>
      <c r="E21" s="91">
        <f t="shared" si="0"/>
        <v>111000</v>
      </c>
    </row>
    <row r="22" spans="1:15" ht="21" customHeight="1" thickBot="1" x14ac:dyDescent="0.25">
      <c r="B22" s="141" t="s">
        <v>705</v>
      </c>
      <c r="C22" s="91"/>
      <c r="D22" s="85">
        <v>64808</v>
      </c>
      <c r="E22" s="91">
        <f t="shared" si="0"/>
        <v>64808</v>
      </c>
    </row>
    <row r="23" spans="1:15" ht="21" customHeight="1" thickBot="1" x14ac:dyDescent="0.3">
      <c r="B23" s="142" t="s">
        <v>166</v>
      </c>
      <c r="C23" s="115">
        <f>SUM(C19:C22)</f>
        <v>383153</v>
      </c>
      <c r="D23" s="115">
        <f>SUM(D19:D22)</f>
        <v>103044</v>
      </c>
      <c r="E23" s="115">
        <f>SUM(E19:E22)</f>
        <v>486197</v>
      </c>
    </row>
    <row r="24" spans="1:15" ht="21" customHeight="1" x14ac:dyDescent="0.25">
      <c r="A24" s="5">
        <v>628000</v>
      </c>
      <c r="B24" s="359" t="s">
        <v>707</v>
      </c>
      <c r="C24" s="149">
        <v>59334</v>
      </c>
      <c r="D24" s="360">
        <f>3239+623+328+125709</f>
        <v>129899</v>
      </c>
      <c r="E24" s="149">
        <f>C24+D24</f>
        <v>189233</v>
      </c>
      <c r="F24" s="4"/>
      <c r="J24" s="4"/>
      <c r="K24" s="4"/>
      <c r="L24" s="4"/>
      <c r="M24" s="4"/>
    </row>
    <row r="25" spans="1:15" ht="21" customHeight="1" x14ac:dyDescent="0.2">
      <c r="B25" s="361" t="s">
        <v>706</v>
      </c>
      <c r="C25" s="149">
        <v>119400</v>
      </c>
      <c r="D25" s="355"/>
      <c r="E25" s="149">
        <f>C25+D25</f>
        <v>119400</v>
      </c>
      <c r="F25" s="4"/>
    </row>
    <row r="26" spans="1:15" ht="21" customHeight="1" x14ac:dyDescent="0.2">
      <c r="B26" s="363" t="s">
        <v>708</v>
      </c>
      <c r="C26" s="149">
        <v>24000</v>
      </c>
      <c r="D26" s="148"/>
      <c r="E26" s="149">
        <f>C26+D26</f>
        <v>24000</v>
      </c>
    </row>
    <row r="27" spans="1:15" ht="21" customHeight="1" thickBot="1" x14ac:dyDescent="0.25">
      <c r="B27" s="364" t="s">
        <v>709</v>
      </c>
      <c r="C27" s="149"/>
      <c r="D27" s="355">
        <v>41349</v>
      </c>
      <c r="E27" s="149">
        <f>C27+D27</f>
        <v>41349</v>
      </c>
    </row>
    <row r="28" spans="1:15" ht="21" customHeight="1" thickBot="1" x14ac:dyDescent="0.3">
      <c r="B28" s="114" t="s">
        <v>208</v>
      </c>
      <c r="C28" s="115">
        <f>SUM(C24:C27)</f>
        <v>202734</v>
      </c>
      <c r="D28" s="115">
        <f>SUM(D24:D27)</f>
        <v>171248</v>
      </c>
      <c r="E28" s="115">
        <f>SUM(E24:E27)</f>
        <v>373982</v>
      </c>
    </row>
    <row r="29" spans="1:15" ht="21" customHeight="1" x14ac:dyDescent="0.2">
      <c r="A29" s="5">
        <v>627000</v>
      </c>
      <c r="B29" s="189" t="s">
        <v>194</v>
      </c>
      <c r="C29" s="91">
        <v>202268</v>
      </c>
      <c r="D29" s="94">
        <f>6721+436+283-4152</f>
        <v>3288</v>
      </c>
      <c r="E29" s="91">
        <f t="shared" si="0"/>
        <v>205556</v>
      </c>
      <c r="F29" s="4"/>
      <c r="H29" s="4"/>
      <c r="I29" s="4"/>
      <c r="J29" s="4"/>
      <c r="K29" s="4"/>
      <c r="L29" s="4"/>
      <c r="M29" s="4"/>
      <c r="O29" s="4"/>
    </row>
    <row r="30" spans="1:15" ht="21" customHeight="1" x14ac:dyDescent="0.2">
      <c r="B30" s="132" t="s">
        <v>710</v>
      </c>
      <c r="C30" s="91">
        <v>139800</v>
      </c>
      <c r="D30" s="93"/>
      <c r="E30" s="91">
        <f t="shared" si="0"/>
        <v>139800</v>
      </c>
      <c r="F30" s="4"/>
    </row>
    <row r="31" spans="1:15" ht="21" customHeight="1" x14ac:dyDescent="0.2">
      <c r="B31" s="132" t="s">
        <v>711</v>
      </c>
      <c r="C31" s="91">
        <v>93050</v>
      </c>
      <c r="D31" s="93">
        <f>-4152+4152</f>
        <v>0</v>
      </c>
      <c r="E31" s="91">
        <f>C31+D31</f>
        <v>93050</v>
      </c>
      <c r="J31" s="4"/>
    </row>
    <row r="32" spans="1:15" ht="21" customHeight="1" thickBot="1" x14ac:dyDescent="0.25">
      <c r="B32" s="230" t="s">
        <v>712</v>
      </c>
      <c r="C32" s="91"/>
      <c r="D32" s="85">
        <v>36461</v>
      </c>
      <c r="E32" s="91">
        <f t="shared" si="0"/>
        <v>36461</v>
      </c>
    </row>
    <row r="33" spans="1:8" ht="21" customHeight="1" thickBot="1" x14ac:dyDescent="0.3">
      <c r="B33" s="114" t="s">
        <v>314</v>
      </c>
      <c r="C33" s="115">
        <f>SUM(C29:C32)</f>
        <v>435118</v>
      </c>
      <c r="D33" s="115">
        <f>SUM(D29:D32)</f>
        <v>39749</v>
      </c>
      <c r="E33" s="115">
        <f>SUM(E29:E32)</f>
        <v>474867</v>
      </c>
    </row>
    <row r="34" spans="1:8" ht="21" customHeight="1" thickBot="1" x14ac:dyDescent="0.3">
      <c r="B34" s="880" t="s">
        <v>726</v>
      </c>
      <c r="C34" s="115">
        <f>C12+C18+C23+C28+C33</f>
        <v>1481895</v>
      </c>
      <c r="D34" s="115">
        <f>D12+D18+D23+D28+D33</f>
        <v>387429</v>
      </c>
      <c r="E34" s="115">
        <f>E12+E18+E23+E28+E33</f>
        <v>1869324</v>
      </c>
    </row>
    <row r="35" spans="1:8" ht="21" customHeight="1" x14ac:dyDescent="0.2">
      <c r="A35" s="5">
        <v>402001</v>
      </c>
      <c r="B35" s="189" t="s">
        <v>213</v>
      </c>
      <c r="C35" s="91">
        <v>175000</v>
      </c>
      <c r="D35" s="91"/>
      <c r="E35" s="91">
        <f t="shared" si="0"/>
        <v>175000</v>
      </c>
      <c r="H35" s="4"/>
    </row>
    <row r="36" spans="1:8" ht="15" x14ac:dyDescent="0.2">
      <c r="B36" s="120" t="s">
        <v>745</v>
      </c>
      <c r="C36" s="91">
        <v>127300</v>
      </c>
      <c r="D36" s="91"/>
      <c r="E36" s="91">
        <f t="shared" si="0"/>
        <v>127300</v>
      </c>
    </row>
    <row r="37" spans="1:8" ht="15.75" thickBot="1" x14ac:dyDescent="0.25">
      <c r="B37" s="131" t="s">
        <v>746</v>
      </c>
      <c r="C37" s="91">
        <v>84900</v>
      </c>
      <c r="D37" s="85"/>
      <c r="E37" s="91">
        <f t="shared" si="0"/>
        <v>84900</v>
      </c>
    </row>
    <row r="38" spans="1:8" s="52" customFormat="1" ht="21" customHeight="1" thickBot="1" x14ac:dyDescent="0.3">
      <c r="B38" s="114" t="s">
        <v>375</v>
      </c>
      <c r="C38" s="115">
        <f>SUM(C35:C37)</f>
        <v>387200</v>
      </c>
      <c r="D38" s="115">
        <f>SUM(D35:D37)</f>
        <v>0</v>
      </c>
      <c r="E38" s="115">
        <f>SUM(E35:E37)</f>
        <v>387200</v>
      </c>
      <c r="G38" s="4"/>
      <c r="H38" s="5"/>
    </row>
    <row r="39" spans="1:8" ht="21" customHeight="1" thickBot="1" x14ac:dyDescent="0.3">
      <c r="B39" s="143" t="s">
        <v>272</v>
      </c>
      <c r="C39" s="89">
        <f>C34+C38</f>
        <v>1869095</v>
      </c>
      <c r="D39" s="89">
        <f>D34+D38</f>
        <v>387429</v>
      </c>
      <c r="E39" s="89">
        <f>E34+E38</f>
        <v>2256524</v>
      </c>
    </row>
    <row r="40" spans="1:8" s="10" customFormat="1" ht="21" customHeight="1" x14ac:dyDescent="0.2">
      <c r="B40" s="121" t="s">
        <v>258</v>
      </c>
      <c r="C40" s="121"/>
      <c r="D40" s="85"/>
      <c r="E40" s="121"/>
      <c r="G40" s="4"/>
      <c r="H40" s="5"/>
    </row>
    <row r="41" spans="1:8" ht="21" customHeight="1" x14ac:dyDescent="0.2">
      <c r="A41" s="5">
        <v>402150</v>
      </c>
      <c r="B41" s="122" t="s">
        <v>286</v>
      </c>
      <c r="C41" s="91">
        <v>2000</v>
      </c>
      <c r="D41" s="91"/>
      <c r="E41" s="91">
        <f t="shared" ref="E41:E55" si="1">C41+D41</f>
        <v>2000</v>
      </c>
    </row>
    <row r="42" spans="1:8" ht="21" customHeight="1" x14ac:dyDescent="0.2">
      <c r="A42" s="5">
        <v>402170</v>
      </c>
      <c r="B42" s="109" t="s">
        <v>118</v>
      </c>
      <c r="C42" s="91">
        <v>1200</v>
      </c>
      <c r="D42" s="91"/>
      <c r="E42" s="91">
        <f t="shared" si="1"/>
        <v>1200</v>
      </c>
    </row>
    <row r="43" spans="1:8" ht="21" customHeight="1" x14ac:dyDescent="0.2">
      <c r="A43" s="213"/>
      <c r="B43" s="109" t="s">
        <v>60</v>
      </c>
      <c r="C43" s="91">
        <v>2000</v>
      </c>
      <c r="D43" s="93"/>
      <c r="E43" s="91">
        <f t="shared" si="1"/>
        <v>2000</v>
      </c>
    </row>
    <row r="44" spans="1:8" ht="21" customHeight="1" x14ac:dyDescent="0.2">
      <c r="A44" s="213"/>
      <c r="B44" s="109" t="s">
        <v>61</v>
      </c>
      <c r="C44" s="91">
        <v>3000</v>
      </c>
      <c r="D44" s="93"/>
      <c r="E44" s="91">
        <f t="shared" si="1"/>
        <v>3000</v>
      </c>
    </row>
    <row r="45" spans="1:8" ht="21" customHeight="1" x14ac:dyDescent="0.2">
      <c r="A45" s="213"/>
      <c r="B45" s="109" t="s">
        <v>62</v>
      </c>
      <c r="C45" s="91">
        <v>17000</v>
      </c>
      <c r="D45" s="93"/>
      <c r="E45" s="91">
        <f t="shared" si="1"/>
        <v>17000</v>
      </c>
    </row>
    <row r="46" spans="1:8" ht="21" customHeight="1" x14ac:dyDescent="0.2">
      <c r="A46" s="213"/>
      <c r="B46" s="109" t="s">
        <v>63</v>
      </c>
      <c r="C46" s="91">
        <v>1000</v>
      </c>
      <c r="D46" s="93"/>
      <c r="E46" s="91">
        <f t="shared" si="1"/>
        <v>1000</v>
      </c>
    </row>
    <row r="47" spans="1:8" ht="21" customHeight="1" x14ac:dyDescent="0.2">
      <c r="A47" s="213"/>
      <c r="B47" s="109" t="s">
        <v>64</v>
      </c>
      <c r="C47" s="91">
        <v>1000</v>
      </c>
      <c r="D47" s="93"/>
      <c r="E47" s="91">
        <f t="shared" si="1"/>
        <v>1000</v>
      </c>
    </row>
    <row r="48" spans="1:8" ht="21" customHeight="1" x14ac:dyDescent="0.2">
      <c r="A48" s="213">
        <v>402180</v>
      </c>
      <c r="B48" s="109" t="s">
        <v>119</v>
      </c>
      <c r="C48" s="91">
        <v>650</v>
      </c>
      <c r="D48" s="93"/>
      <c r="E48" s="91">
        <f t="shared" si="1"/>
        <v>650</v>
      </c>
    </row>
    <row r="49" spans="1:7" ht="21" customHeight="1" x14ac:dyDescent="0.2">
      <c r="B49" s="109" t="s">
        <v>404</v>
      </c>
      <c r="C49" s="91">
        <v>1000</v>
      </c>
      <c r="D49" s="93"/>
      <c r="E49" s="91">
        <f t="shared" si="1"/>
        <v>1000</v>
      </c>
    </row>
    <row r="50" spans="1:7" ht="21" customHeight="1" x14ac:dyDescent="0.2">
      <c r="B50" s="109" t="s">
        <v>676</v>
      </c>
      <c r="C50" s="91">
        <v>2500</v>
      </c>
      <c r="D50" s="93"/>
      <c r="E50" s="91">
        <f t="shared" si="1"/>
        <v>2500</v>
      </c>
    </row>
    <row r="51" spans="1:7" ht="21" customHeight="1" x14ac:dyDescent="0.2">
      <c r="B51" s="109" t="s">
        <v>261</v>
      </c>
      <c r="C51" s="91">
        <v>400</v>
      </c>
      <c r="D51" s="93"/>
      <c r="E51" s="91">
        <f t="shared" si="1"/>
        <v>400</v>
      </c>
    </row>
    <row r="52" spans="1:7" ht="21" customHeight="1" x14ac:dyDescent="0.2">
      <c r="B52" s="109" t="s">
        <v>262</v>
      </c>
      <c r="C52" s="91">
        <v>1500</v>
      </c>
      <c r="D52" s="93"/>
      <c r="E52" s="91">
        <f t="shared" si="1"/>
        <v>1500</v>
      </c>
    </row>
    <row r="53" spans="1:7" ht="21" customHeight="1" x14ac:dyDescent="0.2">
      <c r="B53" s="109" t="s">
        <v>402</v>
      </c>
      <c r="C53" s="91">
        <v>1600</v>
      </c>
      <c r="D53" s="93"/>
      <c r="E53" s="91">
        <f t="shared" si="1"/>
        <v>1600</v>
      </c>
    </row>
    <row r="54" spans="1:7" ht="30" x14ac:dyDescent="0.2">
      <c r="B54" s="785" t="s">
        <v>403</v>
      </c>
      <c r="C54" s="91">
        <v>1000</v>
      </c>
      <c r="D54" s="93"/>
      <c r="E54" s="91">
        <f t="shared" si="1"/>
        <v>1000</v>
      </c>
    </row>
    <row r="55" spans="1:7" ht="18" x14ac:dyDescent="0.25">
      <c r="B55" s="202" t="s">
        <v>610</v>
      </c>
      <c r="C55" s="276">
        <v>2000</v>
      </c>
      <c r="D55" s="276"/>
      <c r="E55" s="91">
        <f t="shared" si="1"/>
        <v>2000</v>
      </c>
    </row>
    <row r="56" spans="1:7" ht="21" customHeight="1" thickBot="1" x14ac:dyDescent="0.3">
      <c r="B56" s="139" t="s">
        <v>258</v>
      </c>
      <c r="C56" s="92">
        <f>SUM(C41:C55)</f>
        <v>37850</v>
      </c>
      <c r="D56" s="92">
        <f>SUM(D41:D55)</f>
        <v>0</v>
      </c>
      <c r="E56" s="92">
        <f>SUM(E41:E55)</f>
        <v>37850</v>
      </c>
    </row>
    <row r="57" spans="1:7" ht="21" customHeight="1" thickBot="1" x14ac:dyDescent="0.3">
      <c r="B57" s="139" t="s">
        <v>274</v>
      </c>
      <c r="C57" s="92">
        <f>C39+C56</f>
        <v>1906945</v>
      </c>
      <c r="D57" s="92">
        <f>D39+D56</f>
        <v>387429</v>
      </c>
      <c r="E57" s="92">
        <f>E39+E56</f>
        <v>2294374</v>
      </c>
    </row>
    <row r="58" spans="1:7" s="10" customFormat="1" ht="21" customHeight="1" x14ac:dyDescent="0.25">
      <c r="B58" s="123" t="s">
        <v>284</v>
      </c>
      <c r="C58" s="123"/>
      <c r="D58" s="95"/>
      <c r="E58" s="123"/>
      <c r="G58" s="4"/>
    </row>
    <row r="59" spans="1:7" ht="21" customHeight="1" thickBot="1" x14ac:dyDescent="0.25">
      <c r="B59" s="144"/>
      <c r="C59" s="144"/>
      <c r="D59" s="127"/>
      <c r="E59" s="144"/>
    </row>
    <row r="60" spans="1:7" ht="21" customHeight="1" thickBot="1" x14ac:dyDescent="0.3">
      <c r="A60" s="5">
        <v>402200</v>
      </c>
      <c r="B60" s="139" t="s">
        <v>285</v>
      </c>
      <c r="C60" s="92">
        <v>15000</v>
      </c>
      <c r="D60" s="92">
        <v>326</v>
      </c>
      <c r="E60" s="92">
        <f>C60+D60</f>
        <v>15326</v>
      </c>
    </row>
    <row r="61" spans="1:7" s="10" customFormat="1" ht="21" customHeight="1" x14ac:dyDescent="0.25">
      <c r="B61" s="123" t="s">
        <v>276</v>
      </c>
      <c r="C61" s="123"/>
      <c r="D61" s="95"/>
      <c r="E61" s="123"/>
      <c r="G61" s="4"/>
    </row>
    <row r="62" spans="1:7" ht="21" customHeight="1" thickBot="1" x14ac:dyDescent="0.25">
      <c r="B62" s="145"/>
      <c r="C62" s="145"/>
      <c r="D62" s="128"/>
      <c r="E62" s="145"/>
    </row>
    <row r="63" spans="1:7" ht="21" customHeight="1" thickBot="1" x14ac:dyDescent="0.3">
      <c r="A63" s="5">
        <v>402300</v>
      </c>
      <c r="B63" s="138" t="s">
        <v>259</v>
      </c>
      <c r="C63" s="99">
        <v>15000</v>
      </c>
      <c r="D63" s="99">
        <v>-15000</v>
      </c>
      <c r="E63" s="99">
        <f>C63+D63</f>
        <v>0</v>
      </c>
    </row>
    <row r="64" spans="1:7" s="10" customFormat="1" ht="21" customHeight="1" x14ac:dyDescent="0.2">
      <c r="B64" s="124" t="s">
        <v>277</v>
      </c>
      <c r="C64" s="111"/>
      <c r="D64" s="84"/>
      <c r="E64" s="111"/>
      <c r="G64" s="4"/>
    </row>
    <row r="65" spans="1:7" s="10" customFormat="1" ht="21" customHeight="1" x14ac:dyDescent="0.2">
      <c r="B65" s="795" t="s">
        <v>675</v>
      </c>
      <c r="C65" s="91">
        <v>10000</v>
      </c>
      <c r="D65" s="91"/>
      <c r="E65" s="91">
        <f>C65+D65</f>
        <v>10000</v>
      </c>
      <c r="G65" s="4"/>
    </row>
    <row r="66" spans="1:7" s="10" customFormat="1" ht="21" customHeight="1" x14ac:dyDescent="0.2">
      <c r="B66" s="795" t="s">
        <v>674</v>
      </c>
      <c r="C66" s="91">
        <v>30000</v>
      </c>
      <c r="D66" s="91">
        <v>-30000</v>
      </c>
      <c r="E66" s="91">
        <f>C66+D66</f>
        <v>0</v>
      </c>
      <c r="G66" s="4"/>
    </row>
    <row r="67" spans="1:7" s="10" customFormat="1" ht="21" customHeight="1" x14ac:dyDescent="0.2">
      <c r="B67" s="784" t="s">
        <v>547</v>
      </c>
      <c r="C67" s="85">
        <v>2000</v>
      </c>
      <c r="D67" s="85"/>
      <c r="E67" s="85">
        <f>C67+D67</f>
        <v>2000</v>
      </c>
      <c r="G67" s="4"/>
    </row>
    <row r="68" spans="1:7" ht="21" customHeight="1" thickBot="1" x14ac:dyDescent="0.3">
      <c r="B68" s="139" t="s">
        <v>278</v>
      </c>
      <c r="C68" s="92">
        <f>SUM(C65:C67)</f>
        <v>42000</v>
      </c>
      <c r="D68" s="92">
        <f>SUM(D65:D67)</f>
        <v>-30000</v>
      </c>
      <c r="E68" s="92">
        <f>SUM(E65:E67)</f>
        <v>12000</v>
      </c>
    </row>
    <row r="69" spans="1:7" ht="21" customHeight="1" thickBot="1" x14ac:dyDescent="0.3">
      <c r="B69" s="139" t="s">
        <v>279</v>
      </c>
      <c r="C69" s="92">
        <f>C63+C68</f>
        <v>57000</v>
      </c>
      <c r="D69" s="92">
        <f>D63+D68</f>
        <v>-45000</v>
      </c>
      <c r="E69" s="92">
        <f>E63+E68</f>
        <v>12000</v>
      </c>
    </row>
    <row r="70" spans="1:7" s="10" customFormat="1" ht="21" customHeight="1" x14ac:dyDescent="0.25">
      <c r="B70" s="123" t="s">
        <v>280</v>
      </c>
      <c r="C70" s="123"/>
      <c r="D70" s="95"/>
      <c r="E70" s="123"/>
      <c r="G70" s="4"/>
    </row>
    <row r="71" spans="1:7" s="10" customFormat="1" ht="15.75" x14ac:dyDescent="0.25">
      <c r="B71" s="271" t="s">
        <v>24</v>
      </c>
      <c r="C71" s="271"/>
      <c r="D71" s="96"/>
      <c r="E71" s="271"/>
      <c r="G71" s="4"/>
    </row>
    <row r="72" spans="1:7" ht="15" x14ac:dyDescent="0.2">
      <c r="A72" s="5">
        <v>402400</v>
      </c>
      <c r="B72" s="147" t="s">
        <v>532</v>
      </c>
      <c r="C72" s="226">
        <v>2400</v>
      </c>
      <c r="D72" s="226">
        <v>1432</v>
      </c>
      <c r="E72" s="226">
        <f t="shared" ref="E72:E79" si="2">C72+D72</f>
        <v>3832</v>
      </c>
    </row>
    <row r="73" spans="1:7" s="10" customFormat="1" ht="15" x14ac:dyDescent="0.2">
      <c r="A73" s="10">
        <v>402404</v>
      </c>
      <c r="B73" s="125" t="s">
        <v>150</v>
      </c>
      <c r="C73" s="226">
        <v>25218</v>
      </c>
      <c r="D73" s="227">
        <v>4702</v>
      </c>
      <c r="E73" s="226">
        <f t="shared" si="2"/>
        <v>29920</v>
      </c>
      <c r="G73" s="4"/>
    </row>
    <row r="74" spans="1:7" s="10" customFormat="1" ht="15" x14ac:dyDescent="0.2">
      <c r="B74" s="125" t="s">
        <v>665</v>
      </c>
      <c r="C74" s="226">
        <v>35000</v>
      </c>
      <c r="D74" s="227">
        <v>5000</v>
      </c>
      <c r="E74" s="226">
        <f t="shared" si="2"/>
        <v>40000</v>
      </c>
      <c r="G74" s="4"/>
    </row>
    <row r="75" spans="1:7" s="10" customFormat="1" ht="15" x14ac:dyDescent="0.2">
      <c r="B75" s="146" t="s">
        <v>422</v>
      </c>
      <c r="C75" s="91">
        <v>13000</v>
      </c>
      <c r="D75" s="91"/>
      <c r="E75" s="226">
        <f t="shared" si="2"/>
        <v>13000</v>
      </c>
      <c r="G75" s="4"/>
    </row>
    <row r="76" spans="1:7" s="10" customFormat="1" ht="15" x14ac:dyDescent="0.2">
      <c r="B76" s="146" t="s">
        <v>540</v>
      </c>
      <c r="C76" s="91">
        <v>10000</v>
      </c>
      <c r="D76" s="91"/>
      <c r="E76" s="226">
        <f t="shared" si="2"/>
        <v>10000</v>
      </c>
      <c r="G76" s="4"/>
    </row>
    <row r="77" spans="1:7" s="10" customFormat="1" ht="15" x14ac:dyDescent="0.2">
      <c r="B77" s="146" t="s">
        <v>562</v>
      </c>
      <c r="C77" s="91"/>
      <c r="D77" s="91">
        <v>762</v>
      </c>
      <c r="E77" s="226">
        <f t="shared" si="2"/>
        <v>762</v>
      </c>
      <c r="G77" s="4"/>
    </row>
    <row r="78" spans="1:7" s="10" customFormat="1" ht="15" x14ac:dyDescent="0.2">
      <c r="B78" s="801" t="s">
        <v>673</v>
      </c>
      <c r="C78" s="91">
        <v>3000</v>
      </c>
      <c r="D78" s="91"/>
      <c r="E78" s="226">
        <f t="shared" si="2"/>
        <v>3000</v>
      </c>
      <c r="G78" s="4"/>
    </row>
    <row r="79" spans="1:7" ht="18.600000000000001" customHeight="1" x14ac:dyDescent="0.2">
      <c r="B79" s="394" t="s">
        <v>96</v>
      </c>
      <c r="C79" s="226">
        <v>1000</v>
      </c>
      <c r="D79" s="395"/>
      <c r="E79" s="226">
        <f t="shared" si="2"/>
        <v>1000</v>
      </c>
    </row>
    <row r="80" spans="1:7" ht="21" customHeight="1" thickBot="1" x14ac:dyDescent="0.3">
      <c r="B80" s="139" t="s">
        <v>282</v>
      </c>
      <c r="C80" s="92">
        <f>SUM(C71:C79)</f>
        <v>89618</v>
      </c>
      <c r="D80" s="92">
        <f>SUM(D71:D79)</f>
        <v>11896</v>
      </c>
      <c r="E80" s="92">
        <f>SUM(E71:E79)</f>
        <v>101514</v>
      </c>
    </row>
    <row r="81" spans="1:7" s="10" customFormat="1" ht="21" customHeight="1" x14ac:dyDescent="0.25">
      <c r="B81" s="124" t="s">
        <v>345</v>
      </c>
      <c r="C81" s="124"/>
      <c r="D81" s="95"/>
      <c r="E81" s="124"/>
      <c r="G81" s="4"/>
    </row>
    <row r="82" spans="1:7" ht="15" x14ac:dyDescent="0.2">
      <c r="A82" s="5">
        <v>402451</v>
      </c>
      <c r="B82" s="147" t="s">
        <v>1</v>
      </c>
      <c r="C82" s="226">
        <v>1500</v>
      </c>
      <c r="D82" s="128"/>
      <c r="E82" s="226">
        <f>C82+D82</f>
        <v>1500</v>
      </c>
    </row>
    <row r="83" spans="1:7" ht="15" x14ac:dyDescent="0.2">
      <c r="A83" s="5">
        <v>402452</v>
      </c>
      <c r="B83" s="147" t="s">
        <v>545</v>
      </c>
      <c r="C83" s="226">
        <v>300</v>
      </c>
      <c r="D83" s="128"/>
      <c r="E83" s="226">
        <f>C83+D83</f>
        <v>300</v>
      </c>
    </row>
    <row r="84" spans="1:7" ht="21" customHeight="1" thickBot="1" x14ac:dyDescent="0.3">
      <c r="B84" s="139" t="s">
        <v>283</v>
      </c>
      <c r="C84" s="92">
        <f>+C83+C82</f>
        <v>1800</v>
      </c>
      <c r="D84" s="92">
        <f>SUM(D82:D83)</f>
        <v>0</v>
      </c>
      <c r="E84" s="92">
        <f>+E83+E82</f>
        <v>1800</v>
      </c>
    </row>
    <row r="85" spans="1:7" ht="21" customHeight="1" thickBot="1" x14ac:dyDescent="0.3">
      <c r="B85" s="139" t="s">
        <v>342</v>
      </c>
      <c r="C85" s="92">
        <f>C80+C84</f>
        <v>91418</v>
      </c>
      <c r="D85" s="92">
        <f>D80+D84</f>
        <v>11896</v>
      </c>
      <c r="E85" s="92">
        <f>E80+E84</f>
        <v>103314</v>
      </c>
    </row>
    <row r="86" spans="1:7" ht="21" customHeight="1" x14ac:dyDescent="0.25">
      <c r="B86" s="126" t="s">
        <v>363</v>
      </c>
      <c r="C86" s="126"/>
      <c r="D86" s="95"/>
      <c r="E86" s="126"/>
    </row>
    <row r="87" spans="1:7" ht="21" customHeight="1" x14ac:dyDescent="0.2">
      <c r="A87" s="5">
        <v>402600</v>
      </c>
      <c r="B87" s="119" t="s">
        <v>2</v>
      </c>
      <c r="C87" s="701">
        <v>89000</v>
      </c>
      <c r="D87" s="85"/>
      <c r="E87" s="85">
        <f>C87+D87</f>
        <v>89000</v>
      </c>
    </row>
    <row r="88" spans="1:7" ht="21" customHeight="1" x14ac:dyDescent="0.2">
      <c r="A88" s="5">
        <v>402700</v>
      </c>
      <c r="B88" s="109" t="s">
        <v>100</v>
      </c>
      <c r="C88" s="93">
        <v>40000</v>
      </c>
      <c r="D88" s="93">
        <v>1552</v>
      </c>
      <c r="E88" s="93">
        <f>C88+D88</f>
        <v>41552</v>
      </c>
    </row>
    <row r="89" spans="1:7" ht="30" customHeight="1" x14ac:dyDescent="0.2">
      <c r="B89" s="214" t="s">
        <v>563</v>
      </c>
      <c r="C89" s="93"/>
      <c r="D89" s="93">
        <f>10000+4550+5000</f>
        <v>19550</v>
      </c>
      <c r="E89" s="93">
        <f>C89+D89</f>
        <v>19550</v>
      </c>
    </row>
    <row r="90" spans="1:7" ht="21" customHeight="1" thickBot="1" x14ac:dyDescent="0.3">
      <c r="B90" s="702" t="s">
        <v>387</v>
      </c>
      <c r="C90" s="101">
        <f>SUM(C87:C89)</f>
        <v>129000</v>
      </c>
      <c r="D90" s="101">
        <f>SUM(D87:D89)</f>
        <v>21102</v>
      </c>
      <c r="E90" s="101">
        <f>SUM(E87:E89)</f>
        <v>150102</v>
      </c>
    </row>
    <row r="91" spans="1:7" ht="21" customHeight="1" thickBot="1" x14ac:dyDescent="0.3">
      <c r="B91" s="139" t="s">
        <v>343</v>
      </c>
      <c r="C91" s="92">
        <f>C90</f>
        <v>129000</v>
      </c>
      <c r="D91" s="92">
        <f>D90</f>
        <v>21102</v>
      </c>
      <c r="E91" s="92">
        <f>E90</f>
        <v>150102</v>
      </c>
    </row>
    <row r="92" spans="1:7" ht="21" customHeight="1" thickBot="1" x14ac:dyDescent="0.3">
      <c r="B92" s="139" t="s">
        <v>228</v>
      </c>
      <c r="C92" s="92">
        <f>C69+C85+C91+C60</f>
        <v>292418</v>
      </c>
      <c r="D92" s="92">
        <f>D69+D85+D91+D60</f>
        <v>-11676</v>
      </c>
      <c r="E92" s="92">
        <f>E69+E85+E91+E60</f>
        <v>280742</v>
      </c>
    </row>
    <row r="93" spans="1:7" ht="21" customHeight="1" thickBot="1" x14ac:dyDescent="0.3">
      <c r="B93" s="139" t="s">
        <v>229</v>
      </c>
      <c r="C93" s="92">
        <f>C57+C92</f>
        <v>2199363</v>
      </c>
      <c r="D93" s="92">
        <f>D57+D92</f>
        <v>375753</v>
      </c>
      <c r="E93" s="92">
        <f>E57+E92</f>
        <v>2575116</v>
      </c>
    </row>
    <row r="95" spans="1:7" ht="21" customHeight="1" thickBot="1" x14ac:dyDescent="0.35">
      <c r="B95" s="134" t="s">
        <v>152</v>
      </c>
      <c r="C95" s="134"/>
      <c r="D95" s="134"/>
      <c r="E95" s="536"/>
    </row>
    <row r="96" spans="1:7" ht="21" customHeight="1" x14ac:dyDescent="0.25">
      <c r="B96" s="2" t="s">
        <v>329</v>
      </c>
      <c r="C96" s="811" t="s">
        <v>542</v>
      </c>
      <c r="D96" s="399" t="s">
        <v>677</v>
      </c>
      <c r="E96" s="811" t="s">
        <v>750</v>
      </c>
    </row>
    <row r="97" spans="2:5" ht="21" customHeight="1" thickBot="1" x14ac:dyDescent="0.3">
      <c r="B97" s="30"/>
      <c r="C97" s="794" t="s">
        <v>159</v>
      </c>
      <c r="D97" s="400" t="s">
        <v>678</v>
      </c>
      <c r="E97" s="794" t="s">
        <v>541</v>
      </c>
    </row>
    <row r="98" spans="2:5" ht="21" customHeight="1" x14ac:dyDescent="0.2">
      <c r="B98" s="274" t="s">
        <v>106</v>
      </c>
      <c r="C98" s="91"/>
      <c r="D98" s="389">
        <f>1300+118</f>
        <v>1418</v>
      </c>
      <c r="E98" s="91">
        <f>C98+D98</f>
        <v>1418</v>
      </c>
    </row>
    <row r="99" spans="2:5" ht="21" customHeight="1" x14ac:dyDescent="0.2">
      <c r="B99" s="109" t="s">
        <v>697</v>
      </c>
      <c r="C99" s="91"/>
      <c r="D99" s="389">
        <f>118-118</f>
        <v>0</v>
      </c>
      <c r="E99" s="91">
        <f t="shared" ref="E99:E116" si="3">C99+D99</f>
        <v>0</v>
      </c>
    </row>
    <row r="100" spans="2:5" ht="21" customHeight="1" thickBot="1" x14ac:dyDescent="0.3">
      <c r="B100" s="192" t="s">
        <v>713</v>
      </c>
      <c r="C100" s="91"/>
      <c r="D100" s="389">
        <v>9003</v>
      </c>
      <c r="E100" s="91">
        <f t="shared" si="3"/>
        <v>9003</v>
      </c>
    </row>
    <row r="101" spans="2:5" ht="21" customHeight="1" thickBot="1" x14ac:dyDescent="0.3">
      <c r="B101" s="114" t="s">
        <v>107</v>
      </c>
      <c r="C101" s="115">
        <f>SUM(C98:C100)</f>
        <v>0</v>
      </c>
      <c r="D101" s="115">
        <f>SUM(D98:D100)</f>
        <v>10421</v>
      </c>
      <c r="E101" s="115">
        <f>SUM(E98:E100)</f>
        <v>10421</v>
      </c>
    </row>
    <row r="102" spans="2:5" ht="21" customHeight="1" x14ac:dyDescent="0.2">
      <c r="B102" s="192" t="s">
        <v>714</v>
      </c>
      <c r="C102" s="859"/>
      <c r="D102" s="177"/>
      <c r="E102" s="91">
        <f>C102+D102</f>
        <v>0</v>
      </c>
    </row>
    <row r="103" spans="2:5" ht="21" customHeight="1" x14ac:dyDescent="0.2">
      <c r="B103" s="192" t="s">
        <v>715</v>
      </c>
      <c r="C103" s="859"/>
      <c r="D103" s="177"/>
      <c r="E103" s="91">
        <f t="shared" si="3"/>
        <v>0</v>
      </c>
    </row>
    <row r="104" spans="2:5" ht="21" customHeight="1" thickBot="1" x14ac:dyDescent="0.3">
      <c r="B104" s="192" t="s">
        <v>716</v>
      </c>
      <c r="C104" s="859"/>
      <c r="D104" s="177">
        <v>103</v>
      </c>
      <c r="E104" s="91">
        <f t="shared" si="3"/>
        <v>103</v>
      </c>
    </row>
    <row r="105" spans="2:5" ht="21" customHeight="1" thickBot="1" x14ac:dyDescent="0.3">
      <c r="B105" s="142" t="s">
        <v>192</v>
      </c>
      <c r="C105" s="115">
        <f>SUM(C102:C104)</f>
        <v>0</v>
      </c>
      <c r="D105" s="115">
        <f>SUM(D102:D104)</f>
        <v>103</v>
      </c>
      <c r="E105" s="115">
        <f>SUM(E102:E104)</f>
        <v>103</v>
      </c>
    </row>
    <row r="106" spans="2:5" ht="21" customHeight="1" x14ac:dyDescent="0.2">
      <c r="B106" s="192" t="s">
        <v>167</v>
      </c>
      <c r="C106" s="177">
        <v>10000</v>
      </c>
      <c r="D106" s="177">
        <f>-38442+31510+6932</f>
        <v>0</v>
      </c>
      <c r="E106" s="91">
        <f t="shared" si="3"/>
        <v>10000</v>
      </c>
    </row>
    <row r="107" spans="2:5" ht="21" customHeight="1" x14ac:dyDescent="0.2">
      <c r="B107" s="192" t="s">
        <v>717</v>
      </c>
      <c r="C107" s="861"/>
      <c r="D107" s="177"/>
      <c r="E107" s="865">
        <f t="shared" si="3"/>
        <v>0</v>
      </c>
    </row>
    <row r="108" spans="2:5" ht="21" customHeight="1" thickBot="1" x14ac:dyDescent="0.25">
      <c r="B108" s="141" t="s">
        <v>705</v>
      </c>
      <c r="C108" s="862"/>
      <c r="D108" s="85">
        <v>8678</v>
      </c>
      <c r="E108" s="865">
        <f t="shared" si="3"/>
        <v>8678</v>
      </c>
    </row>
    <row r="109" spans="2:5" ht="21" customHeight="1" thickBot="1" x14ac:dyDescent="0.3">
      <c r="B109" s="142" t="s">
        <v>166</v>
      </c>
      <c r="C109" s="863">
        <f>SUM(C106:C108)</f>
        <v>10000</v>
      </c>
      <c r="D109" s="115">
        <f>SUM(D106:D108)</f>
        <v>8678</v>
      </c>
      <c r="E109" s="866">
        <f>SUM(E106:E108)</f>
        <v>18678</v>
      </c>
    </row>
    <row r="110" spans="2:5" ht="21" customHeight="1" x14ac:dyDescent="0.2">
      <c r="B110" s="363" t="s">
        <v>718</v>
      </c>
      <c r="C110" s="149"/>
      <c r="D110" s="360">
        <v>15000</v>
      </c>
      <c r="E110" s="149">
        <f>C110+D110</f>
        <v>15000</v>
      </c>
    </row>
    <row r="111" spans="2:5" ht="21" customHeight="1" x14ac:dyDescent="0.2">
      <c r="B111" s="363" t="s">
        <v>708</v>
      </c>
      <c r="C111" s="149"/>
      <c r="D111" s="355"/>
      <c r="E111" s="149">
        <f>C111+D111</f>
        <v>0</v>
      </c>
    </row>
    <row r="112" spans="2:5" ht="21" customHeight="1" thickBot="1" x14ac:dyDescent="0.3">
      <c r="B112" s="363" t="s">
        <v>719</v>
      </c>
      <c r="C112" s="149"/>
      <c r="D112" s="148">
        <v>2007</v>
      </c>
      <c r="E112" s="149">
        <f>C112+D112</f>
        <v>2007</v>
      </c>
    </row>
    <row r="113" spans="2:8" ht="21" customHeight="1" thickBot="1" x14ac:dyDescent="0.3">
      <c r="B113" s="114" t="s">
        <v>208</v>
      </c>
      <c r="C113" s="863">
        <f>SUM(C110:C112)</f>
        <v>0</v>
      </c>
      <c r="D113" s="115">
        <f>SUM(D110:D112)</f>
        <v>17007</v>
      </c>
      <c r="E113" s="866">
        <f>SUM(E110:E112)</f>
        <v>17007</v>
      </c>
    </row>
    <row r="114" spans="2:8" ht="21" customHeight="1" x14ac:dyDescent="0.2">
      <c r="B114" s="132" t="s">
        <v>194</v>
      </c>
      <c r="C114" s="864">
        <v>3000</v>
      </c>
      <c r="D114" s="390">
        <v>4152</v>
      </c>
      <c r="E114" s="865">
        <f t="shared" si="3"/>
        <v>7152</v>
      </c>
    </row>
    <row r="115" spans="2:8" ht="21" customHeight="1" x14ac:dyDescent="0.2">
      <c r="B115" s="132" t="s">
        <v>711</v>
      </c>
      <c r="C115" s="191"/>
      <c r="D115" s="390">
        <f>4152-4152</f>
        <v>0</v>
      </c>
      <c r="E115" s="91">
        <f t="shared" si="3"/>
        <v>0</v>
      </c>
    </row>
    <row r="116" spans="2:8" ht="21" customHeight="1" thickBot="1" x14ac:dyDescent="0.3">
      <c r="B116" s="192" t="s">
        <v>720</v>
      </c>
      <c r="C116" s="859"/>
      <c r="D116" s="390">
        <v>980</v>
      </c>
      <c r="E116" s="91">
        <f t="shared" si="3"/>
        <v>980</v>
      </c>
    </row>
    <row r="117" spans="2:8" ht="21" customHeight="1" thickBot="1" x14ac:dyDescent="0.3">
      <c r="B117" s="114" t="s">
        <v>314</v>
      </c>
      <c r="C117" s="115">
        <f>SUM(C114:C116)</f>
        <v>3000</v>
      </c>
      <c r="D117" s="115">
        <f>SUM(D114:D116)</f>
        <v>5132</v>
      </c>
      <c r="E117" s="115">
        <f>SUM(E114:E116)</f>
        <v>8132</v>
      </c>
    </row>
    <row r="118" spans="2:8" ht="21" customHeight="1" thickBot="1" x14ac:dyDescent="0.3">
      <c r="B118" s="8" t="s">
        <v>725</v>
      </c>
      <c r="C118" s="273">
        <f>C101+C105+C109+C113+C117</f>
        <v>13000</v>
      </c>
      <c r="D118" s="273">
        <f>D101+D105+D109+D113+D117</f>
        <v>41341</v>
      </c>
      <c r="E118" s="273">
        <f>E101+E105+E109+E113+E117</f>
        <v>54341</v>
      </c>
    </row>
    <row r="119" spans="2:8" ht="21" customHeight="1" thickBot="1" x14ac:dyDescent="0.3">
      <c r="B119" s="137"/>
      <c r="C119" s="860"/>
      <c r="D119" s="99"/>
      <c r="E119" s="96"/>
    </row>
    <row r="120" spans="2:8" ht="21" customHeight="1" thickBot="1" x14ac:dyDescent="0.3">
      <c r="B120" s="713" t="s">
        <v>57</v>
      </c>
      <c r="C120" s="89">
        <f>+C118+C93</f>
        <v>2212363</v>
      </c>
      <c r="D120" s="244">
        <f>+D118+D93</f>
        <v>417094</v>
      </c>
      <c r="E120" s="89">
        <f>+E118+E93</f>
        <v>2629457</v>
      </c>
    </row>
    <row r="122" spans="2:8" ht="21" customHeight="1" x14ac:dyDescent="0.25">
      <c r="B122" s="38" t="s">
        <v>138</v>
      </c>
      <c r="C122" s="38"/>
      <c r="D122" s="38"/>
      <c r="E122" s="530"/>
      <c r="H122" s="4"/>
    </row>
    <row r="123" spans="2:8" ht="21" customHeight="1" x14ac:dyDescent="0.25">
      <c r="B123" s="38" t="s">
        <v>139</v>
      </c>
      <c r="C123" s="38"/>
      <c r="D123" s="38"/>
      <c r="E123" s="38"/>
    </row>
    <row r="126" spans="2:8" ht="21" customHeight="1" x14ac:dyDescent="0.25">
      <c r="B126" s="193" t="s">
        <v>721</v>
      </c>
      <c r="C126" s="193"/>
      <c r="D126" s="193"/>
      <c r="E126" s="193"/>
    </row>
    <row r="127" spans="2:8" ht="21" customHeight="1" x14ac:dyDescent="0.2">
      <c r="B127" s="195" t="s">
        <v>117</v>
      </c>
      <c r="C127" s="195">
        <f>C12+C101</f>
        <v>347448</v>
      </c>
      <c r="D127" s="195">
        <f>D12+D101</f>
        <v>54565</v>
      </c>
      <c r="E127" s="195">
        <f>E12+E101</f>
        <v>402013</v>
      </c>
    </row>
    <row r="128" spans="2:8" ht="21" customHeight="1" x14ac:dyDescent="0.2">
      <c r="B128" s="195" t="s">
        <v>186</v>
      </c>
      <c r="C128" s="195">
        <f>C18+C105</f>
        <v>113442</v>
      </c>
      <c r="D128" s="195">
        <f>D18+D105</f>
        <v>29347</v>
      </c>
      <c r="E128" s="195">
        <f>E18+E105</f>
        <v>142789</v>
      </c>
    </row>
    <row r="129" spans="2:5" ht="21" customHeight="1" x14ac:dyDescent="0.2">
      <c r="B129" s="195" t="s">
        <v>722</v>
      </c>
      <c r="C129" s="195">
        <f>C23+C109</f>
        <v>393153</v>
      </c>
      <c r="D129" s="195">
        <f>D23+D109</f>
        <v>111722</v>
      </c>
      <c r="E129" s="195">
        <f>E23+E109</f>
        <v>504875</v>
      </c>
    </row>
    <row r="130" spans="2:5" ht="21" customHeight="1" x14ac:dyDescent="0.2">
      <c r="B130" s="195" t="s">
        <v>723</v>
      </c>
      <c r="C130" s="195">
        <f>C28+C113</f>
        <v>202734</v>
      </c>
      <c r="D130" s="195">
        <f>D28+D113</f>
        <v>188255</v>
      </c>
      <c r="E130" s="195">
        <f>E28+E113</f>
        <v>390989</v>
      </c>
    </row>
    <row r="131" spans="2:5" ht="21" customHeight="1" x14ac:dyDescent="0.2">
      <c r="B131" s="195" t="s">
        <v>209</v>
      </c>
      <c r="C131" s="195">
        <f>C33+C117</f>
        <v>438118</v>
      </c>
      <c r="D131" s="195">
        <f>D33+D117</f>
        <v>44881</v>
      </c>
      <c r="E131" s="195">
        <f>E33+E117</f>
        <v>482999</v>
      </c>
    </row>
    <row r="134" spans="2:5" ht="21" customHeight="1" x14ac:dyDescent="0.2">
      <c r="B134" s="784"/>
      <c r="C134" s="4"/>
      <c r="D134" s="4"/>
      <c r="E134" s="4"/>
    </row>
    <row r="135" spans="2:5" ht="21" customHeight="1" x14ac:dyDescent="0.2">
      <c r="B135" s="784"/>
    </row>
    <row r="136" spans="2:5" ht="21" customHeight="1" x14ac:dyDescent="0.2">
      <c r="B136" s="784"/>
    </row>
    <row r="137" spans="2:5" ht="21" customHeight="1" x14ac:dyDescent="0.2">
      <c r="B137" s="784"/>
    </row>
  </sheetData>
  <customSheetViews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" right="0" top="0" bottom="0" header="0.51181102362204722" footer="0.51181102362204722"/>
  <pageSetup paperSize="9" scale="51" orientation="portrait" r:id="rId3"/>
  <headerFooter alignWithMargins="0">
    <oddHeader xml:space="preserve">&amp;L&amp;F&amp;A&amp;R&amp;"Times New Roman CE,Félkövér"&amp;12 9. melléklet a 12/2017. (V.3.) önkormányzati rendelethez
"9. melléklet a 4/2017. (III.7.) önkormányzati rendelethez”
</oddHeader>
  </headerFooter>
  <rowBreaks count="1" manualBreakCount="1">
    <brk id="69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25</vt:i4>
      </vt:variant>
    </vt:vector>
  </HeadingPairs>
  <TitlesOfParts>
    <vt:vector size="45" baseType="lpstr">
      <vt:lpstr>1 kiemelt ei. </vt:lpstr>
      <vt:lpstr>2 mérleg</vt:lpstr>
      <vt:lpstr>3 működési bevételek</vt:lpstr>
      <vt:lpstr>4 intézményi bevétel</vt:lpstr>
      <vt:lpstr>5 normatíva</vt:lpstr>
      <vt:lpstr>6 intézményi kiadás</vt:lpstr>
      <vt:lpstr>7 létszám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'13 egyéb'!Nyomtatási_cím</vt:lpstr>
      <vt:lpstr>'17 felhalm.bevétel '!Nyomtatási_cím</vt:lpstr>
      <vt:lpstr>'18 felhalm.kiadás'!Nyomtatási_cím</vt:lpstr>
      <vt:lpstr>'3 működési bevételek'!Nyomtatási_cím</vt:lpstr>
      <vt:lpstr>'7 létszám'!Nyomtatási_cím</vt:lpstr>
      <vt:lpstr>'9 kultúra'!Nyomtatási_cím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'3 működési bevételek'!Nyomtatási_terület</vt:lpstr>
      <vt:lpstr>'4 intézményi bevétel'!Nyomtatási_terület</vt:lpstr>
      <vt:lpstr>'6 intézményi kiadás'!Nyomtatási_terület</vt:lpstr>
      <vt:lpstr>'7 létszám'!Nyomtatási_terület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Sümeghy Veronika</cp:lastModifiedBy>
  <cp:lastPrinted>2017-05-03T13:15:18Z</cp:lastPrinted>
  <dcterms:created xsi:type="dcterms:W3CDTF">1998-01-10T07:52:54Z</dcterms:created>
  <dcterms:modified xsi:type="dcterms:W3CDTF">2017-05-08T06:26:39Z</dcterms:modified>
</cp:coreProperties>
</file>